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martLogic\tms_simulator\misc\"/>
    </mc:Choice>
  </mc:AlternateContent>
  <bookViews>
    <workbookView xWindow="0" yWindow="0" windowWidth="28800" windowHeight="12300"/>
  </bookViews>
  <sheets>
    <sheet name="generell" sheetId="1" r:id="rId1"/>
    <sheet name="Tabelle1" sheetId="16" r:id="rId2"/>
    <sheet name="Sz 1" sheetId="13" r:id="rId3"/>
    <sheet name="Sz 1 smL" sheetId="14" r:id="rId4"/>
    <sheet name="Sz 2" sheetId="5" r:id="rId5"/>
    <sheet name="Sz 2 smL" sheetId="8" r:id="rId6"/>
    <sheet name="Sz 3" sheetId="9" r:id="rId7"/>
    <sheet name="Sz 3 smL" sheetId="11" r:id="rId8"/>
    <sheet name="Sz 4" sheetId="10" r:id="rId9"/>
    <sheet name="Sz 4 smL" sheetId="15" r:id="rId10"/>
    <sheet name="Tabelle2" sheetId="17" r:id="rId11"/>
  </sheets>
  <definedNames>
    <definedName name="_10A">generell!$F$21</definedName>
    <definedName name="_10AA">generell!$F$20</definedName>
    <definedName name="_15C">generell!$F$23</definedName>
    <definedName name="_15CC">generell!$F$22</definedName>
    <definedName name="_15D">generell!$F$25</definedName>
    <definedName name="_15DD">generell!$F$24</definedName>
    <definedName name="_27Y">generell!$F$26</definedName>
    <definedName name="_27Y___215">generell!$F$38</definedName>
    <definedName name="_31C2">generell!$F$28</definedName>
    <definedName name="_33Y">generell!$F$27</definedName>
    <definedName name="_33Y___205">generell!$F$39</definedName>
    <definedName name="_xlnm.Print_Area" localSheetId="0">generell!$B$1:$V$71</definedName>
    <definedName name="_xlnm.Print_Area" localSheetId="2">'Sz 1'!$A$1:$L$22</definedName>
    <definedName name="_xlnm.Print_Area" localSheetId="3">'Sz 1 smL'!$A$1:$AJ$37</definedName>
    <definedName name="_xlnm.Print_Area" localSheetId="4">'Sz 2'!$A$1:$L$22</definedName>
    <definedName name="_xlnm.Print_Area" localSheetId="5">'Sz 2 smL'!$A$1:$X$72</definedName>
    <definedName name="_xlnm.Print_Area" localSheetId="6">'Sz 3'!$A$1:$L$33</definedName>
    <definedName name="_xlnm.Print_Area" localSheetId="7">'Sz 3 smL'!$A$1:$Z$54</definedName>
    <definedName name="_xlnm.Print_Area" localSheetId="8">'Sz 4'!$A$1:$L$27</definedName>
    <definedName name="_xlnm.Print_Area" localSheetId="9">'Sz 4 smL'!$A$1:$X$71</definedName>
  </definedNames>
  <calcPr calcId="162913"/>
</workbook>
</file>

<file path=xl/calcChain.xml><?xml version="1.0" encoding="utf-8"?>
<calcChain xmlns="http://schemas.openxmlformats.org/spreadsheetml/2006/main">
  <c r="H40" i="11" l="1"/>
  <c r="M26" i="11"/>
  <c r="K26" i="11"/>
  <c r="H23" i="8"/>
  <c r="O43" i="8"/>
  <c r="R40" i="8"/>
  <c r="E40" i="8" s="1"/>
  <c r="F41" i="8" s="1"/>
  <c r="P56" i="15"/>
  <c r="N56" i="15"/>
  <c r="L56" i="15"/>
  <c r="J56" i="15"/>
  <c r="P57" i="15"/>
  <c r="H57" i="15"/>
  <c r="H40" i="15"/>
  <c r="H39" i="15"/>
  <c r="H56" i="15" s="1"/>
  <c r="P40" i="15"/>
  <c r="P6" i="15"/>
  <c r="H6" i="15"/>
  <c r="AJ23" i="14"/>
  <c r="D41" i="8"/>
  <c r="H41" i="8" s="1"/>
  <c r="E39" i="8"/>
  <c r="P5" i="8"/>
  <c r="H59" i="8"/>
  <c r="H56" i="8"/>
  <c r="N23" i="8"/>
  <c r="E23" i="8" s="1"/>
  <c r="E22" i="8"/>
  <c r="Q13" i="1"/>
  <c r="N2" i="10"/>
  <c r="M2" i="10"/>
  <c r="N1" i="10"/>
  <c r="M1" i="10"/>
  <c r="N2" i="9"/>
  <c r="M2" i="9"/>
  <c r="N1" i="9"/>
  <c r="M1" i="9"/>
  <c r="N2" i="5"/>
  <c r="M2" i="5"/>
  <c r="N1" i="5"/>
  <c r="M1" i="5"/>
  <c r="M2" i="13"/>
  <c r="N2" i="13"/>
  <c r="M1" i="13"/>
  <c r="H57" i="8" l="1"/>
  <c r="H10" i="9" l="1"/>
  <c r="K14" i="9"/>
  <c r="K13" i="9"/>
  <c r="R28" i="1"/>
  <c r="O28" i="1" s="1"/>
  <c r="F28" i="1" s="1"/>
  <c r="H8" i="5" l="1"/>
  <c r="V6" i="11"/>
  <c r="H6" i="14"/>
  <c r="H8" i="13"/>
  <c r="F40" i="1"/>
  <c r="H25" i="14"/>
  <c r="H8" i="14"/>
  <c r="H42" i="8"/>
  <c r="H25" i="8"/>
  <c r="H8" i="8"/>
  <c r="H42" i="11"/>
  <c r="H42" i="15"/>
  <c r="H25" i="15"/>
  <c r="H24" i="11"/>
  <c r="H25" i="11" s="1"/>
  <c r="H7" i="11"/>
  <c r="H8" i="11" s="1"/>
  <c r="B56" i="8" l="1"/>
  <c r="F23" i="11" l="1"/>
  <c r="F6" i="11"/>
  <c r="F57" i="15"/>
  <c r="F40" i="15"/>
  <c r="F6" i="15"/>
  <c r="U26" i="11" l="1"/>
  <c r="F58" i="15" l="1"/>
  <c r="F41" i="15"/>
  <c r="F24" i="15"/>
  <c r="F7" i="15"/>
  <c r="F41" i="11"/>
  <c r="B39" i="8" l="1"/>
  <c r="E13" i="10" l="1"/>
  <c r="E12" i="10"/>
  <c r="E14" i="9"/>
  <c r="E15" i="9"/>
  <c r="E13" i="9"/>
  <c r="E13" i="13"/>
  <c r="E12" i="13"/>
  <c r="E13" i="5" l="1"/>
  <c r="E12" i="5"/>
  <c r="O9" i="15" l="1"/>
  <c r="O60" i="15"/>
  <c r="M60" i="15"/>
  <c r="K60" i="15"/>
  <c r="I60" i="15"/>
  <c r="O43" i="15"/>
  <c r="M43" i="15"/>
  <c r="K43" i="15"/>
  <c r="J41" i="15"/>
  <c r="I41" i="15" s="1"/>
  <c r="I42" i="15" s="1"/>
  <c r="I43" i="15"/>
  <c r="W26" i="15"/>
  <c r="U26" i="15"/>
  <c r="S26" i="15"/>
  <c r="M26" i="15"/>
  <c r="K26" i="15"/>
  <c r="I26" i="15"/>
  <c r="A1" i="15"/>
  <c r="Q26" i="15"/>
  <c r="O26" i="15"/>
  <c r="M9" i="15"/>
  <c r="K9" i="15"/>
  <c r="I9" i="15"/>
  <c r="L41" i="15" l="1"/>
  <c r="W43" i="11"/>
  <c r="U43" i="11"/>
  <c r="S43" i="11"/>
  <c r="Q43" i="11"/>
  <c r="O43" i="11"/>
  <c r="M43" i="11"/>
  <c r="K43" i="11"/>
  <c r="W26" i="11"/>
  <c r="S26" i="11"/>
  <c r="I26" i="11"/>
  <c r="O26" i="11"/>
  <c r="Q26" i="11"/>
  <c r="F24" i="11"/>
  <c r="F7" i="11"/>
  <c r="Q9" i="11"/>
  <c r="U9" i="11"/>
  <c r="S9" i="11"/>
  <c r="P5" i="11"/>
  <c r="K41" i="15" l="1"/>
  <c r="N41" i="15"/>
  <c r="AA26" i="14"/>
  <c r="AI26" i="14"/>
  <c r="AG26" i="14"/>
  <c r="AE26" i="14"/>
  <c r="AC26" i="14"/>
  <c r="Y26" i="14"/>
  <c r="W26" i="14"/>
  <c r="U26" i="14"/>
  <c r="F23" i="14"/>
  <c r="F24" i="14" s="1"/>
  <c r="S26" i="14"/>
  <c r="Q26" i="14"/>
  <c r="O26" i="14"/>
  <c r="M26" i="14"/>
  <c r="U9" i="14"/>
  <c r="M41" i="15" l="1"/>
  <c r="P41" i="15"/>
  <c r="O41" i="15" s="1"/>
  <c r="O42" i="15" s="1"/>
  <c r="Z42" i="15" s="1"/>
  <c r="A1" i="11" l="1"/>
  <c r="A1" i="8"/>
  <c r="A1" i="14"/>
  <c r="K26" i="14"/>
  <c r="I26" i="14"/>
  <c r="S9" i="14"/>
  <c r="Q9" i="14"/>
  <c r="O9" i="14"/>
  <c r="M9" i="14"/>
  <c r="K9" i="14"/>
  <c r="I9" i="14"/>
  <c r="J7" i="14"/>
  <c r="L7" i="14" s="1"/>
  <c r="E6" i="14"/>
  <c r="F7" i="14" s="1"/>
  <c r="N1" i="13"/>
  <c r="I43" i="11"/>
  <c r="J41" i="11"/>
  <c r="J24" i="11"/>
  <c r="L24" i="11" s="1"/>
  <c r="O9" i="11"/>
  <c r="M9" i="11"/>
  <c r="K9" i="11"/>
  <c r="I9" i="11"/>
  <c r="J7" i="11"/>
  <c r="L7" i="11" s="1"/>
  <c r="M60" i="8"/>
  <c r="K60" i="8"/>
  <c r="I60" i="8"/>
  <c r="Q43" i="8"/>
  <c r="M43" i="8"/>
  <c r="K43" i="8"/>
  <c r="I43" i="8"/>
  <c r="K24" i="11" l="1"/>
  <c r="N24" i="11"/>
  <c r="M24" i="11" s="1"/>
  <c r="N41" i="11"/>
  <c r="N7" i="14"/>
  <c r="K7" i="14"/>
  <c r="I7" i="14"/>
  <c r="I24" i="11"/>
  <c r="N7" i="11"/>
  <c r="K7" i="11"/>
  <c r="I7" i="11"/>
  <c r="I41" i="11"/>
  <c r="L41" i="11"/>
  <c r="K41" i="11" l="1"/>
  <c r="K42" i="11" s="1"/>
  <c r="P41" i="11"/>
  <c r="M41" i="11"/>
  <c r="R41" i="11"/>
  <c r="P7" i="14"/>
  <c r="M7" i="14"/>
  <c r="M8" i="14" s="1"/>
  <c r="P7" i="11"/>
  <c r="M7" i="11"/>
  <c r="O41" i="11" l="1"/>
  <c r="T41" i="11"/>
  <c r="X41" i="11" s="1"/>
  <c r="Q41" i="11"/>
  <c r="Q42" i="11" s="1"/>
  <c r="V41" i="11"/>
  <c r="U41" i="11" s="1"/>
  <c r="U42" i="11" s="1"/>
  <c r="R7" i="11"/>
  <c r="R7" i="14"/>
  <c r="Q7" i="14" s="1"/>
  <c r="O7" i="14"/>
  <c r="P24" i="11"/>
  <c r="O7" i="11"/>
  <c r="O8" i="11" s="1"/>
  <c r="S41" i="11" l="1"/>
  <c r="S42" i="11" s="1"/>
  <c r="W41" i="11"/>
  <c r="O24" i="11"/>
  <c r="O25" i="11" s="1"/>
  <c r="R24" i="11"/>
  <c r="T24" i="11" s="1"/>
  <c r="Q7" i="11"/>
  <c r="Q8" i="11" s="1"/>
  <c r="T7" i="11"/>
  <c r="S7" i="11" s="1"/>
  <c r="T7" i="14"/>
  <c r="V7" i="14" s="1"/>
  <c r="U7" i="14" s="1"/>
  <c r="U8" i="14" s="1"/>
  <c r="W42" i="11" l="1"/>
  <c r="AB42" i="11" s="1"/>
  <c r="V24" i="11"/>
  <c r="S24" i="11"/>
  <c r="S25" i="11" s="1"/>
  <c r="Q24" i="11"/>
  <c r="S7" i="14"/>
  <c r="S8" i="14" s="1"/>
  <c r="AL9" i="14" s="1"/>
  <c r="U24" i="11" l="1"/>
  <c r="V7" i="11"/>
  <c r="U7" i="11" s="1"/>
  <c r="U8" i="11" s="1"/>
  <c r="AB8" i="11" s="1"/>
  <c r="G13" i="1"/>
  <c r="G53" i="1" s="1"/>
  <c r="G7" i="1"/>
  <c r="G8" i="1"/>
  <c r="G9" i="1"/>
  <c r="G10" i="1"/>
  <c r="G11" i="1"/>
  <c r="G12" i="1"/>
  <c r="F5" i="8" l="1"/>
  <c r="F22" i="8" s="1"/>
  <c r="W9" i="8"/>
  <c r="U9" i="8"/>
  <c r="S9" i="8"/>
  <c r="Q9" i="8"/>
  <c r="O9" i="8"/>
  <c r="M9" i="8"/>
  <c r="E57" i="8"/>
  <c r="F58" i="8" s="1"/>
  <c r="J58" i="8"/>
  <c r="H39" i="8"/>
  <c r="K26" i="8"/>
  <c r="I26" i="8"/>
  <c r="J24" i="8"/>
  <c r="H40" i="8"/>
  <c r="J41" i="8" s="1"/>
  <c r="L41" i="8" s="1"/>
  <c r="N41" i="8" s="1"/>
  <c r="K9" i="8"/>
  <c r="I9" i="8"/>
  <c r="J7" i="8"/>
  <c r="L7" i="8" s="1"/>
  <c r="E6" i="8"/>
  <c r="T9" i="1"/>
  <c r="T7" i="1"/>
  <c r="S10" i="1"/>
  <c r="R10" i="1"/>
  <c r="M10" i="1"/>
  <c r="S9" i="1"/>
  <c r="R9" i="1"/>
  <c r="M9" i="1"/>
  <c r="K13" i="1"/>
  <c r="R13" i="1" s="1"/>
  <c r="R41" i="8" l="1"/>
  <c r="P41" i="8"/>
  <c r="O41" i="8" s="1"/>
  <c r="O42" i="8" s="1"/>
  <c r="I24" i="8"/>
  <c r="I25" i="8" s="1"/>
  <c r="L24" i="8"/>
  <c r="N24" i="8" s="1"/>
  <c r="M24" i="8" s="1"/>
  <c r="M25" i="8" s="1"/>
  <c r="F6" i="8"/>
  <c r="F7" i="8" s="1"/>
  <c r="I7" i="8"/>
  <c r="M13" i="1"/>
  <c r="L58" i="8"/>
  <c r="N58" i="8" s="1"/>
  <c r="I58" i="8"/>
  <c r="I59" i="8" s="1"/>
  <c r="K7" i="8"/>
  <c r="N7" i="8"/>
  <c r="I41" i="8"/>
  <c r="I42" i="8" s="1"/>
  <c r="M41" i="8"/>
  <c r="M42" i="8" s="1"/>
  <c r="K24" i="8" l="1"/>
  <c r="K25" i="8" s="1"/>
  <c r="Z25" i="8" s="1"/>
  <c r="F23" i="8"/>
  <c r="F24" i="8" s="1"/>
  <c r="K41" i="8"/>
  <c r="K42" i="8" s="1"/>
  <c r="Q41" i="8"/>
  <c r="M7" i="8"/>
  <c r="P7" i="8"/>
  <c r="M58" i="8"/>
  <c r="K58" i="8"/>
  <c r="K59" i="8" s="1"/>
  <c r="T10" i="1"/>
  <c r="O13" i="1"/>
  <c r="L13" i="1"/>
  <c r="L10" i="1"/>
  <c r="O10" i="1"/>
  <c r="O9" i="1"/>
  <c r="K9" i="1"/>
  <c r="L9" i="1" s="1"/>
  <c r="M59" i="8" l="1"/>
  <c r="Z59" i="8" s="1"/>
  <c r="Q42" i="8"/>
  <c r="Z42" i="8" s="1"/>
  <c r="O7" i="8"/>
  <c r="R7" i="8"/>
  <c r="Q7" i="8" l="1"/>
  <c r="T7" i="8"/>
  <c r="H9" i="5"/>
  <c r="F23" i="1"/>
  <c r="F24" i="1"/>
  <c r="F25" i="1"/>
  <c r="F22" i="1"/>
  <c r="K12" i="10" s="1"/>
  <c r="H7" i="15" s="1"/>
  <c r="R39" i="1"/>
  <c r="T39" i="1" s="1"/>
  <c r="E39" i="1" s="1"/>
  <c r="R38" i="1"/>
  <c r="T38" i="1" s="1"/>
  <c r="H23" i="15" l="1"/>
  <c r="J24" i="15" s="1"/>
  <c r="X23" i="11"/>
  <c r="X24" i="11" s="1"/>
  <c r="W24" i="11" s="1"/>
  <c r="W25" i="11" s="1"/>
  <c r="AB25" i="11" s="1"/>
  <c r="H23" i="14"/>
  <c r="J24" i="14" s="1"/>
  <c r="F38" i="1"/>
  <c r="E38" i="1"/>
  <c r="H8" i="15"/>
  <c r="J7" i="15"/>
  <c r="H9" i="10"/>
  <c r="H9" i="13"/>
  <c r="F39" i="1"/>
  <c r="S7" i="8"/>
  <c r="V7" i="8"/>
  <c r="Q7" i="1"/>
  <c r="Q8" i="1"/>
  <c r="Q9" i="1"/>
  <c r="Q10" i="1"/>
  <c r="Q12" i="1"/>
  <c r="Q11" i="1"/>
  <c r="F33" i="1"/>
  <c r="F34" i="1"/>
  <c r="F35" i="1"/>
  <c r="F36" i="1"/>
  <c r="F37" i="1"/>
  <c r="F32" i="1"/>
  <c r="I24" i="14" l="1"/>
  <c r="I25" i="14" s="1"/>
  <c r="L24" i="14"/>
  <c r="I24" i="15"/>
  <c r="L24" i="15"/>
  <c r="L7" i="15"/>
  <c r="I7" i="15"/>
  <c r="U7" i="8"/>
  <c r="X7" i="8"/>
  <c r="W7" i="8" s="1"/>
  <c r="W8" i="8" s="1"/>
  <c r="Z8" i="8" s="1"/>
  <c r="K11" i="1"/>
  <c r="L11" i="1" s="1"/>
  <c r="N12" i="1"/>
  <c r="K12" i="1" s="1"/>
  <c r="K8" i="1"/>
  <c r="R8" i="1" s="1"/>
  <c r="O7" i="1"/>
  <c r="L7" i="1"/>
  <c r="O11" i="1"/>
  <c r="O8" i="1"/>
  <c r="F13" i="1"/>
  <c r="F9" i="1"/>
  <c r="F12" i="1"/>
  <c r="F11" i="1"/>
  <c r="V10" i="1"/>
  <c r="F10" i="1"/>
  <c r="K24" i="15" l="1"/>
  <c r="P24" i="15"/>
  <c r="N24" i="15"/>
  <c r="K24" i="14"/>
  <c r="N24" i="14"/>
  <c r="N7" i="15"/>
  <c r="K7" i="15"/>
  <c r="M11" i="1"/>
  <c r="R11" i="1"/>
  <c r="M12" i="1"/>
  <c r="R12" i="1"/>
  <c r="O12" i="1"/>
  <c r="L12" i="1"/>
  <c r="P24" i="14" l="1"/>
  <c r="M24" i="14"/>
  <c r="M25" i="14" s="1"/>
  <c r="M24" i="15"/>
  <c r="R24" i="15"/>
  <c r="T24" i="15"/>
  <c r="O24" i="15"/>
  <c r="P7" i="15"/>
  <c r="O7" i="15" s="1"/>
  <c r="O8" i="15" s="1"/>
  <c r="Z8" i="15" s="1"/>
  <c r="M7" i="15"/>
  <c r="V7" i="1"/>
  <c r="M8" i="1"/>
  <c r="L8" i="1"/>
  <c r="F8" i="1"/>
  <c r="F7" i="1"/>
  <c r="Q24" i="15" l="1"/>
  <c r="V24" i="15"/>
  <c r="U24" i="15" s="1"/>
  <c r="S24" i="15"/>
  <c r="X24" i="15"/>
  <c r="O24" i="14"/>
  <c r="R24" i="14"/>
  <c r="H58" i="15" l="1"/>
  <c r="W24" i="15"/>
  <c r="W25" i="15" s="1"/>
  <c r="Z25" i="15" s="1"/>
  <c r="T24" i="14"/>
  <c r="Q24" i="14"/>
  <c r="Q25" i="14" s="1"/>
  <c r="S24" i="14" l="1"/>
  <c r="V24" i="14"/>
  <c r="J58" i="15"/>
  <c r="H59" i="15"/>
  <c r="U24" i="14" l="1"/>
  <c r="U25" i="14" s="1"/>
  <c r="X24" i="14"/>
  <c r="I58" i="15"/>
  <c r="I59" i="15" s="1"/>
  <c r="L58" i="15"/>
  <c r="Z24" i="14" l="1"/>
  <c r="Y24" i="14" s="1"/>
  <c r="W24" i="14"/>
  <c r="AB24" i="14"/>
  <c r="AD24" i="14" s="1"/>
  <c r="N58" i="15"/>
  <c r="K58" i="15"/>
  <c r="P58" i="15" l="1"/>
  <c r="O58" i="15" s="1"/>
  <c r="O59" i="15" s="1"/>
  <c r="Z59" i="15" s="1"/>
  <c r="M58" i="15"/>
  <c r="AA24" i="14"/>
  <c r="AC24" i="14"/>
  <c r="AC25" i="14" s="1"/>
  <c r="AF24" i="14"/>
  <c r="AE24" i="14" l="1"/>
  <c r="AH24" i="14"/>
  <c r="AJ24" i="14" l="1"/>
  <c r="AI24" i="14" s="1"/>
  <c r="AI25" i="14" s="1"/>
  <c r="AL25" i="14" s="1"/>
  <c r="AG24" i="14"/>
</calcChain>
</file>

<file path=xl/sharedStrings.xml><?xml version="1.0" encoding="utf-8"?>
<sst xmlns="http://schemas.openxmlformats.org/spreadsheetml/2006/main" count="753" uniqueCount="384">
  <si>
    <t>TGV</t>
  </si>
  <si>
    <t>TfZ-ID EBD</t>
  </si>
  <si>
    <t>ETCS-ID</t>
  </si>
  <si>
    <t>RB</t>
  </si>
  <si>
    <t>RE</t>
  </si>
  <si>
    <t>IC</t>
  </si>
  <si>
    <t># Wagen</t>
  </si>
  <si>
    <t>Typ Wagen</t>
  </si>
  <si>
    <t>Masse</t>
  </si>
  <si>
    <t># Achsen</t>
  </si>
  <si>
    <t>Leistung</t>
  </si>
  <si>
    <t>div., 2-achsig</t>
  </si>
  <si>
    <t>V_max TfZ</t>
  </si>
  <si>
    <t>V_max Zug</t>
  </si>
  <si>
    <t>[m]</t>
  </si>
  <si>
    <t>[Mg]</t>
  </si>
  <si>
    <t>[km/h]</t>
  </si>
  <si>
    <t>[kN]</t>
  </si>
  <si>
    <t>[kW]</t>
  </si>
  <si>
    <t xml:space="preserve">Betrachtungsraum: </t>
  </si>
  <si>
    <t>Strecke</t>
  </si>
  <si>
    <t>Richtung</t>
  </si>
  <si>
    <t>DP-Typ</t>
  </si>
  <si>
    <t>NID_BG</t>
  </si>
  <si>
    <t>31C2</t>
  </si>
  <si>
    <t>-</t>
  </si>
  <si>
    <t>10AA</t>
  </si>
  <si>
    <t>15DD</t>
  </si>
  <si>
    <t>+</t>
  </si>
  <si>
    <t>10A</t>
  </si>
  <si>
    <t>15C</t>
  </si>
  <si>
    <t>15CC</t>
  </si>
  <si>
    <t>v.-n.</t>
  </si>
  <si>
    <t>Startpositionen:</t>
  </si>
  <si>
    <t>Zielpositionen:</t>
  </si>
  <si>
    <t xml:space="preserve">Richtung: </t>
  </si>
  <si>
    <t>Rangierfahrt</t>
  </si>
  <si>
    <t>GW, 2-achsig</t>
  </si>
  <si>
    <t>IC-Wagen</t>
  </si>
  <si>
    <t>15D</t>
  </si>
  <si>
    <t>Regel-/Gegengl.</t>
  </si>
  <si>
    <t>R</t>
  </si>
  <si>
    <t>G</t>
  </si>
  <si>
    <t>N/A</t>
  </si>
  <si>
    <t>Zugfahrt auf</t>
  </si>
  <si>
    <t>R,G steht hier für Regelgleis (rechtes), Gegengleis (linkes) der Zugfahrt</t>
  </si>
  <si>
    <t>NID_C = 127</t>
  </si>
  <si>
    <t>33Y</t>
  </si>
  <si>
    <t>Gl. 27</t>
  </si>
  <si>
    <t>Gl. 33</t>
  </si>
  <si>
    <t/>
  </si>
  <si>
    <t>Distanz:</t>
  </si>
  <si>
    <t>Prellbock:</t>
  </si>
  <si>
    <t>27Y:</t>
  </si>
  <si>
    <t>33Y:</t>
  </si>
  <si>
    <t>Aufstellräume:</t>
  </si>
  <si>
    <t xml:space="preserve">Szenarien rund um Martinstein für 'Showroom EBD' am  30.6.2020 </t>
  </si>
  <si>
    <t>Stand:</t>
  </si>
  <si>
    <t>Gleis:</t>
  </si>
  <si>
    <t>bezieht sich auf die Wirkrichtung des DP</t>
  </si>
  <si>
    <t xml:space="preserve"> "+" in Wirkrichtung des DP</t>
  </si>
  <si>
    <t xml:space="preserve"> "-" gegen die Wirkrichtung des DP</t>
  </si>
  <si>
    <t>Hinweis:</t>
  </si>
  <si>
    <t xml:space="preserve">Beim Start gegen ein Esig des dahinterliegenden Bahnhofs also "-".  </t>
  </si>
  <si>
    <t>werden bei Initialisierung des Tfz im initialen Position Report verwendet</t>
  </si>
  <si>
    <t>Beschreibung:</t>
  </si>
  <si>
    <t>Züge:</t>
  </si>
  <si>
    <t>Startkonfiguration:</t>
  </si>
  <si>
    <t>IC1013</t>
  </si>
  <si>
    <t>10W1S</t>
  </si>
  <si>
    <t>false</t>
  </si>
  <si>
    <t>Zeit / Event</t>
  </si>
  <si>
    <t>Zug</t>
  </si>
  <si>
    <t>EoA</t>
  </si>
  <si>
    <t>D-Weg</t>
  </si>
  <si>
    <t>#</t>
  </si>
  <si>
    <t xml:space="preserve">MA </t>
  </si>
  <si>
    <t>Szenario 2: Flexible D-Weg-Längen</t>
  </si>
  <si>
    <t>TGV4090</t>
  </si>
  <si>
    <t>12P2</t>
  </si>
  <si>
    <t>1233Y</t>
  </si>
  <si>
    <t>12W32R</t>
  </si>
  <si>
    <t>12W13CDL</t>
  </si>
  <si>
    <t>31W1S</t>
  </si>
  <si>
    <t>entspricht</t>
  </si>
  <si>
    <t>true</t>
  </si>
  <si>
    <t>12N5</t>
  </si>
  <si>
    <t>12FF</t>
  </si>
  <si>
    <t>ESTW-Grundstellung:</t>
  </si>
  <si>
    <t xml:space="preserve">Alle Signale auf Hp0. (Sh0 und Hp00 sind ja abgeschafft.) </t>
  </si>
  <si>
    <t xml:space="preserve">Beachte: </t>
  </si>
  <si>
    <t>(unabhängig von L_Vorbild)</t>
  </si>
  <si>
    <t>Anf.zugkraft</t>
  </si>
  <si>
    <t>L_Vorbild</t>
  </si>
  <si>
    <t>L = L_Modell * 250</t>
  </si>
  <si>
    <t>L_Modell</t>
  </si>
  <si>
    <t>[cm]</t>
  </si>
  <si>
    <t>L</t>
  </si>
  <si>
    <t>Vorbild</t>
  </si>
  <si>
    <t>Pos. BP</t>
  </si>
  <si>
    <t>TwZug</t>
  </si>
  <si>
    <t>Zugverband</t>
  </si>
  <si>
    <t>Modell</t>
  </si>
  <si>
    <t>[km]</t>
  </si>
  <si>
    <t>abgerundet:</t>
  </si>
  <si>
    <t>15CC folgende:</t>
  </si>
  <si>
    <t>Chateauprix</t>
  </si>
  <si>
    <t>Zugende an 31C2</t>
  </si>
  <si>
    <t>Zugspitze an 33Y</t>
  </si>
  <si>
    <t>2000, G</t>
  </si>
  <si>
    <t>Ma Gl. 33, G</t>
  </si>
  <si>
    <t>"-"</t>
  </si>
  <si>
    <t>"+"</t>
  </si>
  <si>
    <t>Zugbezeichner</t>
  </si>
  <si>
    <t>Strecke, Richtung</t>
  </si>
  <si>
    <t>Zugposition</t>
  </si>
  <si>
    <t>Pos. Zugspitze</t>
  </si>
  <si>
    <t>Ri.</t>
  </si>
  <si>
    <t>F-Ma</t>
  </si>
  <si>
    <t>S-Ma</t>
  </si>
  <si>
    <t>Ma</t>
  </si>
  <si>
    <t>C-Ma</t>
  </si>
  <si>
    <t>Ma-F</t>
  </si>
  <si>
    <t>Ma-S</t>
  </si>
  <si>
    <t>Ma-C</t>
  </si>
  <si>
    <t xml:space="preserve">Alle Gleissperren aufgelegt; außer: Gs 40 abgelegt. </t>
  </si>
  <si>
    <t>richtung</t>
  </si>
  <si>
    <t>Strecken</t>
  </si>
  <si>
    <t>gegen</t>
  </si>
  <si>
    <t>in</t>
  </si>
  <si>
    <t>Bezugspkt.</t>
  </si>
  <si>
    <t>ETCS-Startstellung:</t>
  </si>
  <si>
    <t xml:space="preserve"> </t>
  </si>
  <si>
    <t xml:space="preserve">Angegeben sind nur die von den Laufwegen der beteiligten Züge betroffenen Weichen (sowie ggbf. Abweichungen von der ETCS-Grundstellung). </t>
  </si>
  <si>
    <t>Laufweg:</t>
  </si>
  <si>
    <t>Flankenschutz:</t>
  </si>
  <si>
    <t>12Vc</t>
  </si>
  <si>
    <t>12C</t>
  </si>
  <si>
    <t>W13/14 L/L</t>
  </si>
  <si>
    <t>W19/20 L/L</t>
  </si>
  <si>
    <t>W18 L</t>
  </si>
  <si>
    <t>W36 R</t>
  </si>
  <si>
    <t>W36 L</t>
  </si>
  <si>
    <t>W38 R</t>
  </si>
  <si>
    <t>W37 L</t>
  </si>
  <si>
    <t>W37 R</t>
  </si>
  <si>
    <t>W24</t>
  </si>
  <si>
    <t>W37R</t>
  </si>
  <si>
    <t xml:space="preserve">Flexible Länge des D-Wegs für TGV4090 von 31C2 nach 12N5 ermöglicht schnellstmögliche Einfahrt. </t>
  </si>
  <si>
    <t>Längen ausgemessen an Modellzügen.</t>
  </si>
  <si>
    <t>Äquivalente Längen für Vorbild berechnet.</t>
  </si>
  <si>
    <t>FR</t>
  </si>
  <si>
    <t>CS</t>
  </si>
  <si>
    <t>ESTW-Startstellung:</t>
  </si>
  <si>
    <t>Szenario-spezifische Stellung der Elemente zum Szenario-Beginn</t>
  </si>
  <si>
    <t>Weitere Weichenstellungen erfolgen dann im Laufe des Szenarios auf Anforderung.</t>
  </si>
  <si>
    <t>TrainCat</t>
  </si>
  <si>
    <t>Passenger</t>
  </si>
  <si>
    <t>Freight P</t>
  </si>
  <si>
    <t>Freight G</t>
  </si>
  <si>
    <t>Erz (Fals), 4-a.</t>
  </si>
  <si>
    <t>Zugbez.</t>
  </si>
  <si>
    <t>Zugnr.</t>
  </si>
  <si>
    <t>Gattung</t>
  </si>
  <si>
    <t>None</t>
  </si>
  <si>
    <t>Zulässige Geschwindigkeiten:</t>
  </si>
  <si>
    <t>Weichen/DKW: gerader Strang mit Streckengeschw., abzweigend mit 60 km/h</t>
  </si>
  <si>
    <t>=</t>
  </si>
  <si>
    <t>W34R W35L</t>
  </si>
  <si>
    <t>(4090 ~ 12Vc)</t>
  </si>
  <si>
    <t>smartLogic</t>
  </si>
  <si>
    <t xml:space="preserve">Diese werden erreicht über Rangieren von Hand; Züge werden vor Beginn der Demonstration dort aufgestellt. </t>
  </si>
  <si>
    <t>Grundstellung, die vor Beginn der Demonstration herzustellen ist.</t>
  </si>
  <si>
    <t>rf</t>
  </si>
  <si>
    <t>Martinstein</t>
  </si>
  <si>
    <t>Schlüsselhöhe</t>
  </si>
  <si>
    <t>Wilhelmstal</t>
  </si>
  <si>
    <t xml:space="preserve">Gs 40 muss abgelegt sein. </t>
  </si>
  <si>
    <t>SNCF-km:</t>
  </si>
  <si>
    <t>Bhf.</t>
  </si>
  <si>
    <t>Gleise</t>
  </si>
  <si>
    <t>Signale</t>
  </si>
  <si>
    <t>1,2,3,4</t>
  </si>
  <si>
    <t>N</t>
  </si>
  <si>
    <t>C,CC,D,DD</t>
  </si>
  <si>
    <t>1,2,3,5,6</t>
  </si>
  <si>
    <t>P</t>
  </si>
  <si>
    <t>102 - 105</t>
  </si>
  <si>
    <t>nur zum Abstellen</t>
  </si>
  <si>
    <t>Ausfahrt</t>
  </si>
  <si>
    <t>Einfahrt</t>
  </si>
  <si>
    <t>AA,A,BB,B</t>
  </si>
  <si>
    <t>C2</t>
  </si>
  <si>
    <t>1,2,11-13</t>
  </si>
  <si>
    <t>Szenario 1: Verlangsamte Einfahrten vermeiden</t>
  </si>
  <si>
    <t>Szenario 3: Dynamische Durchrutschwege</t>
  </si>
  <si>
    <t>Szenario 4: Unnötige Halte vermeiden</t>
  </si>
  <si>
    <t>FE1453</t>
  </si>
  <si>
    <t>1100, R</t>
  </si>
  <si>
    <t>Zugspitze an 15DD</t>
  </si>
  <si>
    <t>15W12S</t>
  </si>
  <si>
    <t>W13/14 R/L</t>
  </si>
  <si>
    <t>W21 L</t>
  </si>
  <si>
    <t>12N6</t>
  </si>
  <si>
    <t>W34</t>
  </si>
  <si>
    <t>W33 R</t>
  </si>
  <si>
    <t>10A+250</t>
  </si>
  <si>
    <t>12B</t>
  </si>
  <si>
    <t>W5 R</t>
  </si>
  <si>
    <t>W9 R</t>
  </si>
  <si>
    <t>W18 R</t>
  </si>
  <si>
    <t>W35 L</t>
  </si>
  <si>
    <t>W34 R</t>
  </si>
  <si>
    <t>2000, R</t>
  </si>
  <si>
    <t>Zugspitze an 12P7</t>
  </si>
  <si>
    <t>1100, G</t>
  </si>
  <si>
    <t>Zugspitze an 12P6</t>
  </si>
  <si>
    <t>RE4240</t>
  </si>
  <si>
    <t>Zugspitze an 10AA</t>
  </si>
  <si>
    <t>1000, G</t>
  </si>
  <si>
    <t>W13/14 L/R</t>
  </si>
  <si>
    <t>W16/16 R/R</t>
  </si>
  <si>
    <t>W23 R</t>
  </si>
  <si>
    <t>W14/13</t>
  </si>
  <si>
    <t>12F</t>
  </si>
  <si>
    <t>CS1456</t>
  </si>
  <si>
    <t>RB6413</t>
  </si>
  <si>
    <t>W9 L</t>
  </si>
  <si>
    <t>W10/11 L/L</t>
  </si>
  <si>
    <t>N4</t>
  </si>
  <si>
    <t>W35 R</t>
  </si>
  <si>
    <t>W37</t>
  </si>
  <si>
    <t>Halt</t>
  </si>
  <si>
    <t>Durchfahrt</t>
  </si>
  <si>
    <t>(CS1456 &gt; 12B)</t>
  </si>
  <si>
    <t>1000, R</t>
  </si>
  <si>
    <t>Zugspitze an 12N2</t>
  </si>
  <si>
    <t>etcsID</t>
  </si>
  <si>
    <t>infrastructureID</t>
  </si>
  <si>
    <t>rbcID</t>
  </si>
  <si>
    <t xml:space="preserve"> startingBalise
Group </t>
  </si>
  <si>
    <t xml:space="preserve"> starting
Direction </t>
  </si>
  <si>
    <t xml:space="preserve"> starting
Increment</t>
  </si>
  <si>
    <t xml:space="preserve"> starting
Track </t>
  </si>
  <si>
    <t>Richtung:</t>
  </si>
  <si>
    <t>Orientierung des DP ergibt sich als die Richtung, in der ein Zug zuerst Balise 1 danach Balise 2 überfährt.</t>
  </si>
  <si>
    <t>rf292</t>
  </si>
  <si>
    <t>SvL / D_DP</t>
  </si>
  <si>
    <t xml:space="preserve"> Idealerweise wird so ein unnötiger Halt des GZ an N4 vermieden.</t>
  </si>
  <si>
    <t xml:space="preserve">Der blaue GZ kann bereits bis zum Grenzzeichen an Weiche 37 vorrücken; </t>
  </si>
  <si>
    <t>erst diese ist durch eine andere Fahrt in Anspruch genommen.</t>
  </si>
  <si>
    <t>Dynamische Durchrutschwege ermöglichen zusätzliche Fahrwege.</t>
  </si>
  <si>
    <t xml:space="preserve">Rangierfahrt rf292 aus Gl. 33 über W36,W37,W38 nach Gl. 2 bis 12P2. </t>
  </si>
  <si>
    <t xml:space="preserve">SvL für TGV4090 hinter W35, SvL für rf292 vor W35 und soweit hinter W36 wie Zuglänge erfordert. </t>
  </si>
  <si>
    <t>als Gefahrpunkt (SvL) dienen kann.</t>
  </si>
  <si>
    <t xml:space="preserve">Entfall unnötig verlangsamter Einfahrten, </t>
  </si>
  <si>
    <t>da jeder Punkt (z. B. Grenzzeichen von W34)</t>
  </si>
  <si>
    <t>2,3,5,6</t>
  </si>
  <si>
    <t>W5 L</t>
  </si>
  <si>
    <t>train
ConfigID</t>
  </si>
  <si>
    <t>F</t>
  </si>
  <si>
    <t>Startpunkt</t>
  </si>
  <si>
    <t>Zielpunkt</t>
  </si>
  <si>
    <t>Startort</t>
  </si>
  <si>
    <t>Zielort</t>
  </si>
  <si>
    <t>C</t>
  </si>
  <si>
    <t>S</t>
  </si>
  <si>
    <t>12P5</t>
  </si>
  <si>
    <t>12P6</t>
  </si>
  <si>
    <t>12P7</t>
  </si>
  <si>
    <t xml:space="preserve"> 12P7</t>
  </si>
  <si>
    <t xml:space="preserve"> 12P6</t>
  </si>
  <si>
    <t xml:space="preserve"> 10AA</t>
  </si>
  <si>
    <t>train
ScheduleID</t>
  </si>
  <si>
    <t>12N2</t>
  </si>
  <si>
    <t>FE1452</t>
  </si>
  <si>
    <t>15W11R</t>
  </si>
  <si>
    <t>10W3L</t>
  </si>
  <si>
    <t>31C2 + 250</t>
  </si>
  <si>
    <t>15D + 250</t>
  </si>
  <si>
    <t xml:space="preserve">Fahrten im Bahnhof generell auf allen Gleisen mit 160 km/h </t>
  </si>
  <si>
    <t>Fahrten auf freier Strecke generell mit 160 km/h</t>
  </si>
  <si>
    <t>Zugspitze an der Balise</t>
  </si>
  <si>
    <t>Distanz</t>
  </si>
  <si>
    <t>Kontroll-</t>
  </si>
  <si>
    <t>summe</t>
  </si>
  <si>
    <t>neue MA</t>
  </si>
  <si>
    <t>verlängerte MA</t>
  </si>
  <si>
    <t>ACHTUNG! TGV beim Zurückrangieren bis hinter 31C2 fahren, so dass 
nach Richtungsumkehr altes Zugende, also neue Zugspitze an der Balise steht.</t>
  </si>
  <si>
    <t>Fahrweg</t>
  </si>
  <si>
    <t>Strecken-Km</t>
  </si>
  <si>
    <t>V_zul</t>
  </si>
  <si>
    <t>Länge Segmente</t>
  </si>
  <si>
    <t>Fahrweg / Strecken-Km / Distanz / Länge / V_zul</t>
  </si>
  <si>
    <t>Distanz LRBG</t>
  </si>
  <si>
    <t xml:space="preserve">Vorziehen um Zuglänge vor Nutzung als neue Startposition erforderlich! </t>
  </si>
  <si>
    <t>als Ziele in letzter MA zu verwenden; danach Züge von Hand wegzufahren</t>
  </si>
  <si>
    <t>Q_DIRTRAIN = nominal = 1 = true bedeutet: der Zug fährt in Richtung der Orientierung des DP / der BG.</t>
  </si>
  <si>
    <t>W9R kein echter Flankenschutz, aber der längere Weg</t>
  </si>
  <si>
    <t>Anmerkung:</t>
  </si>
  <si>
    <t>12W36R</t>
  </si>
  <si>
    <t>31C2; 12Vc; 12C; W13/14 L/R; W16/17 R/L; W21 L;  N6.</t>
  </si>
  <si>
    <t>Gsp12; Gsp15; W23 L; W20 L; W32 R; W34 R; W18 R .</t>
  </si>
  <si>
    <t xml:space="preserve">15DD; 12B; W5 R; W9 R; W18 R; W19/20 L/L; W34 R; W35 L; W36 L; W37 L; W38 R; 12FF; 10A. </t>
  </si>
  <si>
    <t>W37 R | W39 R; N2 / W24L | W39 R; W36 R; W24 L.</t>
  </si>
  <si>
    <t>1233Y; W36 R; W35 L; W34 L; W33 R; 12P6.</t>
  </si>
  <si>
    <t xml:space="preserve">12P7; W23 R; W16/17 R/R; W13/14 L/R; 12C; 12Vc; 31C2. </t>
  </si>
  <si>
    <t>W18 R.</t>
  </si>
  <si>
    <t>12P6; W21 R; W19/20 R/R; W10/11 R/R; W6/7 L/R; W5 L; 12B; 15DD.</t>
  </si>
  <si>
    <t xml:space="preserve">W9 R. </t>
  </si>
  <si>
    <t>10AA; 12F; W39 L; W38 L; W37 L; W36 L; W35 L; W34 R; 12P5.</t>
  </si>
  <si>
    <t xml:space="preserve">W39 R. </t>
  </si>
  <si>
    <t xml:space="preserve">15DD; 12B; W5 R; W9 L; W10/11 L/L; N4; W35 R; W36 L; W37 | W37 L; W38 R; W38 R; 12FF; 10A. </t>
  </si>
  <si>
    <t>ACHTUNG! TGV beim Zurückrangieren bis hinter 31C2 fahren, so dass nach 
Richtungsumkehr voriges Zugende, also jetzige Zugspitze, an der Balise steht.</t>
  </si>
  <si>
    <t>"|" steht für Richtungsumkehr</t>
  </si>
  <si>
    <t>Zugspitze an 31C2</t>
  </si>
  <si>
    <t>Grenze:</t>
  </si>
  <si>
    <t>Z_Ap:</t>
  </si>
  <si>
    <t>31C2; 12Vc; 12C; W13/14 L/L; W18 L; W19/20 L/L; N5.</t>
  </si>
  <si>
    <t>W16/17 L/L; W23 L; W21 L; W32 R; W9 L; W10/11 L/L; W37 R.</t>
  </si>
  <si>
    <t>Fahrt mit MA zum Startpunkt:</t>
  </si>
  <si>
    <t>1227Y</t>
  </si>
  <si>
    <t>10A; 12FF; W38 R; W37 L; W36 L; W35 L; W34 L; W33 L; W32 L; 12P7.</t>
  </si>
  <si>
    <t>12N2; W37 R; W38 R; 12FF; 10A.</t>
  </si>
  <si>
    <t>15CC; 12A; 12W2/3 L/L; 12W8 R; 12W24 R; 12N2.</t>
  </si>
  <si>
    <t>Distanzen:</t>
  </si>
  <si>
    <t>Alle Distanzen ergeben sich aus den auf der Streckenkilometrierung basierenden Positionsangaben</t>
  </si>
  <si>
    <t xml:space="preserve">der LST-Elemente, d.h. der Positionen der Bezugspunkte. </t>
  </si>
  <si>
    <r>
      <rPr>
        <b/>
        <sz val="11"/>
        <color theme="1"/>
        <rFont val="Calibri"/>
        <family val="2"/>
        <scheme val="minor"/>
      </rPr>
      <t>Beachte:</t>
    </r>
    <r>
      <rPr>
        <sz val="11"/>
        <color theme="1"/>
        <rFont val="Calibri"/>
        <family val="2"/>
        <scheme val="minor"/>
      </rPr>
      <t xml:space="preserve"> Ein Offset der Positionen der DP / BG zu denen der Bezugspunkte ist noch nicht eingerechnet!</t>
    </r>
  </si>
  <si>
    <t xml:space="preserve">Schließlich haben wir ja aktuell noch keine echte DP-Ausrüstungsplanung vorliegen (zumindest keine </t>
  </si>
  <si>
    <t xml:space="preserve">auf der letzten korrigierten Fassung der ProSig-Planung beruhende und für uns nutzbare). Stattdessen </t>
  </si>
  <si>
    <t xml:space="preserve">haben wir nur am Rande des Betrachtungsbereichs (gewissermaßen fiktive) Balisen eingeführt.  </t>
  </si>
  <si>
    <t xml:space="preserve">Anders formuliert: </t>
  </si>
  <si>
    <t xml:space="preserve">definieren die Positionen der zugeordneten Datenpunkte (also der Lage der jeweils ersten Balise). </t>
  </si>
  <si>
    <t xml:space="preserve">nicht von Belang. Auch dass korrekterweise die Balisen einen gewissen Abstand zum Bezugspunkt und </t>
  </si>
  <si>
    <t>Die in dieser Tabelle oben als "Pos. BP" angegebenen Positionen (Angabe von Strecke und Strecken-km)</t>
  </si>
  <si>
    <t xml:space="preserve">Im gegenwärtigen Stadium ist die Unterscheidung nach Balise 1 und Balise 2 innerhalb eines DP für uns </t>
  </si>
  <si>
    <t xml:space="preserve">Wichtig ist nur, dies bei der Positionierung von Zügen (Startpositionen für Szenarien) zu berücksichtigen. </t>
  </si>
  <si>
    <t xml:space="preserve">Für virtuelle Züge in der Simulation ist das durch das passende startingIncrement sowieso sichergestellt. </t>
  </si>
  <si>
    <t xml:space="preserve">Für Modellzüge auf der Anlage bedeutet das: unmittelbar vor dem jeweiligen Signal. </t>
  </si>
  <si>
    <t xml:space="preserve">entlang seines Fahrweges tatsächlich zurückgelegten Wegstrecken entsprechen. </t>
  </si>
  <si>
    <t>Korrekturen:</t>
  </si>
  <si>
    <t xml:space="preserve">W6/7 R/R; W8 R; W10/11 R/L; W21 L; W13/14 L/R; W32 R; Gsp 40; W39 R. </t>
  </si>
  <si>
    <t xml:space="preserve">Gsp 40; W32 R. </t>
  </si>
  <si>
    <t>W6/7 R/R; W18 L; W 19/20 L/L;  Gsp 40; W32 R.</t>
  </si>
  <si>
    <r>
      <t>Variable startingDirection aus initFile entspricht ETCS-Variable Q_DIRTRAI</t>
    </r>
    <r>
      <rPr>
        <sz val="11"/>
        <rFont val="Calibri"/>
        <family val="2"/>
        <scheme val="minor"/>
      </rPr>
      <t>N. Also: Q_DIRTRAIN = startingDirection</t>
    </r>
    <r>
      <rPr>
        <sz val="11"/>
        <color theme="1"/>
        <rFont val="Calibri"/>
        <family val="2"/>
        <scheme val="minor"/>
      </rPr>
      <t xml:space="preserve">. </t>
    </r>
  </si>
  <si>
    <t>W36L W37L</t>
  </si>
  <si>
    <t>W37 S</t>
  </si>
  <si>
    <t>W36 S</t>
  </si>
  <si>
    <t>W19 L</t>
  </si>
  <si>
    <t>W20 L</t>
  </si>
  <si>
    <t>W13 L</t>
  </si>
  <si>
    <t>W35S+105</t>
  </si>
  <si>
    <t>Zugspitze:</t>
  </si>
  <si>
    <t>33Y; W36 R | W36 L; W37 L | W37 R; P2.</t>
  </si>
  <si>
    <t>dabei ist Zuglänge zu beachten (neue Zugspitze = alte Zugspitze +/- Zuglänge)</t>
  </si>
  <si>
    <t>W17 L</t>
  </si>
  <si>
    <t>W18 S</t>
  </si>
  <si>
    <t>W21 S</t>
  </si>
  <si>
    <t>W5 S</t>
  </si>
  <si>
    <t>W38R+50</t>
  </si>
  <si>
    <t>Planungsstand:</t>
  </si>
  <si>
    <t>Basis der Streckenkilometrierung ist der Planungsstand von</t>
  </si>
  <si>
    <t xml:space="preserve">Im vorliegenden Ausdruck des Plans nicht enthalten. </t>
  </si>
  <si>
    <t xml:space="preserve">wie aus Plan abgelesen mit Abstand 1,0 km. </t>
  </si>
  <si>
    <t>Deshalb berechnet aus Position von 15Vcc ff.</t>
  </si>
  <si>
    <r>
      <rPr>
        <b/>
        <sz val="11"/>
        <color theme="1"/>
        <rFont val="Calibri"/>
        <family val="2"/>
        <scheme val="minor"/>
      </rPr>
      <t xml:space="preserve">Beachte: </t>
    </r>
    <r>
      <rPr>
        <sz val="11"/>
        <color theme="1"/>
        <rFont val="Calibri"/>
        <family val="2"/>
        <scheme val="minor"/>
      </rPr>
      <t xml:space="preserve">Außerdem gilt, dass diese Distanzen damit noch nicht den von einem Zug </t>
    </r>
  </si>
  <si>
    <t>Diese wurden an den Positionen der jeweiligen Bezugspunkte (Signale) positioniert.</t>
  </si>
  <si>
    <t xml:space="preserve">untereinander haben müssten, können wir aktuell vernachlässigen und wird von uns aktuell vernachlässigt. </t>
  </si>
  <si>
    <t>Position 31C2 gemäß Infrastrukturplan Chateauprix.</t>
  </si>
  <si>
    <t>31C2: Umrechnung von Streckenkilometer SNCF und</t>
  </si>
  <si>
    <t>W20 R</t>
  </si>
  <si>
    <t>W10 R</t>
  </si>
  <si>
    <t>W7 R</t>
  </si>
  <si>
    <t>W39 S</t>
  </si>
  <si>
    <t>W38 S</t>
  </si>
  <si>
    <t>W35 S</t>
  </si>
  <si>
    <t xml:space="preserve">Alle Weichen in Vorzugsstellung. Wo nicht definiert: W auf "gerade" (bezogen auf Gleisschema), DKW beide Stränge auf "gerade". </t>
  </si>
  <si>
    <t>martin_1806_cad Model_25715.pdf</t>
  </si>
  <si>
    <t>Es kann für jeden Zug über eine Konfiguration innerhalb der SmartLogic die Richtung eingestellt werden</t>
  </si>
  <si>
    <t>Es wurde darauf geachtet, dass der Zug in die Strecke hinein fährt.</t>
  </si>
  <si>
    <t>Martinsstein Bahnhof beginnt 2000</t>
  </si>
  <si>
    <t>12,4 m</t>
  </si>
  <si>
    <t>DKW 13/14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</si>
</sst>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center"/>
    </xf>
    <xf numFmtId="22" fontId="5" fillId="0" borderId="0" xfId="0" applyNumberFormat="1" applyFont="1" applyAlignment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5" fontId="7" fillId="0" borderId="0" xfId="0" applyNumberFormat="1" applyFont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1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8" fillId="0" borderId="0" xfId="0" applyFont="1"/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horizontal="center" vertical="top"/>
    </xf>
    <xf numFmtId="20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vertical="top"/>
    </xf>
    <xf numFmtId="165" fontId="0" fillId="5" borderId="0" xfId="0" applyNumberFormat="1" applyFill="1" applyAlignment="1">
      <alignment horizontal="center" vertical="top"/>
    </xf>
    <xf numFmtId="1" fontId="0" fillId="7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20" fontId="0" fillId="3" borderId="0" xfId="0" applyNumberFormat="1" applyFill="1" applyAlignment="1">
      <alignment horizontal="center" vertical="top"/>
    </xf>
    <xf numFmtId="20" fontId="0" fillId="5" borderId="0" xfId="0" applyNumberFormat="1" applyFill="1" applyAlignment="1">
      <alignment vertical="top" wrapText="1"/>
    </xf>
    <xf numFmtId="20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vertical="top"/>
    </xf>
    <xf numFmtId="49" fontId="0" fillId="4" borderId="0" xfId="0" applyNumberFormat="1" applyFill="1" applyAlignment="1">
      <alignment horizontal="center" vertical="top" wrapText="1"/>
    </xf>
    <xf numFmtId="49" fontId="0" fillId="4" borderId="0" xfId="0" applyNumberFormat="1" applyFill="1" applyAlignment="1">
      <alignment horizontal="center" vertical="top"/>
    </xf>
    <xf numFmtId="0" fontId="0" fillId="3" borderId="0" xfId="0" applyFill="1" applyAlignment="1">
      <alignment horizontal="center"/>
    </xf>
    <xf numFmtId="165" fontId="0" fillId="3" borderId="0" xfId="0" applyNumberFormat="1" applyFill="1"/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/>
    <xf numFmtId="0" fontId="8" fillId="5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top" wrapText="1"/>
    </xf>
    <xf numFmtId="0" fontId="0" fillId="8" borderId="0" xfId="0" applyFill="1" applyAlignment="1">
      <alignment horizontal="center"/>
    </xf>
    <xf numFmtId="165" fontId="0" fillId="8" borderId="0" xfId="0" applyNumberFormat="1" applyFill="1"/>
    <xf numFmtId="0" fontId="0" fillId="9" borderId="0" xfId="0" applyFill="1" applyAlignment="1">
      <alignment horizontal="center"/>
    </xf>
    <xf numFmtId="165" fontId="0" fillId="9" borderId="0" xfId="0" applyNumberFormat="1" applyFill="1"/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top"/>
    </xf>
    <xf numFmtId="20" fontId="0" fillId="9" borderId="0" xfId="0" applyNumberFormat="1" applyFill="1" applyAlignment="1">
      <alignment horizontal="center" vertical="top" wrapText="1"/>
    </xf>
    <xf numFmtId="0" fontId="0" fillId="9" borderId="0" xfId="0" applyFill="1" applyAlignment="1">
      <alignment vertical="top"/>
    </xf>
    <xf numFmtId="49" fontId="0" fillId="9" borderId="0" xfId="0" applyNumberFormat="1" applyFill="1" applyAlignment="1">
      <alignment horizontal="center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vertical="top"/>
    </xf>
    <xf numFmtId="20" fontId="0" fillId="11" borderId="0" xfId="0" applyNumberFormat="1" applyFill="1" applyAlignment="1">
      <alignment vertical="top" wrapText="1"/>
    </xf>
    <xf numFmtId="165" fontId="0" fillId="11" borderId="0" xfId="0" applyNumberForma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20" fontId="0" fillId="8" borderId="0" xfId="0" applyNumberFormat="1" applyFill="1" applyAlignment="1">
      <alignment vertical="top" wrapText="1"/>
    </xf>
    <xf numFmtId="20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vertical="top"/>
    </xf>
    <xf numFmtId="49" fontId="0" fillId="8" borderId="0" xfId="0" applyNumberFormat="1" applyFill="1" applyAlignment="1">
      <alignment horizontal="center" vertical="top"/>
    </xf>
    <xf numFmtId="49" fontId="0" fillId="8" borderId="0" xfId="0" applyNumberFormat="1" applyFill="1" applyAlignment="1">
      <alignment horizontal="center" vertical="top" wrapText="1"/>
    </xf>
    <xf numFmtId="0" fontId="0" fillId="10" borderId="0" xfId="0" applyFill="1" applyAlignment="1">
      <alignment horizontal="center" vertical="top"/>
    </xf>
    <xf numFmtId="165" fontId="0" fillId="10" borderId="0" xfId="0" applyNumberFormat="1" applyFill="1" applyAlignment="1">
      <alignment horizontal="center" vertical="top"/>
    </xf>
    <xf numFmtId="0" fontId="0" fillId="10" borderId="0" xfId="0" applyFill="1" applyAlignment="1">
      <alignment vertical="top"/>
    </xf>
    <xf numFmtId="0" fontId="8" fillId="9" borderId="0" xfId="0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 vertical="top"/>
    </xf>
    <xf numFmtId="20" fontId="2" fillId="9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8" fillId="12" borderId="0" xfId="0" applyNumberFormat="1" applyFont="1" applyFill="1" applyAlignment="1">
      <alignment horizontal="center" vertical="top"/>
    </xf>
    <xf numFmtId="1" fontId="8" fillId="13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8" fillId="14" borderId="0" xfId="0" applyNumberFormat="1" applyFont="1" applyFill="1" applyAlignment="1">
      <alignment horizontal="center" vertical="top"/>
    </xf>
    <xf numFmtId="0" fontId="0" fillId="0" borderId="0" xfId="0" applyAlignment="1">
      <alignment horizontal="center"/>
    </xf>
    <xf numFmtId="20" fontId="2" fillId="11" borderId="0" xfId="0" applyNumberFormat="1" applyFont="1" applyFill="1" applyAlignment="1">
      <alignment horizontal="center" vertical="top" wrapText="1"/>
    </xf>
    <xf numFmtId="20" fontId="2" fillId="11" borderId="0" xfId="0" applyNumberFormat="1" applyFont="1" applyFill="1" applyAlignment="1">
      <alignment horizontal="right" vertical="top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20" fontId="0" fillId="4" borderId="0" xfId="0" applyNumberFormat="1" applyFill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20" fontId="0" fillId="4" borderId="0" xfId="0" applyNumberFormat="1" applyFill="1" applyAlignment="1">
      <alignment horizontal="center" vertical="top"/>
    </xf>
    <xf numFmtId="49" fontId="7" fillId="0" borderId="0" xfId="0" applyNumberFormat="1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textRotation="90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center" vertical="top" wrapText="1"/>
    </xf>
  </cellXfs>
  <cellStyles count="2">
    <cellStyle name="Komma 2" xfId="1"/>
    <cellStyle name="Standard" xfId="0" builtinId="0"/>
  </cellStyles>
  <dxfs count="0"/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93855629475757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0"/>
              <c:layout>
                <c:manualLayout>
                  <c:x val="-1.8499527151244102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3A-4724-81D9-84E8B3BCC4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A-4724-81D9-84E8B3BCC40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3A-4724-81D9-84E8B3BCC4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A-4724-81D9-84E8B3BCC40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3A-4724-81D9-84E8B3BCC40A}"/>
                </c:ext>
              </c:extLst>
            </c:dLbl>
            <c:dLbl>
              <c:idx val="5"/>
              <c:layout>
                <c:manualLayout>
                  <c:x val="-4.1736686749130329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3A-4724-81D9-84E8B3BCC40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3A-4724-81D9-84E8B3BCC4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3A-4724-81D9-84E8B3BCC4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3A-4724-81D9-84E8B3BCC40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3A-4724-81D9-84E8B3BCC40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3A-4724-81D9-84E8B3BCC40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3A-4724-81D9-84E8B3BCC40A}"/>
                </c:ext>
              </c:extLst>
            </c:dLbl>
            <c:dLbl>
              <c:idx val="12"/>
              <c:layout>
                <c:manualLayout>
                  <c:x val="-1.6160706283110157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3A-4724-81D9-84E8B3BCC40A}"/>
                </c:ext>
              </c:extLst>
            </c:dLbl>
            <c:dLbl>
              <c:idx val="13"/>
              <c:layout>
                <c:manualLayout>
                  <c:x val="-3.2924924419116541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3A-4724-81D9-84E8B3BCC4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3A-4724-81D9-84E8B3BCC40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1 smL'!$H$7:$V$7</c:f>
              <c:numCache>
                <c:formatCode>0</c:formatCode>
                <c:ptCount val="15"/>
                <c:pt idx="0">
                  <c:v>0</c:v>
                </c:pt>
                <c:pt idx="1">
                  <c:v>886.99999999998863</c:v>
                </c:pt>
                <c:pt idx="2">
                  <c:v>886.99999999998863</c:v>
                </c:pt>
                <c:pt idx="3">
                  <c:v>1692.9999999999886</c:v>
                </c:pt>
                <c:pt idx="4">
                  <c:v>1692.9999999999886</c:v>
                </c:pt>
                <c:pt idx="5">
                  <c:v>1778.9999999999886</c:v>
                </c:pt>
                <c:pt idx="6">
                  <c:v>1778.9999999999886</c:v>
                </c:pt>
                <c:pt idx="7">
                  <c:v>1778.9999999999886</c:v>
                </c:pt>
                <c:pt idx="8">
                  <c:v>1778.9999999999886</c:v>
                </c:pt>
                <c:pt idx="9">
                  <c:v>1898.9999999999861</c:v>
                </c:pt>
                <c:pt idx="10">
                  <c:v>1898.9999999999861</c:v>
                </c:pt>
                <c:pt idx="11">
                  <c:v>2002.9999999999889</c:v>
                </c:pt>
                <c:pt idx="12">
                  <c:v>2002.9999999999889</c:v>
                </c:pt>
                <c:pt idx="13">
                  <c:v>2449.9999999999882</c:v>
                </c:pt>
                <c:pt idx="14">
                  <c:v>2449.9999999999882</c:v>
                </c:pt>
              </c:numCache>
            </c:numRef>
          </c:xVal>
          <c:yVal>
            <c:numRef>
              <c:f>'Sz 1 smL'!$H$9:$V$9</c:f>
              <c:numCache>
                <c:formatCode>0</c:formatCode>
                <c:ptCount val="1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160</c:v>
                </c:pt>
                <c:pt idx="13">
                  <c:v>160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3A-4724-81D9-84E8B3BCC4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107328"/>
        <c:axId val="245147136"/>
      </c:scatterChart>
      <c:valAx>
        <c:axId val="2451073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5147136"/>
        <c:crosses val="autoZero"/>
        <c:crossBetween val="midCat"/>
      </c:valAx>
      <c:valAx>
        <c:axId val="245147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51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3-41D5-BFD8-83CF9E44590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3-41D5-BFD8-83CF9E44590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3-41D5-BFD8-83CF9E44590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3-41D5-BFD8-83CF9E44590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3-41D5-BFD8-83CF9E44590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3-41D5-BFD8-83CF9E44590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3-41D5-BFD8-83CF9E44590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'Sz 4 smL'!$H$7:$P$7</c:f>
              <c:numCache>
                <c:formatCode>0</c:formatCode>
                <c:ptCount val="9"/>
                <c:pt idx="0">
                  <c:v>3408.0000000000014</c:v>
                </c:pt>
                <c:pt idx="1">
                  <c:v>3648</c:v>
                </c:pt>
                <c:pt idx="2">
                  <c:v>3648</c:v>
                </c:pt>
                <c:pt idx="3">
                  <c:v>3699.0000000000018</c:v>
                </c:pt>
                <c:pt idx="4">
                  <c:v>3699.0000000000018</c:v>
                </c:pt>
                <c:pt idx="5">
                  <c:v>3913.0000000000005</c:v>
                </c:pt>
                <c:pt idx="6">
                  <c:v>3913.0000000000005</c:v>
                </c:pt>
                <c:pt idx="7">
                  <c:v>5345.0000000000027</c:v>
                </c:pt>
                <c:pt idx="8">
                  <c:v>5345.0000000000027</c:v>
                </c:pt>
              </c:numCache>
            </c:numRef>
          </c:xVal>
          <c:yVal>
            <c:numRef>
              <c:f>'Sz 4 smL'!$H$9:$P$9</c:f>
              <c:numCache>
                <c:formatCode>0</c:formatCode>
                <c:ptCount val="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3-41D5-BFD8-83CF9E445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792192"/>
        <c:axId val="246794880"/>
      </c:scatterChart>
      <c:valAx>
        <c:axId val="246792192"/>
        <c:scaling>
          <c:orientation val="minMax"/>
          <c:max val="5500"/>
          <c:min val="3000"/>
        </c:scaling>
        <c:delete val="0"/>
        <c:axPos val="b"/>
        <c:numFmt formatCode="0" sourceLinked="1"/>
        <c:majorTickMark val="out"/>
        <c:minorTickMark val="none"/>
        <c:tickLblPos val="nextTo"/>
        <c:crossAx val="246794880"/>
        <c:crosses val="autoZero"/>
        <c:crossBetween val="midCat"/>
      </c:valAx>
      <c:valAx>
        <c:axId val="246794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79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96220262785481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F9-42FD-B0B1-8FECD4C8B85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F9-42FD-B0B1-8FECD4C8B85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F9-42FD-B0B1-8FECD4C8B85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F9-42FD-B0B1-8FECD4C8B8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F9-42FD-B0B1-8FECD4C8B85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F9-42FD-B0B1-8FECD4C8B85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F9-42FD-B0B1-8FECD4C8B85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F9-42FD-B0B1-8FECD4C8B85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F9-42FD-B0B1-8FECD4C8B85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F9-42FD-B0B1-8FECD4C8B8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F9-42FD-B0B1-8FECD4C8B85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F9-42FD-B0B1-8FECD4C8B85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F9-42FD-B0B1-8FECD4C8B85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F9-42FD-B0B1-8FECD4C8B85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F9-42FD-B0B1-8FECD4C8B85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'Sz 4 smL'!$H$24:$X$24</c:f>
              <c:numCache>
                <c:formatCode>0</c:formatCode>
                <c:ptCount val="17"/>
                <c:pt idx="0">
                  <c:v>0</c:v>
                </c:pt>
                <c:pt idx="1">
                  <c:v>1978.0000000000016</c:v>
                </c:pt>
                <c:pt idx="2">
                  <c:v>1978.0000000000016</c:v>
                </c:pt>
                <c:pt idx="3">
                  <c:v>2272.0000000000018</c:v>
                </c:pt>
                <c:pt idx="4">
                  <c:v>2272.0000000000018</c:v>
                </c:pt>
                <c:pt idx="5">
                  <c:v>2608.0000000000005</c:v>
                </c:pt>
                <c:pt idx="6">
                  <c:v>2608.0000000000005</c:v>
                </c:pt>
                <c:pt idx="7">
                  <c:v>2688.0000000000023</c:v>
                </c:pt>
                <c:pt idx="8">
                  <c:v>2688.0000000000023</c:v>
                </c:pt>
                <c:pt idx="9">
                  <c:v>3358.0000000000005</c:v>
                </c:pt>
                <c:pt idx="10">
                  <c:v>3358.0000000000005</c:v>
                </c:pt>
                <c:pt idx="11">
                  <c:v>3391.0000000000018</c:v>
                </c:pt>
                <c:pt idx="12">
                  <c:v>3391.0000000000018</c:v>
                </c:pt>
                <c:pt idx="13">
                  <c:v>3623.0000000000009</c:v>
                </c:pt>
                <c:pt idx="14">
                  <c:v>3623.0000000000009</c:v>
                </c:pt>
                <c:pt idx="15">
                  <c:v>3647.9999999999995</c:v>
                </c:pt>
                <c:pt idx="16">
                  <c:v>3647.9999999999995</c:v>
                </c:pt>
              </c:numCache>
            </c:numRef>
          </c:xVal>
          <c:yVal>
            <c:numRef>
              <c:f>'Sz 4 smL'!$H$26:$X$26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F9-42FD-B0B1-8FECD4C8B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834304"/>
        <c:axId val="246837248"/>
      </c:scatterChart>
      <c:valAx>
        <c:axId val="246834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837248"/>
        <c:crosses val="autoZero"/>
        <c:crossBetween val="midCat"/>
      </c:valAx>
      <c:valAx>
        <c:axId val="246837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83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B5-4BA0-B52A-5CBF7254243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B5-4BA0-B52A-5CBF725424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B5-4BA0-B52A-5CBF7254243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B5-4BA0-B52A-5CBF7254243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B5-4BA0-B52A-5CBF7254243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B5-4BA0-B52A-5CBF7254243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4 smL'!$H$41:$P$41</c:f>
              <c:numCache>
                <c:formatCode>0</c:formatCode>
                <c:ptCount val="9"/>
                <c:pt idx="0">
                  <c:v>0</c:v>
                </c:pt>
                <c:pt idx="1">
                  <c:v>28.000000000002245</c:v>
                </c:pt>
                <c:pt idx="2">
                  <c:v>28.000000000002245</c:v>
                </c:pt>
                <c:pt idx="3">
                  <c:v>78.000000000002956</c:v>
                </c:pt>
                <c:pt idx="4">
                  <c:v>78.000000000002956</c:v>
                </c:pt>
                <c:pt idx="5">
                  <c:v>265.00000000000057</c:v>
                </c:pt>
                <c:pt idx="6">
                  <c:v>265.00000000000057</c:v>
                </c:pt>
                <c:pt idx="7">
                  <c:v>1697.0000000000027</c:v>
                </c:pt>
                <c:pt idx="8">
                  <c:v>1697.0000000000027</c:v>
                </c:pt>
              </c:numCache>
            </c:numRef>
          </c:xVal>
          <c:yVal>
            <c:numRef>
              <c:f>'Sz 4 smL'!$H$43:$P$43</c:f>
              <c:numCache>
                <c:formatCode>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5-4BA0-B52A-5CBF72542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872320"/>
        <c:axId val="246879360"/>
      </c:scatterChart>
      <c:valAx>
        <c:axId val="2468723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879360"/>
        <c:crosses val="autoZero"/>
        <c:crossBetween val="midCat"/>
      </c:valAx>
      <c:valAx>
        <c:axId val="246879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87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0"/>
              <c:layout>
                <c:manualLayout>
                  <c:x val="-6.5180964451185305E-2"/>
                  <c:y val="-7.7764632401296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B-4095-AA6C-90AEA254274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EB-4095-AA6C-90AEA254274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EB-4095-AA6C-90AEA25427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EB-4095-AA6C-90AEA254274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EB-4095-AA6C-90AEA25427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EB-4095-AA6C-90AEA25427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EB-4095-AA6C-90AEA254274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4 smL'!$H$58:$P$58</c:f>
              <c:numCache>
                <c:formatCode>0</c:formatCode>
                <c:ptCount val="9"/>
                <c:pt idx="0">
                  <c:v>3647.9999999999995</c:v>
                </c:pt>
                <c:pt idx="1">
                  <c:v>3676.0000000000018</c:v>
                </c:pt>
                <c:pt idx="2">
                  <c:v>3676.0000000000018</c:v>
                </c:pt>
                <c:pt idx="3">
                  <c:v>3699.0000000000014</c:v>
                </c:pt>
                <c:pt idx="4">
                  <c:v>3699.0000000000014</c:v>
                </c:pt>
                <c:pt idx="5">
                  <c:v>3913</c:v>
                </c:pt>
                <c:pt idx="6">
                  <c:v>3913</c:v>
                </c:pt>
                <c:pt idx="7">
                  <c:v>5345.0000000000018</c:v>
                </c:pt>
                <c:pt idx="8">
                  <c:v>5345.0000000000018</c:v>
                </c:pt>
              </c:numCache>
            </c:numRef>
          </c:xVal>
          <c:yVal>
            <c:numRef>
              <c:f>'Sz 4 smL'!$H$60:$P$60</c:f>
              <c:numCache>
                <c:formatCode>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B-4095-AA6C-90AEA2542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906240"/>
        <c:axId val="246917376"/>
      </c:scatterChart>
      <c:valAx>
        <c:axId val="246906240"/>
        <c:scaling>
          <c:orientation val="minMax"/>
          <c:min val="3300"/>
        </c:scaling>
        <c:delete val="0"/>
        <c:axPos val="b"/>
        <c:numFmt formatCode="0" sourceLinked="1"/>
        <c:majorTickMark val="out"/>
        <c:minorTickMark val="none"/>
        <c:tickLblPos val="nextTo"/>
        <c:crossAx val="246917376"/>
        <c:crosses val="autoZero"/>
        <c:crossBetween val="midCat"/>
      </c:valAx>
      <c:valAx>
        <c:axId val="246917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90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33-441C-8B66-935E6CF66A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33-441C-8B66-935E6CF66AB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33-441C-8B66-935E6CF66AB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33-441C-8B66-935E6CF66AB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33-441C-8B66-935E6CF66AB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33-441C-8B66-935E6CF66AB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33-441C-8B66-935E6CF66A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33-441C-8B66-935E6CF66ABC}"/>
                </c:ext>
              </c:extLst>
            </c:dLbl>
            <c:dLbl>
              <c:idx val="10"/>
              <c:layout>
                <c:manualLayout>
                  <c:x val="-1.43293907111132E-2"/>
                  <c:y val="-9.16868974165984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33-441C-8B66-935E6CF66AB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33-441C-8B66-935E6CF66AB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33-441C-8B66-935E6CF66AB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33-441C-8B66-935E6CF66AB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33-441C-8B66-935E6CF66AB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33-441C-8B66-935E6CF66AB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33-441C-8B66-935E6CF66AB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33-441C-8B66-935E6CF66AB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33-441C-8B66-935E6CF66AB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33-441C-8B66-935E6CF66AB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33-441C-8B66-935E6CF66AB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F33-441C-8B66-935E6CF66AB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33-441C-8B66-935E6CF66AB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33-441C-8B66-935E6CF66AB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33-441C-8B66-935E6CF66AB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33-441C-8B66-935E6CF66AB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1 smL'!$H$24:$AJ$24</c:f>
              <c:numCache>
                <c:formatCode>0</c:formatCode>
                <c:ptCount val="29"/>
                <c:pt idx="0">
                  <c:v>0</c:v>
                </c:pt>
                <c:pt idx="1">
                  <c:v>1978.0000000000016</c:v>
                </c:pt>
                <c:pt idx="2">
                  <c:v>1978.0000000000016</c:v>
                </c:pt>
                <c:pt idx="3">
                  <c:v>2232.0000000000027</c:v>
                </c:pt>
                <c:pt idx="4">
                  <c:v>2232.0000000000027</c:v>
                </c:pt>
                <c:pt idx="5">
                  <c:v>2579.0000000000005</c:v>
                </c:pt>
                <c:pt idx="6">
                  <c:v>2579.0000000000005</c:v>
                </c:pt>
                <c:pt idx="7">
                  <c:v>2710.0000000000009</c:v>
                </c:pt>
                <c:pt idx="8">
                  <c:v>2710.0000000000009</c:v>
                </c:pt>
                <c:pt idx="9">
                  <c:v>2743.0000000000023</c:v>
                </c:pt>
                <c:pt idx="10">
                  <c:v>2743.0000000000023</c:v>
                </c:pt>
                <c:pt idx="11">
                  <c:v>2743.0000000000023</c:v>
                </c:pt>
                <c:pt idx="12">
                  <c:v>2743.0000000000023</c:v>
                </c:pt>
                <c:pt idx="13">
                  <c:v>3356.0000000000018</c:v>
                </c:pt>
                <c:pt idx="14">
                  <c:v>3356.0000000000018</c:v>
                </c:pt>
                <c:pt idx="15">
                  <c:v>3391.0000000000018</c:v>
                </c:pt>
                <c:pt idx="16">
                  <c:v>3391.0000000000018</c:v>
                </c:pt>
                <c:pt idx="17">
                  <c:v>3589.0000000000023</c:v>
                </c:pt>
                <c:pt idx="18">
                  <c:v>3589.0000000000023</c:v>
                </c:pt>
                <c:pt idx="19">
                  <c:v>3676.0000000000018</c:v>
                </c:pt>
                <c:pt idx="20">
                  <c:v>3668.0000000000027</c:v>
                </c:pt>
                <c:pt idx="21">
                  <c:v>3676.0000000000018</c:v>
                </c:pt>
                <c:pt idx="22">
                  <c:v>3676.0000000000018</c:v>
                </c:pt>
                <c:pt idx="23">
                  <c:v>3699.0000000000014</c:v>
                </c:pt>
                <c:pt idx="24">
                  <c:v>3699.0000000000014</c:v>
                </c:pt>
                <c:pt idx="25">
                  <c:v>3913</c:v>
                </c:pt>
                <c:pt idx="26">
                  <c:v>3913</c:v>
                </c:pt>
                <c:pt idx="27">
                  <c:v>5345.0000000000018</c:v>
                </c:pt>
                <c:pt idx="28">
                  <c:v>5345.0000000000018</c:v>
                </c:pt>
              </c:numCache>
            </c:numRef>
          </c:xVal>
          <c:yVal>
            <c:numRef>
              <c:f>'Sz 1 smL'!$H$26:$AJ$26</c:f>
              <c:numCache>
                <c:formatCode>0</c:formatCode>
                <c:ptCount val="2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F33-441C-8B66-935E6CF66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190656"/>
        <c:axId val="245193344"/>
      </c:scatterChart>
      <c:valAx>
        <c:axId val="245190656"/>
        <c:scaling>
          <c:orientation val="minMax"/>
          <c:max val="5000"/>
        </c:scaling>
        <c:delete val="0"/>
        <c:axPos val="b"/>
        <c:numFmt formatCode="0" sourceLinked="1"/>
        <c:majorTickMark val="out"/>
        <c:minorTickMark val="none"/>
        <c:tickLblPos val="nextTo"/>
        <c:crossAx val="245193344"/>
        <c:crosses val="autoZero"/>
        <c:crossBetween val="midCat"/>
      </c:valAx>
      <c:valAx>
        <c:axId val="245193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519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9B-4550-A4B1-96890E6ADC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9B-4550-A4B1-96890E6ADC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9B-4550-A4B1-96890E6ADC6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B-4550-A4B1-96890E6ADC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B-4550-A4B1-96890E6ADC6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9B-4550-A4B1-96890E6ADC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9B-4550-A4B1-96890E6ADC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9B-4550-A4B1-96890E6ADC6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9B-4550-A4B1-96890E6ADC6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9B-4550-A4B1-96890E6ADC6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9B-4550-A4B1-96890E6ADC6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9B-4550-A4B1-96890E6ADC6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9B-4550-A4B1-96890E6ADC6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9B-4550-A4B1-96890E6ADC6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9B-4550-A4B1-96890E6ADC6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'Sz 2 smL'!$H$7:$X$7</c:f>
              <c:numCache>
                <c:formatCode>0</c:formatCode>
                <c:ptCount val="17"/>
                <c:pt idx="0">
                  <c:v>0</c:v>
                </c:pt>
                <c:pt idx="1">
                  <c:v>966</c:v>
                </c:pt>
                <c:pt idx="2">
                  <c:v>966</c:v>
                </c:pt>
                <c:pt idx="3">
                  <c:v>1772</c:v>
                </c:pt>
                <c:pt idx="4">
                  <c:v>1772</c:v>
                </c:pt>
                <c:pt idx="5">
                  <c:v>1858</c:v>
                </c:pt>
                <c:pt idx="6">
                  <c:v>1858</c:v>
                </c:pt>
                <c:pt idx="7">
                  <c:v>1858</c:v>
                </c:pt>
                <c:pt idx="8">
                  <c:v>1858</c:v>
                </c:pt>
                <c:pt idx="9">
                  <c:v>1993.9999999999993</c:v>
                </c:pt>
                <c:pt idx="10">
                  <c:v>1993.9999999999993</c:v>
                </c:pt>
                <c:pt idx="11">
                  <c:v>1993.9999999999993</c:v>
                </c:pt>
                <c:pt idx="12">
                  <c:v>1993.9999999999993</c:v>
                </c:pt>
                <c:pt idx="13">
                  <c:v>2064.9999999999973</c:v>
                </c:pt>
                <c:pt idx="14">
                  <c:v>2064.9999999999973</c:v>
                </c:pt>
                <c:pt idx="15">
                  <c:v>2568.9999999999986</c:v>
                </c:pt>
                <c:pt idx="16">
                  <c:v>2568.9999999999986</c:v>
                </c:pt>
              </c:numCache>
            </c:numRef>
          </c:xVal>
          <c:yVal>
            <c:numRef>
              <c:f>'Sz 2 smL'!$H$9:$X$9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9B-4550-A4B1-96890E6ADC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222208"/>
        <c:axId val="246241536"/>
      </c:scatterChart>
      <c:valAx>
        <c:axId val="24622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241536"/>
        <c:crosses val="autoZero"/>
        <c:crossBetween val="midCat"/>
      </c:valAx>
      <c:valAx>
        <c:axId val="246241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22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04-4062-9273-AC214BBCE7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04-4062-9273-AC214BBCE7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04-4062-9273-AC214BBCE71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'Sz 2 smL'!$H$24:$N$24</c:f>
              <c:numCache>
                <c:formatCode>0</c:formatCode>
                <c:ptCount val="7"/>
                <c:pt idx="0">
                  <c:v>0</c:v>
                </c:pt>
                <c:pt idx="1">
                  <c:v>65.000000000001279</c:v>
                </c:pt>
                <c:pt idx="2">
                  <c:v>65.000000000001279</c:v>
                </c:pt>
                <c:pt idx="3">
                  <c:v>99.000000000000199</c:v>
                </c:pt>
                <c:pt idx="4">
                  <c:v>99.000000000000199</c:v>
                </c:pt>
                <c:pt idx="5">
                  <c:v>132.00000000000145</c:v>
                </c:pt>
                <c:pt idx="6">
                  <c:v>132.00000000000145</c:v>
                </c:pt>
              </c:numCache>
            </c:numRef>
          </c:xVal>
          <c:yVal>
            <c:numRef>
              <c:f>'Sz 2 smL'!$H$26:$N$26</c:f>
              <c:numCache>
                <c:formatCode>0</c:formatCode>
                <c:ptCount val="7"/>
                <c:pt idx="0">
                  <c:v>160</c:v>
                </c:pt>
                <c:pt idx="1">
                  <c:v>160</c:v>
                </c:pt>
                <c:pt idx="2">
                  <c:v>60</c:v>
                </c:pt>
                <c:pt idx="3">
                  <c:v>60</c:v>
                </c:pt>
                <c:pt idx="4">
                  <c:v>160</c:v>
                </c:pt>
                <c:pt idx="5">
                  <c:v>160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4-4062-9273-AC214BBCE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270208"/>
        <c:axId val="246277248"/>
      </c:scatterChart>
      <c:valAx>
        <c:axId val="24627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277248"/>
        <c:crosses val="autoZero"/>
        <c:crossBetween val="midCat"/>
      </c:valAx>
      <c:valAx>
        <c:axId val="246277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27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34-4BA7-8ACF-0E1641A6359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4-4BA7-8ACF-0E1641A6359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4-4BA7-8ACF-0E1641A635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4-4BA7-8ACF-0E1641A6359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4-4BA7-8ACF-0E1641A635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4-4BA7-8ACF-0E1641A6359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4-4BA7-8ACF-0E1641A6359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'Sz 2 smL'!$H$41:$R$41</c:f>
              <c:numCache>
                <c:formatCode>0</c:formatCode>
                <c:ptCount val="11"/>
                <c:pt idx="0">
                  <c:v>16</c:v>
                </c:pt>
                <c:pt idx="1">
                  <c:v>83.000000000000171</c:v>
                </c:pt>
                <c:pt idx="2">
                  <c:v>83.000000000000171</c:v>
                </c:pt>
                <c:pt idx="3">
                  <c:v>107.99999999999875</c:v>
                </c:pt>
                <c:pt idx="4">
                  <c:v>107.99999999999875</c:v>
                </c:pt>
                <c:pt idx="5">
                  <c:v>136.00000000000099</c:v>
                </c:pt>
                <c:pt idx="6">
                  <c:v>136.00000000000099</c:v>
                </c:pt>
                <c:pt idx="7">
                  <c:v>186.00000000000171</c:v>
                </c:pt>
                <c:pt idx="8">
                  <c:v>186.00000000000171</c:v>
                </c:pt>
                <c:pt idx="9">
                  <c:v>236.00000000000242</c:v>
                </c:pt>
                <c:pt idx="10">
                  <c:v>236.00000000000242</c:v>
                </c:pt>
              </c:numCache>
            </c:numRef>
          </c:xVal>
          <c:yVal>
            <c:numRef>
              <c:f>'Sz 2 smL'!$H$43:$R$43</c:f>
              <c:numCache>
                <c:formatCode>0</c:formatCode>
                <c:ptCount val="1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60</c:v>
                </c:pt>
                <c:pt idx="5">
                  <c:v>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4-4BA7-8ACF-0E1641A635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898624"/>
        <c:axId val="245917952"/>
      </c:scatterChart>
      <c:valAx>
        <c:axId val="2458986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5917952"/>
        <c:crosses val="autoZero"/>
        <c:crossBetween val="midCat"/>
      </c:valAx>
      <c:valAx>
        <c:axId val="245917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58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AE-43F7-92E1-F0D136889E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AE-43F7-92E1-F0D136889E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AE-43F7-92E1-F0D136889E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AE-43F7-92E1-F0D136889E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AE-43F7-92E1-F0D136889EA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2 smL'!$H$58:$N$58</c:f>
              <c:numCache>
                <c:formatCode>0</c:formatCode>
                <c:ptCount val="7"/>
                <c:pt idx="0">
                  <c:v>0</c:v>
                </c:pt>
                <c:pt idx="1">
                  <c:v>100.00000000000142</c:v>
                </c:pt>
                <c:pt idx="2">
                  <c:v>100.00000000000142</c:v>
                </c:pt>
                <c:pt idx="3">
                  <c:v>108.00000000000054</c:v>
                </c:pt>
                <c:pt idx="4">
                  <c:v>108.00000000000054</c:v>
                </c:pt>
                <c:pt idx="5">
                  <c:v>1046.000000000003</c:v>
                </c:pt>
                <c:pt idx="6">
                  <c:v>1046.000000000003</c:v>
                </c:pt>
              </c:numCache>
            </c:numRef>
          </c:xVal>
          <c:yVal>
            <c:numRef>
              <c:f>'Sz 2 smL'!$H$60:$N$60</c:f>
              <c:numCache>
                <c:formatCode>0</c:formatCode>
                <c:ptCount val="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AE-43F7-92E1-F0D136889E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953664"/>
        <c:axId val="246353920"/>
      </c:scatterChart>
      <c:valAx>
        <c:axId val="2459536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353920"/>
        <c:crosses val="autoZero"/>
        <c:crossBetween val="midCat"/>
      </c:valAx>
      <c:valAx>
        <c:axId val="246353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59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B1-49EF-8DB9-23E5A638BE8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B1-49EF-8DB9-23E5A638BE8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B1-49EF-8DB9-23E5A638BE8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B1-49EF-8DB9-23E5A638BE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1-49EF-8DB9-23E5A638BE8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B1-49EF-8DB9-23E5A638BE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B1-49EF-8DB9-23E5A638BE8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B1-49EF-8DB9-23E5A638BE8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B1-49EF-8DB9-23E5A638BE8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B1-49EF-8DB9-23E5A638BE8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B1-49EF-8DB9-23E5A638BE8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B1-49EF-8DB9-23E5A638BE8B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3 smL'!$H$7:$V$7</c:f>
              <c:numCache>
                <c:formatCode>0</c:formatCode>
                <c:ptCount val="15"/>
                <c:pt idx="0">
                  <c:v>2535</c:v>
                </c:pt>
                <c:pt idx="1">
                  <c:v>2554.0000000000018</c:v>
                </c:pt>
                <c:pt idx="2">
                  <c:v>2554.0000000000018</c:v>
                </c:pt>
                <c:pt idx="3">
                  <c:v>2614.0000000000005</c:v>
                </c:pt>
                <c:pt idx="4">
                  <c:v>2614.0000000000005</c:v>
                </c:pt>
                <c:pt idx="5">
                  <c:v>2681.0000000000005</c:v>
                </c:pt>
                <c:pt idx="6">
                  <c:v>2681.0000000000005</c:v>
                </c:pt>
                <c:pt idx="7">
                  <c:v>2681.0000000000005</c:v>
                </c:pt>
                <c:pt idx="8">
                  <c:v>2681.0000000000005</c:v>
                </c:pt>
                <c:pt idx="9">
                  <c:v>2767.0000000000005</c:v>
                </c:pt>
                <c:pt idx="10">
                  <c:v>2767.0000000000005</c:v>
                </c:pt>
                <c:pt idx="11">
                  <c:v>3573.0000000000005</c:v>
                </c:pt>
                <c:pt idx="12">
                  <c:v>3573.0000000000005</c:v>
                </c:pt>
                <c:pt idx="13">
                  <c:v>4459.9999999999891</c:v>
                </c:pt>
                <c:pt idx="14">
                  <c:v>4459.9999999999891</c:v>
                </c:pt>
              </c:numCache>
            </c:numRef>
          </c:xVal>
          <c:yVal>
            <c:numRef>
              <c:f>'Sz 3 smL'!$H$9:$V$9</c:f>
              <c:numCache>
                <c:formatCode>0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B1-49EF-8DB9-23E5A638BE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722944"/>
        <c:axId val="246725632"/>
      </c:scatterChart>
      <c:valAx>
        <c:axId val="246722944"/>
        <c:scaling>
          <c:orientation val="minMax"/>
          <c:max val="4500"/>
          <c:min val="2000"/>
        </c:scaling>
        <c:delete val="0"/>
        <c:axPos val="b"/>
        <c:numFmt formatCode="0" sourceLinked="1"/>
        <c:majorTickMark val="out"/>
        <c:minorTickMark val="none"/>
        <c:tickLblPos val="nextTo"/>
        <c:crossAx val="246725632"/>
        <c:crosses val="autoZero"/>
        <c:crossBetween val="midCat"/>
      </c:valAx>
      <c:valAx>
        <c:axId val="246725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7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8E-4260-9689-66EC70B05B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8E-4260-9689-66EC70B05B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8E-4260-9689-66EC70B05BC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8E-4260-9689-66EC70B05BC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8E-4260-9689-66EC70B05BC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8E-4260-9689-66EC70B05BC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8E-4260-9689-66EC70B05BC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8E-4260-9689-66EC70B05BCA}"/>
                </c:ext>
              </c:extLst>
            </c:dLbl>
            <c:dLbl>
              <c:idx val="10"/>
              <c:layout>
                <c:manualLayout>
                  <c:x val="-1.6568981431651322E-2"/>
                  <c:y val="-9.81048331252238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8E-4260-9689-66EC70B05BCA}"/>
                </c:ext>
              </c:extLst>
            </c:dLbl>
            <c:dLbl>
              <c:idx val="11"/>
              <c:layout>
                <c:manualLayout>
                  <c:x val="-3.810865729279804E-2"/>
                  <c:y val="-9.81048331252238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8E-4260-9689-66EC70B05B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8E-4260-9689-66EC70B05B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8E-4260-9689-66EC70B05BCA}"/>
                </c:ext>
              </c:extLst>
            </c:dLbl>
            <c:dLbl>
              <c:idx val="14"/>
              <c:layout>
                <c:manualLayout>
                  <c:x val="-1.7629396243277005E-2"/>
                  <c:y val="-9.18157505157676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8E-4260-9689-66EC70B05BC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8E-4260-9689-66EC70B05BC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3 smL'!$H$41:$X$41</c:f>
              <c:numCache>
                <c:formatCode>0</c:formatCode>
                <c:ptCount val="17"/>
                <c:pt idx="0">
                  <c:v>0</c:v>
                </c:pt>
                <c:pt idx="1">
                  <c:v>1429.9999999999998</c:v>
                </c:pt>
                <c:pt idx="2">
                  <c:v>1429.9999999999998</c:v>
                </c:pt>
                <c:pt idx="3">
                  <c:v>1562.9999999999989</c:v>
                </c:pt>
                <c:pt idx="4">
                  <c:v>1562.9999999999989</c:v>
                </c:pt>
                <c:pt idx="5">
                  <c:v>1643.9999999999984</c:v>
                </c:pt>
                <c:pt idx="6">
                  <c:v>1643.9999999999984</c:v>
                </c:pt>
                <c:pt idx="7">
                  <c:v>1666.9999999999982</c:v>
                </c:pt>
                <c:pt idx="8">
                  <c:v>1666.9999999999982</c:v>
                </c:pt>
                <c:pt idx="9">
                  <c:v>1674.9999999999973</c:v>
                </c:pt>
                <c:pt idx="10">
                  <c:v>1674.9999999999973</c:v>
                </c:pt>
                <c:pt idx="11">
                  <c:v>1901</c:v>
                </c:pt>
                <c:pt idx="12">
                  <c:v>1901</c:v>
                </c:pt>
                <c:pt idx="13">
                  <c:v>1986.9999999999984</c:v>
                </c:pt>
                <c:pt idx="14">
                  <c:v>1986.9999999999984</c:v>
                </c:pt>
                <c:pt idx="15">
                  <c:v>2457.9999999999986</c:v>
                </c:pt>
                <c:pt idx="16">
                  <c:v>2457.9999999999986</c:v>
                </c:pt>
              </c:numCache>
            </c:numRef>
          </c:xVal>
          <c:yVal>
            <c:numRef>
              <c:f>'Sz 3 smL'!$H$43:$X$43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160</c:v>
                </c:pt>
                <c:pt idx="11">
                  <c:v>160</c:v>
                </c:pt>
                <c:pt idx="12">
                  <c:v>60</c:v>
                </c:pt>
                <c:pt idx="13">
                  <c:v>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8E-4260-9689-66EC70B05B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486528"/>
        <c:axId val="246526336"/>
      </c:scatterChart>
      <c:valAx>
        <c:axId val="246486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6526336"/>
        <c:crosses val="autoZero"/>
        <c:crossBetween val="midCat"/>
      </c:valAx>
      <c:valAx>
        <c:axId val="2465263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4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A3-4835-9904-836D0108D1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A3-4835-9904-836D0108D1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A3-4835-9904-836D0108D1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A3-4835-9904-836D0108D1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A3-4835-9904-836D0108D1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A3-4835-9904-836D0108D1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A3-4835-9904-836D0108D1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A3-4835-9904-836D0108D1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A3-4835-9904-836D0108D1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A3-4835-9904-836D0108D1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A3-4835-9904-836D0108D147}"/>
                </c:ext>
              </c:extLst>
            </c:dLbl>
            <c:dLbl>
              <c:idx val="12"/>
              <c:layout>
                <c:manualLayout>
                  <c:x val="-3.3220527408569983E-2"/>
                  <c:y val="-8.40898569644775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A3-4835-9904-836D0108D1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A3-4835-9904-836D0108D1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A3-4835-9904-836D0108D147}"/>
                </c:ext>
              </c:extLst>
            </c:dLbl>
            <c:dLbl>
              <c:idx val="15"/>
              <c:layout>
                <c:manualLayout>
                  <c:x val="-3.9684859509998872E-2"/>
                  <c:y val="-9.09344269699062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A3-4835-9904-836D0108D1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A3-4835-9904-836D0108D147}"/>
                </c:ext>
              </c:extLst>
            </c:dLbl>
            <c:dLbl>
              <c:idx val="18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A3-4835-9904-836D0108D14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'Sz 3 smL'!$H$24:$X$24</c:f>
              <c:numCache>
                <c:formatCode>0</c:formatCode>
                <c:ptCount val="17"/>
                <c:pt idx="0">
                  <c:v>813.00000000000239</c:v>
                </c:pt>
                <c:pt idx="1">
                  <c:v>856.99999999999932</c:v>
                </c:pt>
                <c:pt idx="2">
                  <c:v>856.99999999999932</c:v>
                </c:pt>
                <c:pt idx="3">
                  <c:v>874.00000000000227</c:v>
                </c:pt>
                <c:pt idx="4">
                  <c:v>874.00000000000227</c:v>
                </c:pt>
                <c:pt idx="5">
                  <c:v>1069.0000000000025</c:v>
                </c:pt>
                <c:pt idx="6">
                  <c:v>1069.0000000000025</c:v>
                </c:pt>
                <c:pt idx="7">
                  <c:v>1338.0000000000009</c:v>
                </c:pt>
                <c:pt idx="8">
                  <c:v>1338.0000000000009</c:v>
                </c:pt>
                <c:pt idx="9">
                  <c:v>1416.0000000000002</c:v>
                </c:pt>
                <c:pt idx="10">
                  <c:v>1416.0000000000002</c:v>
                </c:pt>
                <c:pt idx="11">
                  <c:v>1455.9999999999993</c:v>
                </c:pt>
                <c:pt idx="12">
                  <c:v>1455.9999999999993</c:v>
                </c:pt>
                <c:pt idx="13">
                  <c:v>1710.0000000000007</c:v>
                </c:pt>
                <c:pt idx="14">
                  <c:v>1710.0000000000007</c:v>
                </c:pt>
                <c:pt idx="15">
                  <c:v>3688.0000000000023</c:v>
                </c:pt>
                <c:pt idx="16">
                  <c:v>3688.0000000000023</c:v>
                </c:pt>
              </c:numCache>
            </c:numRef>
          </c:xVal>
          <c:yVal>
            <c:numRef>
              <c:f>'Sz 3 smL'!$H$26:$X$26</c:f>
              <c:numCache>
                <c:formatCode>0</c:formatCode>
                <c:ptCount val="1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A3-4835-9904-836D0108D1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6536448"/>
        <c:axId val="246613120"/>
      </c:scatterChart>
      <c:valAx>
        <c:axId val="246536448"/>
        <c:scaling>
          <c:orientation val="minMax"/>
          <c:min val="500"/>
        </c:scaling>
        <c:delete val="0"/>
        <c:axPos val="b"/>
        <c:numFmt formatCode="0" sourceLinked="1"/>
        <c:majorTickMark val="out"/>
        <c:minorTickMark val="none"/>
        <c:tickLblPos val="nextTo"/>
        <c:crossAx val="246613120"/>
        <c:crosses val="autoZero"/>
        <c:crossBetween val="midCat"/>
      </c:valAx>
      <c:valAx>
        <c:axId val="246613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65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121103</xdr:rowOff>
    </xdr:from>
    <xdr:to>
      <xdr:col>22</xdr:col>
      <xdr:colOff>112059</xdr:colOff>
      <xdr:row>19</xdr:row>
      <xdr:rowOff>19791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</xdr:colOff>
      <xdr:row>26</xdr:row>
      <xdr:rowOff>138392</xdr:rowOff>
    </xdr:from>
    <xdr:to>
      <xdr:col>35</xdr:col>
      <xdr:colOff>429184</xdr:colOff>
      <xdr:row>36</xdr:row>
      <xdr:rowOff>37080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438150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26</xdr:row>
      <xdr:rowOff>104775</xdr:rowOff>
    </xdr:from>
    <xdr:to>
      <xdr:col>15</xdr:col>
      <xdr:colOff>428625</xdr:colOff>
      <xdr:row>36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639857</xdr:colOff>
      <xdr:row>43</xdr:row>
      <xdr:rowOff>179855</xdr:rowOff>
    </xdr:from>
    <xdr:to>
      <xdr:col>16</xdr:col>
      <xdr:colOff>381000</xdr:colOff>
      <xdr:row>53</xdr:row>
      <xdr:rowOff>78543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60</xdr:row>
      <xdr:rowOff>114300</xdr:rowOff>
    </xdr:from>
    <xdr:to>
      <xdr:col>23</xdr:col>
      <xdr:colOff>171450</xdr:colOff>
      <xdr:row>70</xdr:row>
      <xdr:rowOff>12988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438150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43</xdr:row>
      <xdr:rowOff>104775</xdr:rowOff>
    </xdr:from>
    <xdr:to>
      <xdr:col>23</xdr:col>
      <xdr:colOff>403412</xdr:colOff>
      <xdr:row>53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628651</xdr:colOff>
      <xdr:row>26</xdr:row>
      <xdr:rowOff>123825</xdr:rowOff>
    </xdr:from>
    <xdr:to>
      <xdr:col>23</xdr:col>
      <xdr:colOff>403412</xdr:colOff>
      <xdr:row>36</xdr:row>
      <xdr:rowOff>22513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297656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26</xdr:row>
      <xdr:rowOff>104775</xdr:rowOff>
    </xdr:from>
    <xdr:to>
      <xdr:col>23</xdr:col>
      <xdr:colOff>371474</xdr:colOff>
      <xdr:row>36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609601</xdr:colOff>
      <xdr:row>43</xdr:row>
      <xdr:rowOff>104775</xdr:rowOff>
    </xdr:from>
    <xdr:to>
      <xdr:col>23</xdr:col>
      <xdr:colOff>333374</xdr:colOff>
      <xdr:row>53</xdr:row>
      <xdr:rowOff>3463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609602</xdr:colOff>
      <xdr:row>60</xdr:row>
      <xdr:rowOff>104775</xdr:rowOff>
    </xdr:from>
    <xdr:to>
      <xdr:col>23</xdr:col>
      <xdr:colOff>404812</xdr:colOff>
      <xdr:row>70</xdr:row>
      <xdr:rowOff>3463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103"/>
  <sheetViews>
    <sheetView tabSelected="1" zoomScaleNormal="100" workbookViewId="0">
      <selection activeCell="J28" sqref="J28"/>
    </sheetView>
  </sheetViews>
  <sheetFormatPr baseColWidth="10" defaultRowHeight="15" x14ac:dyDescent="0.25"/>
  <cols>
    <col min="1" max="1" width="1.7109375" customWidth="1"/>
    <col min="2" max="2" width="5.140625" customWidth="1"/>
    <col min="3" max="3" width="8.7109375" customWidth="1"/>
    <col min="4" max="4" width="10.140625" bestFit="1" customWidth="1"/>
    <col min="5" max="5" width="10.7109375" customWidth="1"/>
    <col min="6" max="6" width="11.7109375" style="10" bestFit="1" customWidth="1"/>
    <col min="7" max="7" width="10.7109375" customWidth="1"/>
    <col min="8" max="8" width="10" style="11" bestFit="1" customWidth="1"/>
    <col min="9" max="9" width="1.7109375" style="10" customWidth="1"/>
    <col min="10" max="10" width="15" customWidth="1"/>
    <col min="11" max="12" width="8.7109375" customWidth="1"/>
    <col min="13" max="13" width="9.7109375" customWidth="1"/>
    <col min="14" max="16" width="9.7109375" style="10" customWidth="1"/>
    <col min="17" max="17" width="8.7109375" style="10" customWidth="1"/>
    <col min="18" max="18" width="8.7109375" customWidth="1"/>
    <col min="19" max="21" width="11.7109375" customWidth="1"/>
    <col min="23" max="23" width="1.7109375" style="10" customWidth="1"/>
    <col min="25" max="25" width="15.140625" bestFit="1" customWidth="1"/>
  </cols>
  <sheetData>
    <row r="1" spans="2:26" ht="18.75" x14ac:dyDescent="0.3">
      <c r="B1" s="12" t="s">
        <v>56</v>
      </c>
      <c r="X1" s="121" t="s">
        <v>57</v>
      </c>
      <c r="Y1" s="125">
        <v>44012.444444444445</v>
      </c>
      <c r="Z1" s="125"/>
    </row>
    <row r="2" spans="2:26" x14ac:dyDescent="0.25">
      <c r="Q2" s="18"/>
      <c r="X2" s="121" t="s">
        <v>341</v>
      </c>
      <c r="Y2" s="125">
        <v>44066.90625</v>
      </c>
      <c r="Z2" s="125"/>
    </row>
    <row r="3" spans="2:26" ht="15.75" x14ac:dyDescent="0.25">
      <c r="B3" s="112" t="s">
        <v>66</v>
      </c>
      <c r="K3" s="126" t="s">
        <v>98</v>
      </c>
      <c r="L3" s="126"/>
      <c r="M3" s="126"/>
      <c r="N3" s="126" t="s">
        <v>102</v>
      </c>
      <c r="O3" s="126"/>
      <c r="P3" s="126"/>
      <c r="Q3" s="10" t="s">
        <v>90</v>
      </c>
      <c r="R3" s="10" t="s">
        <v>94</v>
      </c>
      <c r="T3" t="s">
        <v>91</v>
      </c>
    </row>
    <row r="4" spans="2:26" x14ac:dyDescent="0.25">
      <c r="C4" t="s">
        <v>163</v>
      </c>
      <c r="D4" s="1" t="s">
        <v>1</v>
      </c>
      <c r="E4" s="1" t="s">
        <v>2</v>
      </c>
      <c r="F4" s="1" t="s">
        <v>162</v>
      </c>
      <c r="G4" s="1" t="s">
        <v>161</v>
      </c>
      <c r="H4" s="11" t="s">
        <v>156</v>
      </c>
      <c r="J4" s="3" t="s">
        <v>7</v>
      </c>
      <c r="K4" s="1" t="s">
        <v>6</v>
      </c>
      <c r="L4" s="1" t="s">
        <v>9</v>
      </c>
      <c r="M4" s="11" t="s">
        <v>93</v>
      </c>
      <c r="N4" s="1" t="s">
        <v>6</v>
      </c>
      <c r="O4" s="1" t="s">
        <v>9</v>
      </c>
      <c r="P4" s="11" t="s">
        <v>95</v>
      </c>
      <c r="Q4" s="11" t="s">
        <v>97</v>
      </c>
      <c r="R4" s="11" t="s">
        <v>8</v>
      </c>
      <c r="S4" s="1" t="s">
        <v>10</v>
      </c>
      <c r="T4" s="1" t="s">
        <v>92</v>
      </c>
      <c r="U4" s="1" t="s">
        <v>12</v>
      </c>
      <c r="V4" s="1" t="s">
        <v>13</v>
      </c>
      <c r="X4" s="36" t="s">
        <v>149</v>
      </c>
    </row>
    <row r="5" spans="2:26" s="2" customFormat="1" x14ac:dyDescent="0.25">
      <c r="H5" s="11"/>
      <c r="I5" s="107"/>
      <c r="M5" s="2" t="s">
        <v>14</v>
      </c>
      <c r="N5" s="11"/>
      <c r="O5" s="11"/>
      <c r="P5" s="11" t="s">
        <v>96</v>
      </c>
      <c r="Q5" s="11" t="s">
        <v>14</v>
      </c>
      <c r="R5" s="2" t="s">
        <v>15</v>
      </c>
      <c r="S5" s="2" t="s">
        <v>18</v>
      </c>
      <c r="T5" s="2" t="s">
        <v>17</v>
      </c>
      <c r="U5" s="2" t="s">
        <v>16</v>
      </c>
      <c r="V5" s="2" t="s">
        <v>16</v>
      </c>
      <c r="W5" s="107"/>
      <c r="X5" s="3" t="s">
        <v>150</v>
      </c>
    </row>
    <row r="6" spans="2:26" ht="8.25" customHeight="1" x14ac:dyDescent="0.25">
      <c r="F6"/>
    </row>
    <row r="7" spans="2:26" x14ac:dyDescent="0.25">
      <c r="B7">
        <v>1</v>
      </c>
      <c r="C7" t="s">
        <v>0</v>
      </c>
      <c r="D7">
        <v>4090</v>
      </c>
      <c r="E7" s="127"/>
      <c r="F7">
        <f t="shared" ref="F7:F13" si="0">D7</f>
        <v>4090</v>
      </c>
      <c r="G7" s="1" t="str">
        <f t="shared" ref="G7:G13" si="1">T(C7)&amp;" "&amp;TEXT(D7,"####")</f>
        <v>TGV 4090</v>
      </c>
      <c r="H7" s="31" t="s">
        <v>157</v>
      </c>
      <c r="J7" s="10" t="s">
        <v>101</v>
      </c>
      <c r="K7">
        <v>10</v>
      </c>
      <c r="L7">
        <f>2*4+2*2+(K7-1)*2</f>
        <v>30</v>
      </c>
      <c r="M7" s="15">
        <v>237.59</v>
      </c>
      <c r="N7" s="10">
        <v>2</v>
      </c>
      <c r="O7" s="10">
        <f>2*4+2*2+(N7-1)*2</f>
        <v>14</v>
      </c>
      <c r="P7" s="15">
        <v>102</v>
      </c>
      <c r="Q7" s="15">
        <f t="shared" ref="Q7:Q12" si="2">P7/100*250</f>
        <v>255</v>
      </c>
      <c r="R7" s="33">
        <v>444</v>
      </c>
      <c r="S7">
        <v>8800</v>
      </c>
      <c r="T7">
        <f>2*300</f>
        <v>600</v>
      </c>
      <c r="U7">
        <v>320</v>
      </c>
      <c r="V7">
        <f>U7</f>
        <v>320</v>
      </c>
    </row>
    <row r="8" spans="2:26" x14ac:dyDescent="0.25">
      <c r="B8">
        <v>1</v>
      </c>
      <c r="C8" t="s">
        <v>5</v>
      </c>
      <c r="D8">
        <v>1013</v>
      </c>
      <c r="E8" s="127"/>
      <c r="F8">
        <f t="shared" si="0"/>
        <v>1013</v>
      </c>
      <c r="G8" s="1" t="str">
        <f t="shared" si="1"/>
        <v>IC 1013</v>
      </c>
      <c r="H8" s="31" t="s">
        <v>157</v>
      </c>
      <c r="J8" t="s">
        <v>38</v>
      </c>
      <c r="K8" s="10">
        <f t="shared" ref="K8" si="3">N8*3</f>
        <v>12</v>
      </c>
      <c r="L8">
        <f t="shared" ref="L8" si="4">4+K8*4</f>
        <v>52</v>
      </c>
      <c r="M8" s="15">
        <f>1*19.1+K8*26.5</f>
        <v>337.1</v>
      </c>
      <c r="N8" s="10">
        <v>4</v>
      </c>
      <c r="O8" s="10">
        <f>4+N8*4</f>
        <v>20</v>
      </c>
      <c r="P8" s="15">
        <v>144</v>
      </c>
      <c r="Q8" s="15">
        <f t="shared" si="2"/>
        <v>360</v>
      </c>
      <c r="R8" s="14">
        <f>84+K8*(42+6)</f>
        <v>660</v>
      </c>
      <c r="S8">
        <v>6400</v>
      </c>
      <c r="T8">
        <v>300</v>
      </c>
      <c r="U8">
        <v>220</v>
      </c>
      <c r="V8">
        <v>200</v>
      </c>
    </row>
    <row r="9" spans="2:26" x14ac:dyDescent="0.25">
      <c r="B9">
        <v>1</v>
      </c>
      <c r="C9" s="10" t="s">
        <v>4</v>
      </c>
      <c r="D9">
        <v>4240</v>
      </c>
      <c r="E9" s="127"/>
      <c r="F9">
        <f t="shared" si="0"/>
        <v>4240</v>
      </c>
      <c r="G9" s="1" t="str">
        <f>T(C9)&amp;" "&amp;TEXT(D9,"####")</f>
        <v>RE 4240</v>
      </c>
      <c r="H9" s="31" t="s">
        <v>157</v>
      </c>
      <c r="J9" s="10" t="s">
        <v>100</v>
      </c>
      <c r="K9">
        <f>N9*3</f>
        <v>12</v>
      </c>
      <c r="L9">
        <f>4+K9*4</f>
        <v>52</v>
      </c>
      <c r="M9" s="35">
        <f>3*67.5</f>
        <v>202.5</v>
      </c>
      <c r="N9" s="10">
        <v>4</v>
      </c>
      <c r="O9" s="10">
        <f>2*2+(N9-1)*2</f>
        <v>10</v>
      </c>
      <c r="P9" s="35">
        <v>78</v>
      </c>
      <c r="Q9" s="15">
        <f t="shared" si="2"/>
        <v>195</v>
      </c>
      <c r="R9" s="33">
        <f>3*137</f>
        <v>411</v>
      </c>
      <c r="S9" s="34">
        <f>3*2350</f>
        <v>7050</v>
      </c>
      <c r="T9" s="34">
        <f>3*150</f>
        <v>450</v>
      </c>
      <c r="U9" s="34">
        <v>140</v>
      </c>
      <c r="V9">
        <v>140</v>
      </c>
    </row>
    <row r="10" spans="2:26" s="10" customFormat="1" x14ac:dyDescent="0.25">
      <c r="B10" s="10">
        <v>1</v>
      </c>
      <c r="C10" s="10" t="s">
        <v>3</v>
      </c>
      <c r="D10" s="10">
        <v>6413</v>
      </c>
      <c r="E10" s="127"/>
      <c r="F10" s="10">
        <f t="shared" si="0"/>
        <v>6413</v>
      </c>
      <c r="G10" s="1" t="str">
        <f t="shared" si="1"/>
        <v>RB 6413</v>
      </c>
      <c r="H10" s="31" t="s">
        <v>157</v>
      </c>
      <c r="J10" s="10" t="s">
        <v>100</v>
      </c>
      <c r="K10" s="10">
        <v>3</v>
      </c>
      <c r="L10" s="10">
        <f>K10*4</f>
        <v>12</v>
      </c>
      <c r="M10" s="35">
        <f>3*28.9</f>
        <v>86.699999999999989</v>
      </c>
      <c r="N10" s="10">
        <v>1</v>
      </c>
      <c r="O10" s="10">
        <f>2*2+(N10-1)*2</f>
        <v>4</v>
      </c>
      <c r="P10" s="35">
        <v>32</v>
      </c>
      <c r="Q10" s="15">
        <f t="shared" si="2"/>
        <v>80</v>
      </c>
      <c r="R10" s="33">
        <f>3*(48.7+5)</f>
        <v>161.10000000000002</v>
      </c>
      <c r="S10" s="34">
        <f>3*(2*257)</f>
        <v>1542</v>
      </c>
      <c r="T10" s="34">
        <f>3*50</f>
        <v>150</v>
      </c>
      <c r="U10" s="34">
        <v>120</v>
      </c>
      <c r="V10" s="10">
        <f>U10</f>
        <v>120</v>
      </c>
    </row>
    <row r="11" spans="2:26" x14ac:dyDescent="0.25">
      <c r="B11" s="10">
        <v>1</v>
      </c>
      <c r="C11" s="34" t="s">
        <v>151</v>
      </c>
      <c r="D11">
        <v>1452</v>
      </c>
      <c r="E11" s="127"/>
      <c r="F11">
        <f t="shared" si="0"/>
        <v>1452</v>
      </c>
      <c r="G11" s="1" t="str">
        <f t="shared" si="1"/>
        <v>FR 1452</v>
      </c>
      <c r="H11" s="11" t="s">
        <v>158</v>
      </c>
      <c r="J11" t="s">
        <v>11</v>
      </c>
      <c r="K11" s="10">
        <f>N11*3</f>
        <v>24</v>
      </c>
      <c r="L11">
        <f>4+K11*2</f>
        <v>52</v>
      </c>
      <c r="M11" s="35">
        <f>1*16.4+K11*15</f>
        <v>376.4</v>
      </c>
      <c r="N11" s="10">
        <v>8</v>
      </c>
      <c r="O11" s="34">
        <f>4+N11*2</f>
        <v>20</v>
      </c>
      <c r="P11" s="15">
        <v>146</v>
      </c>
      <c r="Q11" s="15">
        <f t="shared" si="2"/>
        <v>365</v>
      </c>
      <c r="R11" s="33">
        <f>80+K11*2*20</f>
        <v>1040</v>
      </c>
      <c r="S11" s="34">
        <v>4200</v>
      </c>
      <c r="T11" s="34">
        <v>300</v>
      </c>
      <c r="U11" s="34">
        <v>140</v>
      </c>
      <c r="V11">
        <v>120</v>
      </c>
    </row>
    <row r="12" spans="2:26" s="34" customFormat="1" x14ac:dyDescent="0.25">
      <c r="B12" s="34">
        <v>1</v>
      </c>
      <c r="C12" s="34" t="s">
        <v>152</v>
      </c>
      <c r="D12" s="34">
        <v>1456</v>
      </c>
      <c r="E12" s="127"/>
      <c r="F12" s="34">
        <f t="shared" si="0"/>
        <v>1456</v>
      </c>
      <c r="G12" s="1" t="str">
        <f t="shared" si="1"/>
        <v>CS 1456</v>
      </c>
      <c r="H12" s="31" t="s">
        <v>159</v>
      </c>
      <c r="J12" s="34" t="s">
        <v>160</v>
      </c>
      <c r="K12" s="34">
        <f>N12*3</f>
        <v>27</v>
      </c>
      <c r="L12" s="34">
        <f>4+K12*4</f>
        <v>112</v>
      </c>
      <c r="M12" s="35">
        <f>1*16.4+K12*11.95</f>
        <v>339.04999999999995</v>
      </c>
      <c r="N12" s="34">
        <f>8+1</f>
        <v>9</v>
      </c>
      <c r="O12" s="34">
        <f>4+N12*4</f>
        <v>40</v>
      </c>
      <c r="P12" s="35">
        <v>149</v>
      </c>
      <c r="Q12" s="35">
        <f t="shared" si="2"/>
        <v>372.5</v>
      </c>
      <c r="R12" s="33">
        <f>80+K12*(25+55.5)</f>
        <v>2253.5</v>
      </c>
      <c r="S12" s="34">
        <v>4200</v>
      </c>
      <c r="T12" s="34">
        <v>300</v>
      </c>
      <c r="U12" s="34">
        <v>140</v>
      </c>
      <c r="V12" s="34">
        <v>80</v>
      </c>
    </row>
    <row r="13" spans="2:26" s="10" customFormat="1" x14ac:dyDescent="0.25">
      <c r="B13" s="10">
        <v>1</v>
      </c>
      <c r="C13" s="34" t="s">
        <v>173</v>
      </c>
      <c r="D13" s="10">
        <v>292</v>
      </c>
      <c r="E13" s="127"/>
      <c r="F13" s="10">
        <f t="shared" si="0"/>
        <v>292</v>
      </c>
      <c r="G13" s="1" t="str">
        <f t="shared" si="1"/>
        <v>rf 292</v>
      </c>
      <c r="H13" s="11" t="s">
        <v>164</v>
      </c>
      <c r="J13" s="10" t="s">
        <v>37</v>
      </c>
      <c r="K13" s="34">
        <f>N13*3</f>
        <v>0</v>
      </c>
      <c r="L13" s="10">
        <f>4+K13*2</f>
        <v>4</v>
      </c>
      <c r="M13" s="35">
        <f>14+K13*15</f>
        <v>14</v>
      </c>
      <c r="N13" s="10">
        <v>0</v>
      </c>
      <c r="O13" s="10">
        <f>4+N13*2</f>
        <v>4</v>
      </c>
      <c r="P13" s="15">
        <v>16</v>
      </c>
      <c r="Q13" s="15">
        <f>P13/100*250</f>
        <v>40</v>
      </c>
      <c r="R13" s="33">
        <f>80+K13*2*20</f>
        <v>80</v>
      </c>
      <c r="S13" s="34">
        <v>1000</v>
      </c>
      <c r="T13" s="34">
        <v>184</v>
      </c>
      <c r="U13" s="34">
        <v>80</v>
      </c>
      <c r="V13" s="10">
        <v>80</v>
      </c>
      <c r="X13" s="3" t="s">
        <v>36</v>
      </c>
    </row>
    <row r="15" spans="2:26" ht="15.75" x14ac:dyDescent="0.25">
      <c r="B15" s="7" t="s">
        <v>19</v>
      </c>
      <c r="J15" s="31" t="s">
        <v>46</v>
      </c>
      <c r="K15" t="s">
        <v>127</v>
      </c>
      <c r="L15" t="s">
        <v>44</v>
      </c>
      <c r="X15" s="34"/>
    </row>
    <row r="16" spans="2:26" x14ac:dyDescent="0.25">
      <c r="C16" s="1" t="s">
        <v>20</v>
      </c>
      <c r="D16" t="s">
        <v>32</v>
      </c>
      <c r="E16" t="s">
        <v>130</v>
      </c>
      <c r="F16" s="11" t="s">
        <v>99</v>
      </c>
      <c r="G16" s="2" t="s">
        <v>21</v>
      </c>
      <c r="H16" s="11" t="s">
        <v>22</v>
      </c>
      <c r="J16" s="11" t="s">
        <v>23</v>
      </c>
      <c r="K16" s="19" t="s">
        <v>126</v>
      </c>
      <c r="L16" t="s">
        <v>40</v>
      </c>
    </row>
    <row r="17" spans="2:31" ht="8.25" customHeight="1" x14ac:dyDescent="0.25">
      <c r="G17" s="2"/>
    </row>
    <row r="18" spans="2:31" x14ac:dyDescent="0.25">
      <c r="B18" s="6" t="s">
        <v>33</v>
      </c>
      <c r="M18" t="s">
        <v>64</v>
      </c>
    </row>
    <row r="19" spans="2:31" s="10" customFormat="1" ht="8.25" customHeight="1" x14ac:dyDescent="0.25">
      <c r="G19" s="11"/>
      <c r="H19" s="11"/>
    </row>
    <row r="20" spans="2:31" x14ac:dyDescent="0.25">
      <c r="C20">
        <v>1000</v>
      </c>
      <c r="D20" t="s">
        <v>118</v>
      </c>
      <c r="E20" t="s">
        <v>26</v>
      </c>
      <c r="F20" s="20">
        <v>30.742999999999999</v>
      </c>
      <c r="G20" s="5" t="s">
        <v>25</v>
      </c>
      <c r="H20" s="11">
        <v>20</v>
      </c>
      <c r="J20" s="16">
        <v>4762</v>
      </c>
      <c r="K20" s="19" t="s">
        <v>128</v>
      </c>
      <c r="L20" s="11" t="s">
        <v>41</v>
      </c>
      <c r="M20" t="s">
        <v>35</v>
      </c>
      <c r="N20" t="s">
        <v>59</v>
      </c>
    </row>
    <row r="21" spans="2:31" x14ac:dyDescent="0.25">
      <c r="C21">
        <v>1000</v>
      </c>
      <c r="D21" t="s">
        <v>118</v>
      </c>
      <c r="E21" t="s">
        <v>29</v>
      </c>
      <c r="F21" s="20">
        <v>30.745000000000001</v>
      </c>
      <c r="G21" s="5" t="s">
        <v>25</v>
      </c>
      <c r="H21" s="11">
        <v>20</v>
      </c>
      <c r="J21" s="16">
        <v>4738</v>
      </c>
      <c r="K21" s="19" t="s">
        <v>128</v>
      </c>
      <c r="L21" s="11" t="s">
        <v>42</v>
      </c>
      <c r="N21" t="s">
        <v>61</v>
      </c>
    </row>
    <row r="22" spans="2:31" x14ac:dyDescent="0.25">
      <c r="C22">
        <v>1000</v>
      </c>
      <c r="D22" t="s">
        <v>119</v>
      </c>
      <c r="E22" t="s">
        <v>31</v>
      </c>
      <c r="F22" s="23">
        <f>26.4-1</f>
        <v>25.4</v>
      </c>
      <c r="G22" s="5" t="s">
        <v>25</v>
      </c>
      <c r="H22" s="11">
        <v>20</v>
      </c>
      <c r="J22" s="16">
        <v>4733</v>
      </c>
      <c r="K22" s="19" t="s">
        <v>129</v>
      </c>
      <c r="L22" s="11" t="s">
        <v>41</v>
      </c>
      <c r="N22" s="10" t="s">
        <v>60</v>
      </c>
      <c r="X22" s="24" t="s">
        <v>105</v>
      </c>
    </row>
    <row r="23" spans="2:31" x14ac:dyDescent="0.25">
      <c r="C23">
        <v>1000</v>
      </c>
      <c r="D23" t="s">
        <v>119</v>
      </c>
      <c r="E23" t="s">
        <v>30</v>
      </c>
      <c r="F23" s="23">
        <f>26.4-1</f>
        <v>25.4</v>
      </c>
      <c r="G23" s="5" t="s">
        <v>25</v>
      </c>
      <c r="H23" s="11">
        <v>20</v>
      </c>
      <c r="J23" s="16">
        <v>4735</v>
      </c>
      <c r="K23" s="19" t="s">
        <v>129</v>
      </c>
      <c r="L23" s="11" t="s">
        <v>42</v>
      </c>
      <c r="M23" t="s">
        <v>62</v>
      </c>
      <c r="N23" t="s">
        <v>63</v>
      </c>
      <c r="X23" s="24" t="s">
        <v>363</v>
      </c>
    </row>
    <row r="24" spans="2:31" x14ac:dyDescent="0.25">
      <c r="C24">
        <v>1100</v>
      </c>
      <c r="D24" t="s">
        <v>119</v>
      </c>
      <c r="E24" t="s">
        <v>27</v>
      </c>
      <c r="F24" s="23">
        <f>26.4-1</f>
        <v>25.4</v>
      </c>
      <c r="G24" s="5" t="s">
        <v>25</v>
      </c>
      <c r="H24" s="11">
        <v>20</v>
      </c>
      <c r="J24" s="16">
        <v>4703</v>
      </c>
      <c r="K24" s="19" t="s">
        <v>129</v>
      </c>
      <c r="L24" s="11" t="s">
        <v>41</v>
      </c>
      <c r="N24"/>
      <c r="X24" s="24" t="s">
        <v>365</v>
      </c>
    </row>
    <row r="25" spans="2:31" x14ac:dyDescent="0.25">
      <c r="C25">
        <v>1100</v>
      </c>
      <c r="D25" t="s">
        <v>119</v>
      </c>
      <c r="E25" t="s">
        <v>39</v>
      </c>
      <c r="F25" s="23">
        <f>26.4-1</f>
        <v>25.4</v>
      </c>
      <c r="G25" s="5" t="s">
        <v>25</v>
      </c>
      <c r="H25" s="11">
        <v>20</v>
      </c>
      <c r="J25" s="16">
        <v>4707</v>
      </c>
      <c r="K25" s="19" t="s">
        <v>129</v>
      </c>
      <c r="L25" s="11" t="s">
        <v>42</v>
      </c>
      <c r="X25" s="24" t="s">
        <v>364</v>
      </c>
      <c r="Z25" s="10"/>
      <c r="AA25" s="10"/>
      <c r="AB25" s="10"/>
      <c r="AC25" s="10"/>
      <c r="AD25" s="10"/>
    </row>
    <row r="26" spans="2:31" x14ac:dyDescent="0.25">
      <c r="C26" s="1" t="s">
        <v>48</v>
      </c>
      <c r="D26" t="s">
        <v>120</v>
      </c>
      <c r="E26" t="s">
        <v>321</v>
      </c>
      <c r="F26" s="20">
        <v>28.739000000000001</v>
      </c>
      <c r="G26" s="5" t="s">
        <v>28</v>
      </c>
      <c r="H26" s="11">
        <v>21</v>
      </c>
      <c r="J26" s="16">
        <v>12778</v>
      </c>
      <c r="K26" s="19" t="s">
        <v>128</v>
      </c>
      <c r="L26" s="11" t="s">
        <v>43</v>
      </c>
      <c r="M26" t="s">
        <v>58</v>
      </c>
      <c r="N26" t="s">
        <v>45</v>
      </c>
      <c r="R26" s="4"/>
      <c r="X26" s="24"/>
      <c r="Z26" s="10"/>
      <c r="AA26" s="10"/>
      <c r="AB26" s="10"/>
      <c r="AC26" s="10"/>
      <c r="AD26" s="10"/>
    </row>
    <row r="27" spans="2:31" x14ac:dyDescent="0.25">
      <c r="C27" s="1" t="s">
        <v>49</v>
      </c>
      <c r="D27" t="s">
        <v>120</v>
      </c>
      <c r="E27" t="s">
        <v>80</v>
      </c>
      <c r="F27" s="20">
        <v>29.088000000000001</v>
      </c>
      <c r="G27" s="5" t="s">
        <v>28</v>
      </c>
      <c r="H27" s="11">
        <v>21</v>
      </c>
      <c r="J27" s="16">
        <v>13736</v>
      </c>
      <c r="K27" s="19" t="s">
        <v>128</v>
      </c>
      <c r="L27" s="11" t="s">
        <v>43</v>
      </c>
      <c r="N27" s="11"/>
      <c r="X27" s="24" t="s">
        <v>370</v>
      </c>
      <c r="Y27" s="9"/>
      <c r="Z27" s="10"/>
      <c r="AA27" s="10"/>
      <c r="AB27" s="10"/>
      <c r="AC27" s="10"/>
      <c r="AD27" s="10"/>
      <c r="AE27" s="9" t="s">
        <v>50</v>
      </c>
    </row>
    <row r="28" spans="2:31" x14ac:dyDescent="0.25">
      <c r="C28">
        <v>2000</v>
      </c>
      <c r="D28" t="s">
        <v>121</v>
      </c>
      <c r="E28" s="10" t="s">
        <v>24</v>
      </c>
      <c r="F28" s="20">
        <f>O28</f>
        <v>2.2729999999999886</v>
      </c>
      <c r="G28" s="5" t="s">
        <v>25</v>
      </c>
      <c r="H28" s="11">
        <v>20</v>
      </c>
      <c r="J28" s="16">
        <v>4731</v>
      </c>
      <c r="K28" s="19" t="s">
        <v>128</v>
      </c>
      <c r="L28" s="11" t="s">
        <v>43</v>
      </c>
      <c r="M28" s="72" t="s">
        <v>178</v>
      </c>
      <c r="N28" s="10">
        <v>488.25</v>
      </c>
      <c r="O28" s="10">
        <f>(Q28-N28)+R28</f>
        <v>2.2729999999999886</v>
      </c>
      <c r="P28" s="1" t="s">
        <v>316</v>
      </c>
      <c r="Q28" s="10">
        <v>489.745</v>
      </c>
      <c r="R28" s="10">
        <f>(T28-Q28)+U28</f>
        <v>0.77799999999998404</v>
      </c>
      <c r="S28" s="1" t="s">
        <v>317</v>
      </c>
      <c r="T28">
        <v>489.95</v>
      </c>
      <c r="U28" s="10">
        <v>0.57299999999999995</v>
      </c>
      <c r="X28" s="124" t="s">
        <v>369</v>
      </c>
      <c r="Y28" s="9"/>
      <c r="Z28" s="10"/>
      <c r="AA28" s="10"/>
      <c r="AB28" s="10"/>
      <c r="AC28" s="10"/>
      <c r="AD28" s="10"/>
      <c r="AE28" s="8" t="s">
        <v>50</v>
      </c>
    </row>
    <row r="29" spans="2:31" s="10" customFormat="1" ht="8.25" customHeight="1" x14ac:dyDescent="0.25">
      <c r="G29" s="19"/>
      <c r="H29" s="19"/>
    </row>
    <row r="30" spans="2:31" x14ac:dyDescent="0.25">
      <c r="B30" s="6" t="s">
        <v>34</v>
      </c>
      <c r="J30" s="11"/>
      <c r="L30" s="11"/>
      <c r="M30" t="s">
        <v>296</v>
      </c>
      <c r="N30" s="11"/>
      <c r="X30" s="124"/>
      <c r="Z30" s="10"/>
      <c r="AA30" s="10"/>
      <c r="AB30" s="10"/>
      <c r="AC30" s="10"/>
      <c r="AD30" s="10"/>
    </row>
    <row r="31" spans="2:31" s="10" customFormat="1" ht="8.25" customHeight="1" x14ac:dyDescent="0.25">
      <c r="G31" s="11"/>
      <c r="H31" s="11"/>
    </row>
    <row r="32" spans="2:31" x14ac:dyDescent="0.25">
      <c r="C32">
        <v>1000</v>
      </c>
      <c r="D32" t="s">
        <v>122</v>
      </c>
      <c r="E32" t="s">
        <v>29</v>
      </c>
      <c r="F32" s="20">
        <f t="shared" ref="F32:F37" si="5">F20</f>
        <v>30.742999999999999</v>
      </c>
      <c r="G32" s="5" t="s">
        <v>28</v>
      </c>
      <c r="H32" s="11">
        <v>20</v>
      </c>
      <c r="J32" s="16">
        <v>4738</v>
      </c>
      <c r="K32" s="19" t="s">
        <v>129</v>
      </c>
      <c r="L32" s="11" t="s">
        <v>41</v>
      </c>
      <c r="N32" s="11"/>
      <c r="Z32" s="10"/>
      <c r="AA32" s="10"/>
      <c r="AB32" s="10"/>
      <c r="AC32" s="10"/>
      <c r="AD32" s="10"/>
    </row>
    <row r="33" spans="2:30" x14ac:dyDescent="0.25">
      <c r="C33">
        <v>1000</v>
      </c>
      <c r="D33" t="s">
        <v>122</v>
      </c>
      <c r="E33" t="s">
        <v>26</v>
      </c>
      <c r="F33" s="20">
        <f t="shared" si="5"/>
        <v>30.745000000000001</v>
      </c>
      <c r="G33" s="5" t="s">
        <v>28</v>
      </c>
      <c r="H33" s="19">
        <v>20</v>
      </c>
      <c r="J33" s="16">
        <v>4762</v>
      </c>
      <c r="K33" s="19" t="s">
        <v>129</v>
      </c>
      <c r="L33" s="11" t="s">
        <v>42</v>
      </c>
      <c r="N33" s="11"/>
      <c r="Z33" s="10"/>
      <c r="AA33" s="10"/>
      <c r="AB33" s="10"/>
      <c r="AC33" s="10"/>
      <c r="AD33" s="10"/>
    </row>
    <row r="34" spans="2:30" x14ac:dyDescent="0.25">
      <c r="C34">
        <v>1000</v>
      </c>
      <c r="D34" t="s">
        <v>123</v>
      </c>
      <c r="E34" t="s">
        <v>30</v>
      </c>
      <c r="F34" s="20">
        <f t="shared" si="5"/>
        <v>25.4</v>
      </c>
      <c r="G34" s="5" t="s">
        <v>28</v>
      </c>
      <c r="H34" s="19">
        <v>20</v>
      </c>
      <c r="J34" s="16">
        <v>4735</v>
      </c>
      <c r="K34" s="19" t="s">
        <v>128</v>
      </c>
      <c r="L34" s="11" t="s">
        <v>41</v>
      </c>
      <c r="N34" s="11"/>
      <c r="Z34" s="10"/>
      <c r="AA34" s="10"/>
      <c r="AB34" s="10"/>
      <c r="AC34" s="10"/>
      <c r="AD34" s="10"/>
    </row>
    <row r="35" spans="2:30" x14ac:dyDescent="0.25">
      <c r="C35">
        <v>1000</v>
      </c>
      <c r="D35" t="s">
        <v>123</v>
      </c>
      <c r="E35" t="s">
        <v>31</v>
      </c>
      <c r="F35" s="20">
        <f t="shared" si="5"/>
        <v>25.4</v>
      </c>
      <c r="G35" s="5" t="s">
        <v>28</v>
      </c>
      <c r="H35" s="19">
        <v>20</v>
      </c>
      <c r="J35" s="16">
        <v>4733</v>
      </c>
      <c r="K35" s="19" t="s">
        <v>128</v>
      </c>
      <c r="L35" s="11" t="s">
        <v>42</v>
      </c>
      <c r="N35" s="11"/>
      <c r="Z35" s="10"/>
      <c r="AA35" s="10"/>
      <c r="AB35" s="10"/>
      <c r="AC35" s="10"/>
      <c r="AD35" s="10"/>
    </row>
    <row r="36" spans="2:30" x14ac:dyDescent="0.25">
      <c r="C36">
        <v>1100</v>
      </c>
      <c r="D36" t="s">
        <v>123</v>
      </c>
      <c r="E36" t="s">
        <v>39</v>
      </c>
      <c r="F36" s="20">
        <f t="shared" si="5"/>
        <v>25.4</v>
      </c>
      <c r="G36" s="5" t="s">
        <v>28</v>
      </c>
      <c r="H36" s="19">
        <v>20</v>
      </c>
      <c r="J36" s="16">
        <v>4707</v>
      </c>
      <c r="K36" s="19" t="s">
        <v>128</v>
      </c>
      <c r="L36" s="11" t="s">
        <v>41</v>
      </c>
      <c r="N36" s="11"/>
    </row>
    <row r="37" spans="2:30" x14ac:dyDescent="0.25">
      <c r="C37">
        <v>1100</v>
      </c>
      <c r="D37" t="s">
        <v>123</v>
      </c>
      <c r="E37" t="s">
        <v>27</v>
      </c>
      <c r="F37" s="20">
        <f t="shared" si="5"/>
        <v>25.4</v>
      </c>
      <c r="G37" s="5" t="s">
        <v>28</v>
      </c>
      <c r="H37" s="19">
        <v>20</v>
      </c>
      <c r="J37" s="16">
        <v>4703</v>
      </c>
      <c r="K37" s="19" t="s">
        <v>128</v>
      </c>
      <c r="L37" s="11" t="s">
        <v>42</v>
      </c>
      <c r="N37" s="1" t="s">
        <v>103</v>
      </c>
      <c r="O37" s="1"/>
      <c r="P37" s="1" t="s">
        <v>103</v>
      </c>
      <c r="Q37" s="1"/>
      <c r="R37" s="1" t="s">
        <v>14</v>
      </c>
      <c r="S37" s="1"/>
      <c r="T37" s="1" t="s">
        <v>14</v>
      </c>
    </row>
    <row r="38" spans="2:30" x14ac:dyDescent="0.25">
      <c r="B38" s="1"/>
      <c r="C38" s="1" t="s">
        <v>48</v>
      </c>
      <c r="D38" s="8" t="s">
        <v>120</v>
      </c>
      <c r="E38" s="8" t="str">
        <f>"1227Y + "&amp;TEXT(T38,"0")</f>
        <v>1227Y + 215</v>
      </c>
      <c r="F38" s="20">
        <f>F26+T38/1000</f>
        <v>28.954000000000001</v>
      </c>
      <c r="G38" s="5" t="s">
        <v>25</v>
      </c>
      <c r="H38" s="107">
        <v>21</v>
      </c>
      <c r="J38" s="16">
        <v>12778</v>
      </c>
      <c r="K38" s="19" t="s">
        <v>129</v>
      </c>
      <c r="L38" s="11" t="s">
        <v>43</v>
      </c>
      <c r="M38" t="s">
        <v>53</v>
      </c>
      <c r="N38" s="21">
        <v>28.739000000000001</v>
      </c>
      <c r="O38" s="10" t="s">
        <v>52</v>
      </c>
      <c r="P38" s="21">
        <v>28.962</v>
      </c>
      <c r="Q38" s="10" t="s">
        <v>51</v>
      </c>
      <c r="R38" s="22">
        <f>(P38-N38)*1000</f>
        <v>222.99999999999898</v>
      </c>
      <c r="S38" t="s">
        <v>104</v>
      </c>
      <c r="T38">
        <f>5*INT((R38-5)/5)</f>
        <v>215</v>
      </c>
    </row>
    <row r="39" spans="2:30" x14ac:dyDescent="0.25">
      <c r="B39" s="1"/>
      <c r="C39" s="1" t="s">
        <v>49</v>
      </c>
      <c r="D39" s="8" t="s">
        <v>120</v>
      </c>
      <c r="E39" s="10" t="str">
        <f>"1233Y + "&amp;TEXT(T39,"0")</f>
        <v>1233Y + 205</v>
      </c>
      <c r="F39" s="20">
        <f>F27+T39/1000</f>
        <v>29.292999999999999</v>
      </c>
      <c r="G39" s="5" t="s">
        <v>25</v>
      </c>
      <c r="H39" s="107">
        <v>21</v>
      </c>
      <c r="J39" s="16">
        <v>13736</v>
      </c>
      <c r="K39" s="19" t="s">
        <v>129</v>
      </c>
      <c r="L39" s="11" t="s">
        <v>43</v>
      </c>
      <c r="M39" s="10" t="s">
        <v>54</v>
      </c>
      <c r="N39" s="21">
        <v>29.088000000000001</v>
      </c>
      <c r="O39" s="10" t="s">
        <v>52</v>
      </c>
      <c r="P39" s="21">
        <v>29.300999999999998</v>
      </c>
      <c r="Q39" s="10" t="s">
        <v>51</v>
      </c>
      <c r="R39" s="22">
        <f>(P39-N39)*1000</f>
        <v>212.99999999999741</v>
      </c>
      <c r="S39" s="10" t="s">
        <v>104</v>
      </c>
      <c r="T39" s="10">
        <f>5*INT((R39-5)/5)</f>
        <v>205</v>
      </c>
    </row>
    <row r="40" spans="2:30" x14ac:dyDescent="0.25">
      <c r="C40">
        <v>2000</v>
      </c>
      <c r="D40" t="s">
        <v>124</v>
      </c>
      <c r="E40" s="10" t="s">
        <v>24</v>
      </c>
      <c r="F40" s="20">
        <f>F28</f>
        <v>2.2729999999999886</v>
      </c>
      <c r="G40" s="5" t="s">
        <v>28</v>
      </c>
      <c r="H40" s="19">
        <v>20</v>
      </c>
      <c r="J40" s="16">
        <v>4731</v>
      </c>
      <c r="K40" s="19" t="s">
        <v>129</v>
      </c>
      <c r="L40" s="11" t="s">
        <v>43</v>
      </c>
      <c r="M40" s="119" t="s">
        <v>178</v>
      </c>
      <c r="N40" s="10">
        <v>488.25</v>
      </c>
      <c r="P40" s="3" t="s">
        <v>295</v>
      </c>
      <c r="Q40"/>
    </row>
    <row r="42" spans="2:30" ht="15.75" x14ac:dyDescent="0.25">
      <c r="B42" s="7" t="s">
        <v>55</v>
      </c>
      <c r="J42" t="s">
        <v>171</v>
      </c>
    </row>
    <row r="43" spans="2:30" s="10" customFormat="1" ht="6" customHeight="1" x14ac:dyDescent="0.25">
      <c r="H43" s="73"/>
    </row>
    <row r="44" spans="2:30" x14ac:dyDescent="0.25">
      <c r="B44" s="73" t="s">
        <v>179</v>
      </c>
      <c r="E44" s="3" t="s">
        <v>180</v>
      </c>
      <c r="F44" s="10" t="s">
        <v>181</v>
      </c>
    </row>
    <row r="45" spans="2:30" s="10" customFormat="1" ht="6" customHeight="1" x14ac:dyDescent="0.25">
      <c r="B45" s="73"/>
      <c r="E45" s="3"/>
      <c r="H45" s="73"/>
    </row>
    <row r="46" spans="2:30" x14ac:dyDescent="0.25">
      <c r="B46" s="73">
        <v>15</v>
      </c>
      <c r="C46" t="s">
        <v>175</v>
      </c>
      <c r="E46" s="3" t="s">
        <v>182</v>
      </c>
      <c r="F46" s="10" t="s">
        <v>184</v>
      </c>
      <c r="G46" s="10" t="s">
        <v>189</v>
      </c>
    </row>
    <row r="47" spans="2:30" s="10" customFormat="1" x14ac:dyDescent="0.25">
      <c r="B47" s="73"/>
      <c r="E47" s="3" t="s">
        <v>182</v>
      </c>
      <c r="F47" s="10" t="s">
        <v>191</v>
      </c>
      <c r="G47" s="10" t="s">
        <v>190</v>
      </c>
      <c r="H47" s="72"/>
    </row>
    <row r="48" spans="2:30" x14ac:dyDescent="0.25">
      <c r="B48" s="73">
        <v>11</v>
      </c>
      <c r="C48" s="10" t="s">
        <v>176</v>
      </c>
      <c r="E48" s="3" t="s">
        <v>185</v>
      </c>
      <c r="F48" s="10" t="s">
        <v>183</v>
      </c>
      <c r="G48" t="s">
        <v>189</v>
      </c>
    </row>
    <row r="49" spans="2:16" s="10" customFormat="1" x14ac:dyDescent="0.25">
      <c r="B49" s="73"/>
      <c r="E49" s="3" t="s">
        <v>257</v>
      </c>
      <c r="F49" s="10" t="s">
        <v>186</v>
      </c>
      <c r="G49" s="10" t="s">
        <v>190</v>
      </c>
      <c r="H49" s="72"/>
    </row>
    <row r="50" spans="2:16" s="10" customFormat="1" x14ac:dyDescent="0.25">
      <c r="B50" s="73"/>
      <c r="E50" s="3" t="s">
        <v>187</v>
      </c>
      <c r="G50" s="10" t="s">
        <v>188</v>
      </c>
      <c r="H50" s="72"/>
    </row>
    <row r="51" spans="2:16" s="10" customFormat="1" x14ac:dyDescent="0.25">
      <c r="B51" s="73">
        <v>31</v>
      </c>
      <c r="C51" t="s">
        <v>106</v>
      </c>
      <c r="E51" s="3" t="s">
        <v>193</v>
      </c>
      <c r="F51" s="10" t="s">
        <v>192</v>
      </c>
      <c r="H51" s="72"/>
    </row>
    <row r="52" spans="2:16" x14ac:dyDescent="0.25">
      <c r="B52" s="73"/>
      <c r="E52" s="3"/>
    </row>
    <row r="53" spans="2:16" x14ac:dyDescent="0.25">
      <c r="B53" s="73">
        <v>12</v>
      </c>
      <c r="C53" t="s">
        <v>174</v>
      </c>
      <c r="E53" s="3">
        <v>33</v>
      </c>
      <c r="F53" t="s">
        <v>47</v>
      </c>
      <c r="G53" s="1" t="str">
        <f>G13</f>
        <v>rf 292</v>
      </c>
      <c r="J53" t="s">
        <v>177</v>
      </c>
    </row>
    <row r="54" spans="2:16" x14ac:dyDescent="0.25">
      <c r="B54" s="73"/>
      <c r="E54" s="3"/>
    </row>
    <row r="55" spans="2:16" ht="15.75" x14ac:dyDescent="0.25">
      <c r="B55" s="7" t="s">
        <v>88</v>
      </c>
      <c r="J55" t="s">
        <v>172</v>
      </c>
    </row>
    <row r="56" spans="2:16" ht="6" customHeight="1" x14ac:dyDescent="0.25"/>
    <row r="57" spans="2:16" x14ac:dyDescent="0.25">
      <c r="C57" t="s">
        <v>89</v>
      </c>
    </row>
    <row r="58" spans="2:16" x14ac:dyDescent="0.25">
      <c r="C58" t="s">
        <v>125</v>
      </c>
    </row>
    <row r="59" spans="2:16" x14ac:dyDescent="0.25">
      <c r="C59" t="s">
        <v>377</v>
      </c>
    </row>
    <row r="61" spans="2:16" s="10" customFormat="1" ht="15.75" x14ac:dyDescent="0.25">
      <c r="B61" s="7" t="s">
        <v>131</v>
      </c>
      <c r="C61" s="31"/>
      <c r="E61" s="31"/>
      <c r="F61" s="31"/>
      <c r="G61" s="16"/>
      <c r="H61" s="31"/>
      <c r="J61" s="30" t="s">
        <v>154</v>
      </c>
      <c r="K61" s="30"/>
      <c r="L61" s="30"/>
      <c r="M61" s="30"/>
      <c r="N61" s="30"/>
      <c r="O61" s="30"/>
      <c r="P61" s="30"/>
    </row>
    <row r="62" spans="2:16" s="10" customFormat="1" ht="6" customHeight="1" x14ac:dyDescent="0.25">
      <c r="H62" s="31"/>
    </row>
    <row r="63" spans="2:16" x14ac:dyDescent="0.25">
      <c r="C63" s="29" t="s">
        <v>133</v>
      </c>
    </row>
    <row r="64" spans="2:16" x14ac:dyDescent="0.25">
      <c r="C64" t="s">
        <v>155</v>
      </c>
    </row>
    <row r="66" spans="2:15" ht="15.75" x14ac:dyDescent="0.25">
      <c r="B66" s="7" t="s">
        <v>165</v>
      </c>
    </row>
    <row r="67" spans="2:15" s="10" customFormat="1" ht="6" customHeight="1" x14ac:dyDescent="0.25">
      <c r="H67" s="31"/>
    </row>
    <row r="68" spans="2:15" x14ac:dyDescent="0.25">
      <c r="C68" t="s">
        <v>281</v>
      </c>
    </row>
    <row r="69" spans="2:15" x14ac:dyDescent="0.25">
      <c r="C69" t="s">
        <v>280</v>
      </c>
    </row>
    <row r="70" spans="2:15" x14ac:dyDescent="0.25">
      <c r="C70" t="s">
        <v>166</v>
      </c>
    </row>
    <row r="72" spans="2:15" ht="15.75" x14ac:dyDescent="0.25">
      <c r="B72" s="7" t="s">
        <v>244</v>
      </c>
      <c r="M72" s="18"/>
    </row>
    <row r="73" spans="2:15" x14ac:dyDescent="0.25">
      <c r="C73" s="10" t="s">
        <v>379</v>
      </c>
      <c r="D73" s="73"/>
      <c r="G73" s="10"/>
      <c r="N73" s="118"/>
    </row>
    <row r="74" spans="2:15" x14ac:dyDescent="0.25">
      <c r="C74" s="10" t="s">
        <v>380</v>
      </c>
      <c r="D74" s="73"/>
      <c r="G74" s="10"/>
      <c r="N74" s="118"/>
    </row>
    <row r="76" spans="2:15" x14ac:dyDescent="0.25">
      <c r="C76" t="s">
        <v>297</v>
      </c>
    </row>
    <row r="77" spans="2:15" x14ac:dyDescent="0.25">
      <c r="C77" t="s">
        <v>245</v>
      </c>
    </row>
    <row r="78" spans="2:15" x14ac:dyDescent="0.25">
      <c r="C78" t="s">
        <v>345</v>
      </c>
      <c r="O78" s="118"/>
    </row>
    <row r="80" spans="2:15" x14ac:dyDescent="0.25">
      <c r="B80" s="6" t="s">
        <v>325</v>
      </c>
      <c r="M80" s="6" t="s">
        <v>361</v>
      </c>
    </row>
    <row r="81" spans="3:14" x14ac:dyDescent="0.25">
      <c r="C81" t="s">
        <v>326</v>
      </c>
      <c r="N81" s="10" t="s">
        <v>362</v>
      </c>
    </row>
    <row r="82" spans="3:14" x14ac:dyDescent="0.25">
      <c r="C82" t="s">
        <v>327</v>
      </c>
      <c r="N82" s="10" t="s">
        <v>378</v>
      </c>
    </row>
    <row r="84" spans="3:14" x14ac:dyDescent="0.25">
      <c r="C84" t="s">
        <v>328</v>
      </c>
    </row>
    <row r="86" spans="3:14" x14ac:dyDescent="0.25">
      <c r="C86" t="s">
        <v>329</v>
      </c>
    </row>
    <row r="87" spans="3:14" x14ac:dyDescent="0.25">
      <c r="C87" s="10" t="s">
        <v>330</v>
      </c>
    </row>
    <row r="88" spans="3:14" x14ac:dyDescent="0.25">
      <c r="C88" t="s">
        <v>331</v>
      </c>
    </row>
    <row r="89" spans="3:14" x14ac:dyDescent="0.25">
      <c r="C89" t="s">
        <v>367</v>
      </c>
    </row>
    <row r="91" spans="3:14" x14ac:dyDescent="0.25">
      <c r="C91" t="s">
        <v>332</v>
      </c>
    </row>
    <row r="92" spans="3:14" x14ac:dyDescent="0.25">
      <c r="C92" t="s">
        <v>335</v>
      </c>
    </row>
    <row r="93" spans="3:14" x14ac:dyDescent="0.25">
      <c r="C93" t="s">
        <v>333</v>
      </c>
    </row>
    <row r="94" spans="3:14" x14ac:dyDescent="0.25">
      <c r="C94" t="s">
        <v>336</v>
      </c>
    </row>
    <row r="95" spans="3:14" x14ac:dyDescent="0.25">
      <c r="C95" t="s">
        <v>334</v>
      </c>
    </row>
    <row r="96" spans="3:14" x14ac:dyDescent="0.25">
      <c r="C96" t="s">
        <v>368</v>
      </c>
    </row>
    <row r="98" spans="3:3" x14ac:dyDescent="0.25">
      <c r="C98" t="s">
        <v>337</v>
      </c>
    </row>
    <row r="99" spans="3:3" x14ac:dyDescent="0.25">
      <c r="C99" t="s">
        <v>339</v>
      </c>
    </row>
    <row r="100" spans="3:3" x14ac:dyDescent="0.25">
      <c r="C100" t="s">
        <v>338</v>
      </c>
    </row>
    <row r="102" spans="3:3" x14ac:dyDescent="0.25">
      <c r="C102" s="10" t="s">
        <v>366</v>
      </c>
    </row>
    <row r="103" spans="3:3" x14ac:dyDescent="0.25">
      <c r="C103" t="s">
        <v>340</v>
      </c>
    </row>
  </sheetData>
  <sortState ref="B10:AE13">
    <sortCondition ref="D10:D13"/>
  </sortState>
  <mergeCells count="5">
    <mergeCell ref="Y1:Z1"/>
    <mergeCell ref="K3:M3"/>
    <mergeCell ref="N3:P3"/>
    <mergeCell ref="E7:E13"/>
    <mergeCell ref="Y2:Z2"/>
  </mergeCells>
  <conditionalFormatting sqref="B7:B13">
    <cfRule type="iconSet" priority="5">
      <iconSet iconSet="3Symbols2" showValue="0">
        <cfvo type="percent" val="0"/>
        <cfvo type="num" val="0"/>
        <cfvo type="num" val="1"/>
      </iconSet>
    </cfRule>
  </conditionalFormatting>
  <pageMargins left="0.70866141732283472" right="0.70866141732283472" top="0.43307086614173229" bottom="0.43307086614173229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/>
  </sheetViews>
  <sheetFormatPr baseColWidth="10" defaultRowHeight="15" x14ac:dyDescent="0.25"/>
  <cols>
    <col min="1" max="1" width="3.85546875" style="73" customWidth="1"/>
    <col min="2" max="2" width="9.140625" style="10" customWidth="1"/>
    <col min="3" max="3" width="4.5703125" style="73" bestFit="1" customWidth="1"/>
    <col min="4" max="4" width="12.7109375" style="10" customWidth="1"/>
    <col min="5" max="5" width="10.7109375" style="10" customWidth="1"/>
    <col min="6" max="6" width="10.7109375" style="73" customWidth="1"/>
    <col min="7" max="7" width="10" style="10" customWidth="1"/>
    <col min="8" max="11" width="6.7109375" style="10" customWidth="1"/>
    <col min="12" max="15" width="6.7109375" style="73" customWidth="1"/>
    <col min="16" max="24" width="6.7109375" style="10" customWidth="1"/>
    <col min="25" max="25" width="3.28515625" style="10" customWidth="1"/>
    <col min="26" max="28" width="10.7109375" style="10" customWidth="1"/>
    <col min="29" max="16384" width="11.42578125" style="10"/>
  </cols>
  <sheetData>
    <row r="1" spans="1:26" ht="15.75" x14ac:dyDescent="0.25">
      <c r="A1" s="7" t="str">
        <f>'Sz 4'!A1</f>
        <v>Szenario 4: Unnötige Halte vermeiden</v>
      </c>
      <c r="C1" s="25"/>
      <c r="H1" s="13"/>
      <c r="I1" s="125"/>
      <c r="J1" s="125"/>
      <c r="K1" s="125"/>
      <c r="L1" s="17"/>
      <c r="M1" s="17"/>
    </row>
    <row r="2" spans="1:26" ht="6" customHeight="1" x14ac:dyDescent="0.25"/>
    <row r="3" spans="1:26" s="6" customFormat="1" x14ac:dyDescent="0.25">
      <c r="A3" s="26" t="s">
        <v>72</v>
      </c>
      <c r="B3" s="26" t="s">
        <v>161</v>
      </c>
      <c r="C3" s="26" t="s">
        <v>76</v>
      </c>
      <c r="D3" s="26" t="s">
        <v>71</v>
      </c>
      <c r="E3" s="26" t="s">
        <v>73</v>
      </c>
      <c r="F3" s="26" t="s">
        <v>247</v>
      </c>
      <c r="G3" s="26" t="s">
        <v>74</v>
      </c>
      <c r="H3" s="6" t="s">
        <v>293</v>
      </c>
      <c r="L3" s="26"/>
      <c r="M3" s="26"/>
      <c r="N3" s="26"/>
      <c r="O3" s="26"/>
      <c r="P3" s="10"/>
      <c r="Z3" s="6" t="s">
        <v>283</v>
      </c>
    </row>
    <row r="4" spans="1:26" ht="6" customHeight="1" x14ac:dyDescent="0.25"/>
    <row r="5" spans="1:26" s="39" customFormat="1" ht="15" customHeight="1" x14ac:dyDescent="0.25">
      <c r="A5" s="54">
        <v>1</v>
      </c>
      <c r="B5" s="54" t="s">
        <v>226</v>
      </c>
      <c r="C5" s="54"/>
      <c r="D5" s="55" t="s">
        <v>234</v>
      </c>
      <c r="E5" s="54" t="s">
        <v>29</v>
      </c>
      <c r="F5" s="54" t="s">
        <v>206</v>
      </c>
      <c r="G5" s="74"/>
      <c r="H5" s="54" t="s">
        <v>274</v>
      </c>
      <c r="I5" s="54"/>
      <c r="J5" s="54" t="s">
        <v>347</v>
      </c>
      <c r="K5" s="54"/>
      <c r="L5" s="54" t="s">
        <v>375</v>
      </c>
      <c r="M5" s="54"/>
      <c r="N5" s="54" t="s">
        <v>87</v>
      </c>
      <c r="O5" s="54"/>
      <c r="P5" s="54" t="s">
        <v>29</v>
      </c>
      <c r="Q5" s="10"/>
      <c r="R5" s="10"/>
      <c r="S5" s="6" t="s">
        <v>289</v>
      </c>
      <c r="T5" s="10"/>
      <c r="U5" s="10"/>
      <c r="W5" s="10"/>
      <c r="Z5" s="39" t="s">
        <v>284</v>
      </c>
    </row>
    <row r="6" spans="1:26" s="39" customFormat="1" x14ac:dyDescent="0.25">
      <c r="A6" s="47"/>
      <c r="B6" s="47"/>
      <c r="C6" s="47"/>
      <c r="D6" s="47"/>
      <c r="E6" s="47">
        <v>30.577999999999999</v>
      </c>
      <c r="F6" s="48">
        <f>E6+250/1000</f>
        <v>30.827999999999999</v>
      </c>
      <c r="G6" s="48"/>
      <c r="H6" s="48">
        <f>'Sz 4'!H8</f>
        <v>28.808</v>
      </c>
      <c r="I6" s="48"/>
      <c r="J6" s="48">
        <v>29.047999999999998</v>
      </c>
      <c r="K6" s="48"/>
      <c r="L6" s="48">
        <v>29.099</v>
      </c>
      <c r="M6" s="48"/>
      <c r="N6" s="48">
        <v>29.312999999999999</v>
      </c>
      <c r="O6" s="48"/>
      <c r="P6" s="48">
        <f>_10A</f>
        <v>30.745000000000001</v>
      </c>
      <c r="Q6" s="10"/>
      <c r="R6" s="10"/>
      <c r="S6" s="6" t="s">
        <v>290</v>
      </c>
      <c r="T6" s="10"/>
      <c r="U6" s="10"/>
      <c r="W6" s="10"/>
      <c r="Z6" s="39" t="s">
        <v>285</v>
      </c>
    </row>
    <row r="7" spans="1:26" s="39" customFormat="1" x14ac:dyDescent="0.25">
      <c r="A7" s="37"/>
      <c r="C7" s="37"/>
      <c r="E7" s="122"/>
      <c r="F7" s="109">
        <f>ABS((F6-E6)*1000)</f>
        <v>250</v>
      </c>
      <c r="G7" s="37"/>
      <c r="H7" s="109">
        <f>'Sz 4'!K12</f>
        <v>3408.0000000000014</v>
      </c>
      <c r="I7" s="109">
        <f>J7</f>
        <v>3648</v>
      </c>
      <c r="J7" s="109">
        <f>H7+ABS((J6-H6)*1000)</f>
        <v>3648</v>
      </c>
      <c r="K7" s="109">
        <f>L7</f>
        <v>3699.0000000000018</v>
      </c>
      <c r="L7" s="109">
        <f>J7+ABS((L6-J6)*1000)</f>
        <v>3699.0000000000018</v>
      </c>
      <c r="M7" s="109">
        <f>N7</f>
        <v>3913.0000000000005</v>
      </c>
      <c r="N7" s="109">
        <f>L7+ABS((N6-L6)*1000)</f>
        <v>3913.0000000000005</v>
      </c>
      <c r="O7" s="109">
        <f>P7</f>
        <v>5345.0000000000027</v>
      </c>
      <c r="P7" s="109">
        <f>N7+ABS((P6-N6)*1000)</f>
        <v>5345.0000000000027</v>
      </c>
      <c r="Q7" s="10"/>
      <c r="R7" s="10"/>
      <c r="S7" s="6" t="s">
        <v>294</v>
      </c>
      <c r="T7" s="10"/>
      <c r="U7" s="10"/>
      <c r="W7" s="10"/>
    </row>
    <row r="8" spans="1:26" s="39" customFormat="1" x14ac:dyDescent="0.25">
      <c r="A8" s="37"/>
      <c r="C8" s="37"/>
      <c r="G8" s="37"/>
      <c r="H8" s="110">
        <f>H7</f>
        <v>3408.0000000000014</v>
      </c>
      <c r="I8" s="110"/>
      <c r="J8" s="110"/>
      <c r="K8" s="110"/>
      <c r="L8" s="110"/>
      <c r="M8" s="110"/>
      <c r="N8" s="110"/>
      <c r="O8" s="110">
        <f>O7-H7</f>
        <v>1937.0000000000014</v>
      </c>
      <c r="P8" s="110"/>
      <c r="Q8" s="10"/>
      <c r="R8" s="10"/>
      <c r="S8" s="6" t="s">
        <v>292</v>
      </c>
      <c r="T8" s="10"/>
      <c r="U8" s="10"/>
      <c r="W8" s="10"/>
      <c r="Z8" s="110">
        <f>SUM(H8:P8)</f>
        <v>5345.0000000000027</v>
      </c>
    </row>
    <row r="9" spans="1:26" s="39" customFormat="1" ht="15.75" x14ac:dyDescent="0.25">
      <c r="A9" s="71" t="s">
        <v>170</v>
      </c>
      <c r="F9" s="37"/>
      <c r="G9" s="37"/>
      <c r="H9" s="52">
        <v>160</v>
      </c>
      <c r="I9" s="52">
        <f>H9</f>
        <v>160</v>
      </c>
      <c r="J9" s="52">
        <v>160</v>
      </c>
      <c r="K9" s="52">
        <f>J9</f>
        <v>160</v>
      </c>
      <c r="L9" s="52">
        <v>160</v>
      </c>
      <c r="M9" s="52">
        <f>L9</f>
        <v>160</v>
      </c>
      <c r="N9" s="52">
        <v>160</v>
      </c>
      <c r="O9" s="52">
        <f>N9</f>
        <v>160</v>
      </c>
      <c r="P9" s="52">
        <v>0</v>
      </c>
      <c r="Q9" s="10"/>
      <c r="R9" s="10"/>
      <c r="S9" s="6" t="s">
        <v>291</v>
      </c>
      <c r="T9" s="10"/>
      <c r="U9" s="10"/>
      <c r="W9" s="10"/>
    </row>
    <row r="10" spans="1:26" s="39" customFormat="1" x14ac:dyDescent="0.25">
      <c r="A10" s="37"/>
      <c r="F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6" s="39" customFormat="1" x14ac:dyDescent="0.25">
      <c r="A11" s="37"/>
      <c r="F11" s="37"/>
    </row>
    <row r="12" spans="1:26" s="39" customFormat="1" x14ac:dyDescent="0.25">
      <c r="A12" s="37"/>
      <c r="F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6" s="39" customFormat="1" x14ac:dyDescent="0.25">
      <c r="A13" s="37"/>
      <c r="F13" s="37"/>
    </row>
    <row r="14" spans="1:26" s="39" customFormat="1" x14ac:dyDescent="0.25">
      <c r="A14" s="37"/>
      <c r="C14" s="37"/>
      <c r="F14" s="32"/>
      <c r="L14" s="37"/>
      <c r="M14" s="37"/>
      <c r="N14" s="37"/>
      <c r="O14" s="37"/>
    </row>
    <row r="15" spans="1:26" s="39" customFormat="1" x14ac:dyDescent="0.25">
      <c r="A15" s="37"/>
      <c r="C15" s="37"/>
      <c r="D15" s="38"/>
      <c r="E15" s="37"/>
      <c r="F15" s="32"/>
      <c r="G15" s="37"/>
      <c r="H15" s="37"/>
      <c r="I15" s="37"/>
      <c r="J15" s="37"/>
      <c r="K15" s="37"/>
      <c r="L15" s="37"/>
      <c r="M15" s="37"/>
      <c r="N15" s="37"/>
      <c r="O15" s="37"/>
    </row>
    <row r="16" spans="1:26" s="39" customFormat="1" x14ac:dyDescent="0.25">
      <c r="A16" s="37"/>
      <c r="C16" s="37"/>
      <c r="D16" s="32"/>
      <c r="E16" s="37"/>
      <c r="F16" s="32"/>
      <c r="G16" s="37"/>
      <c r="H16" s="37"/>
      <c r="I16" s="37"/>
      <c r="J16" s="37"/>
      <c r="K16" s="37"/>
      <c r="L16" s="37"/>
      <c r="M16" s="37"/>
      <c r="N16" s="37"/>
      <c r="O16" s="37"/>
    </row>
    <row r="17" spans="1:26" s="39" customFormat="1" x14ac:dyDescent="0.25">
      <c r="A17" s="37"/>
      <c r="C17" s="37"/>
      <c r="D17" s="37"/>
      <c r="E17" s="37"/>
      <c r="F17" s="32"/>
      <c r="G17" s="37"/>
      <c r="H17" s="37"/>
      <c r="I17" s="37"/>
      <c r="J17" s="37"/>
      <c r="K17" s="37"/>
      <c r="L17" s="37"/>
      <c r="M17" s="37"/>
      <c r="N17" s="37"/>
      <c r="O17" s="37"/>
    </row>
    <row r="18" spans="1:26" s="39" customFormat="1" x14ac:dyDescent="0.25">
      <c r="A18" s="37"/>
      <c r="C18" s="37"/>
      <c r="D18" s="37"/>
      <c r="E18" s="37"/>
      <c r="F18" s="32"/>
      <c r="G18" s="37"/>
      <c r="H18" s="37"/>
      <c r="I18" s="37"/>
      <c r="J18" s="37"/>
      <c r="K18" s="37"/>
      <c r="L18" s="37"/>
      <c r="M18" s="37"/>
      <c r="N18" s="37"/>
      <c r="O18" s="37"/>
    </row>
    <row r="19" spans="1:26" s="39" customFormat="1" x14ac:dyDescent="0.25">
      <c r="C19" s="37"/>
      <c r="F19" s="37"/>
      <c r="L19" s="37"/>
      <c r="M19" s="37"/>
      <c r="N19" s="37"/>
      <c r="O19" s="37"/>
    </row>
    <row r="20" spans="1:26" s="39" customFormat="1" x14ac:dyDescent="0.25">
      <c r="A20" s="37"/>
      <c r="C20" s="37"/>
      <c r="D20" s="38"/>
      <c r="E20" s="37"/>
      <c r="F20" s="32"/>
      <c r="G20" s="37"/>
      <c r="H20" s="32"/>
      <c r="I20" s="32"/>
      <c r="J20" s="37"/>
      <c r="K20" s="37"/>
      <c r="L20" s="37"/>
      <c r="M20" s="37"/>
      <c r="N20" s="37"/>
      <c r="O20" s="37"/>
    </row>
    <row r="21" spans="1:26" s="39" customFormat="1" ht="6" customHeight="1" x14ac:dyDescent="0.25">
      <c r="A21" s="42"/>
      <c r="B21" s="43"/>
      <c r="C21" s="42"/>
      <c r="D21" s="42"/>
      <c r="E21" s="42"/>
      <c r="F21" s="44"/>
      <c r="G21" s="42"/>
      <c r="H21" s="43"/>
      <c r="I21" s="43"/>
      <c r="J21" s="43"/>
      <c r="K21" s="43"/>
      <c r="L21" s="43"/>
      <c r="M21" s="45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6" s="39" customFormat="1" ht="15" customHeight="1" x14ac:dyDescent="0.25">
      <c r="A22" s="82">
        <v>2</v>
      </c>
      <c r="B22" s="82" t="s">
        <v>225</v>
      </c>
      <c r="C22" s="82">
        <v>1</v>
      </c>
      <c r="D22" s="83">
        <v>0</v>
      </c>
      <c r="E22" s="83" t="s">
        <v>231</v>
      </c>
      <c r="F22" s="83" t="s">
        <v>231</v>
      </c>
      <c r="G22" s="84"/>
      <c r="H22" s="85" t="s">
        <v>27</v>
      </c>
      <c r="I22" s="85"/>
      <c r="J22" s="82" t="s">
        <v>207</v>
      </c>
      <c r="K22" s="82"/>
      <c r="L22" s="82" t="s">
        <v>208</v>
      </c>
      <c r="M22" s="82"/>
      <c r="N22" s="82" t="s">
        <v>227</v>
      </c>
      <c r="O22" s="82"/>
      <c r="P22" s="82" t="s">
        <v>228</v>
      </c>
      <c r="Q22" s="82"/>
      <c r="R22" s="82" t="s">
        <v>229</v>
      </c>
      <c r="S22" s="82"/>
      <c r="T22" s="82" t="s">
        <v>230</v>
      </c>
      <c r="U22" s="82"/>
      <c r="V22" s="82" t="s">
        <v>142</v>
      </c>
      <c r="W22" s="82"/>
      <c r="X22" s="82" t="s">
        <v>145</v>
      </c>
    </row>
    <row r="23" spans="1:26" s="39" customFormat="1" x14ac:dyDescent="0.25">
      <c r="A23" s="86"/>
      <c r="B23" s="87"/>
      <c r="C23" s="87"/>
      <c r="D23" s="88"/>
      <c r="E23" s="89">
        <v>29.088000000000001</v>
      </c>
      <c r="F23" s="89">
        <v>29.088000000000001</v>
      </c>
      <c r="G23" s="87"/>
      <c r="H23" s="89">
        <f>_15DD</f>
        <v>25.4</v>
      </c>
      <c r="I23" s="89"/>
      <c r="J23" s="89">
        <v>27.378</v>
      </c>
      <c r="K23" s="89"/>
      <c r="L23" s="89">
        <v>27.672000000000001</v>
      </c>
      <c r="M23" s="89"/>
      <c r="N23" s="89">
        <v>28.007999999999999</v>
      </c>
      <c r="O23" s="89"/>
      <c r="P23" s="89">
        <v>28.088000000000001</v>
      </c>
      <c r="Q23" s="89"/>
      <c r="R23" s="89">
        <v>28.757999999999999</v>
      </c>
      <c r="S23" s="89"/>
      <c r="T23" s="89">
        <v>28.791</v>
      </c>
      <c r="U23" s="89"/>
      <c r="V23" s="89">
        <v>29.023</v>
      </c>
      <c r="W23" s="89"/>
      <c r="X23" s="89">
        <v>29.047999999999998</v>
      </c>
    </row>
    <row r="24" spans="1:26" s="39" customFormat="1" x14ac:dyDescent="0.25">
      <c r="A24" s="37"/>
      <c r="C24" s="37"/>
      <c r="D24" s="37"/>
      <c r="E24" s="122"/>
      <c r="F24" s="109">
        <f>ABS((F23-E23)*1000)</f>
        <v>0</v>
      </c>
      <c r="G24" s="37"/>
      <c r="H24" s="109">
        <v>0</v>
      </c>
      <c r="I24" s="109">
        <f>J24</f>
        <v>1978.0000000000016</v>
      </c>
      <c r="J24" s="109">
        <f>H24+ABS((J23-H23)*1000)</f>
        <v>1978.0000000000016</v>
      </c>
      <c r="K24" s="109">
        <f>L24</f>
        <v>2272.0000000000018</v>
      </c>
      <c r="L24" s="109">
        <f>J24+ABS((L23-J23)*1000)</f>
        <v>2272.0000000000018</v>
      </c>
      <c r="M24" s="109">
        <f>N24</f>
        <v>2608.0000000000005</v>
      </c>
      <c r="N24" s="109">
        <f>L24+ABS((N23-L23)*1000)</f>
        <v>2608.0000000000005</v>
      </c>
      <c r="O24" s="109">
        <f>P24</f>
        <v>2688.0000000000023</v>
      </c>
      <c r="P24" s="109">
        <f>L24+ABS((P23-L23)*1000)</f>
        <v>2688.0000000000023</v>
      </c>
      <c r="Q24" s="109">
        <f>R24</f>
        <v>3358.0000000000005</v>
      </c>
      <c r="R24" s="109">
        <f>N24+ABS((R23-N23)*1000)</f>
        <v>3358.0000000000005</v>
      </c>
      <c r="S24" s="109">
        <f>T24</f>
        <v>3391.0000000000018</v>
      </c>
      <c r="T24" s="109">
        <f>P24+ABS((T23-P23)*1000)</f>
        <v>3391.0000000000018</v>
      </c>
      <c r="U24" s="109">
        <f>V24</f>
        <v>3623.0000000000009</v>
      </c>
      <c r="V24" s="109">
        <f>R24+ABS((V23-R23)*1000)</f>
        <v>3623.0000000000009</v>
      </c>
      <c r="W24" s="109">
        <f>X24</f>
        <v>3647.9999999999995</v>
      </c>
      <c r="X24" s="109">
        <f>T24+ABS((X23-T23)*1000)</f>
        <v>3647.9999999999995</v>
      </c>
    </row>
    <row r="25" spans="1:26" s="39" customFormat="1" x14ac:dyDescent="0.25">
      <c r="A25" s="37"/>
      <c r="C25" s="37"/>
      <c r="D25" s="37"/>
      <c r="E25" s="37"/>
      <c r="G25" s="37"/>
      <c r="H25" s="110">
        <f>H24</f>
        <v>0</v>
      </c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>
        <f>W24-H24</f>
        <v>3647.9999999999995</v>
      </c>
      <c r="X25" s="110"/>
      <c r="Z25" s="110">
        <f>SUM(H25:X25)</f>
        <v>3647.9999999999995</v>
      </c>
    </row>
    <row r="26" spans="1:26" s="39" customFormat="1" x14ac:dyDescent="0.25">
      <c r="A26" s="37"/>
      <c r="C26" s="37"/>
      <c r="D26" s="37"/>
      <c r="E26" s="37"/>
      <c r="F26" s="32"/>
      <c r="G26" s="37"/>
      <c r="H26" s="52">
        <v>160</v>
      </c>
      <c r="I26" s="52">
        <f>H26</f>
        <v>160</v>
      </c>
      <c r="J26" s="52">
        <v>160</v>
      </c>
      <c r="K26" s="52">
        <f>J26</f>
        <v>160</v>
      </c>
      <c r="L26" s="52">
        <v>160</v>
      </c>
      <c r="M26" s="52">
        <f>L26</f>
        <v>160</v>
      </c>
      <c r="N26" s="52">
        <v>160</v>
      </c>
      <c r="O26" s="52">
        <f>N26</f>
        <v>160</v>
      </c>
      <c r="P26" s="52">
        <v>160</v>
      </c>
      <c r="Q26" s="52">
        <f>P26</f>
        <v>160</v>
      </c>
      <c r="R26" s="52">
        <v>160</v>
      </c>
      <c r="S26" s="52">
        <f>R26</f>
        <v>160</v>
      </c>
      <c r="T26" s="52">
        <v>160</v>
      </c>
      <c r="U26" s="52">
        <f>T26</f>
        <v>160</v>
      </c>
      <c r="V26" s="52">
        <v>160</v>
      </c>
      <c r="W26" s="52">
        <f>V26</f>
        <v>160</v>
      </c>
      <c r="X26" s="52">
        <v>0</v>
      </c>
    </row>
    <row r="27" spans="1:26" s="39" customFormat="1" x14ac:dyDescent="0.25">
      <c r="A27" s="37"/>
      <c r="F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6" s="39" customFormat="1" x14ac:dyDescent="0.25">
      <c r="A28" s="37"/>
      <c r="F28" s="37"/>
    </row>
    <row r="29" spans="1:26" s="39" customFormat="1" x14ac:dyDescent="0.25">
      <c r="A29" s="37"/>
      <c r="F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6" s="39" customFormat="1" x14ac:dyDescent="0.25">
      <c r="A30" s="37"/>
      <c r="F30" s="37"/>
    </row>
    <row r="31" spans="1:26" s="39" customFormat="1" x14ac:dyDescent="0.25">
      <c r="A31" s="37"/>
      <c r="C31" s="37"/>
      <c r="F31" s="32"/>
      <c r="L31" s="37"/>
      <c r="M31" s="37"/>
      <c r="N31" s="37"/>
      <c r="O31" s="37"/>
    </row>
    <row r="32" spans="1:26" s="39" customFormat="1" x14ac:dyDescent="0.25">
      <c r="A32" s="37"/>
      <c r="C32" s="37"/>
      <c r="D32" s="38"/>
      <c r="E32" s="37"/>
      <c r="F32" s="32"/>
      <c r="G32" s="37"/>
      <c r="H32" s="37"/>
      <c r="I32" s="37"/>
      <c r="J32" s="37"/>
      <c r="K32" s="37"/>
      <c r="L32" s="37"/>
      <c r="M32" s="37"/>
      <c r="N32" s="37"/>
      <c r="O32" s="37"/>
    </row>
    <row r="33" spans="1:26" s="39" customFormat="1" x14ac:dyDescent="0.25">
      <c r="A33" s="37"/>
      <c r="C33" s="37"/>
      <c r="D33" s="32"/>
      <c r="E33" s="37"/>
      <c r="F33" s="32"/>
      <c r="G33" s="37"/>
      <c r="H33" s="37"/>
      <c r="I33" s="37"/>
      <c r="J33" s="37"/>
      <c r="K33" s="37"/>
      <c r="L33" s="37"/>
      <c r="M33" s="37"/>
      <c r="N33" s="37"/>
      <c r="O33" s="37"/>
    </row>
    <row r="34" spans="1:26" s="39" customFormat="1" x14ac:dyDescent="0.25">
      <c r="A34" s="37"/>
      <c r="C34" s="37"/>
      <c r="D34" s="37"/>
      <c r="E34" s="37"/>
      <c r="F34" s="32"/>
      <c r="G34" s="37"/>
      <c r="H34" s="37"/>
      <c r="I34" s="37"/>
      <c r="J34" s="37"/>
      <c r="K34" s="37"/>
      <c r="L34" s="37"/>
      <c r="M34" s="37"/>
      <c r="N34" s="37"/>
      <c r="O34" s="37"/>
    </row>
    <row r="35" spans="1:26" s="39" customFormat="1" x14ac:dyDescent="0.25">
      <c r="A35" s="37"/>
      <c r="C35" s="37"/>
      <c r="D35" s="37"/>
      <c r="E35" s="37"/>
      <c r="F35" s="32"/>
      <c r="G35" s="37"/>
      <c r="H35" s="37"/>
      <c r="I35" s="37"/>
      <c r="J35" s="37"/>
      <c r="K35" s="37"/>
      <c r="L35" s="37"/>
      <c r="M35" s="37"/>
      <c r="N35" s="37"/>
      <c r="O35" s="37"/>
    </row>
    <row r="36" spans="1:26" s="39" customFormat="1" ht="15.75" x14ac:dyDescent="0.25">
      <c r="A36" s="71"/>
      <c r="C36" s="37"/>
      <c r="F36" s="37"/>
      <c r="L36" s="37"/>
      <c r="M36" s="37"/>
      <c r="N36" s="37"/>
      <c r="O36" s="37"/>
    </row>
    <row r="37" spans="1:26" s="39" customFormat="1" x14ac:dyDescent="0.25">
      <c r="A37" s="37"/>
      <c r="C37" s="37"/>
      <c r="D37" s="38"/>
      <c r="E37" s="37"/>
      <c r="F37" s="32"/>
      <c r="G37" s="37"/>
      <c r="H37" s="32"/>
      <c r="I37" s="32"/>
      <c r="J37" s="37"/>
      <c r="K37" s="37"/>
      <c r="L37" s="37"/>
      <c r="M37" s="37"/>
      <c r="N37" s="37"/>
      <c r="O37" s="37"/>
    </row>
    <row r="38" spans="1:26" s="39" customFormat="1" ht="6" customHeight="1" x14ac:dyDescent="0.25">
      <c r="A38" s="42"/>
      <c r="B38" s="43"/>
      <c r="C38" s="42"/>
      <c r="D38" s="42"/>
      <c r="E38" s="42"/>
      <c r="F38" s="44"/>
      <c r="G38" s="42"/>
      <c r="H38" s="43"/>
      <c r="I38" s="43"/>
      <c r="J38" s="43"/>
      <c r="K38" s="43"/>
      <c r="L38" s="43"/>
      <c r="M38" s="45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6"/>
    </row>
    <row r="39" spans="1:26" s="39" customFormat="1" ht="15" customHeight="1" x14ac:dyDescent="0.25">
      <c r="A39" s="82">
        <v>2</v>
      </c>
      <c r="B39" s="82" t="s">
        <v>225</v>
      </c>
      <c r="C39" s="82">
        <v>2</v>
      </c>
      <c r="D39" s="102" t="s">
        <v>232</v>
      </c>
      <c r="E39" s="83" t="s">
        <v>29</v>
      </c>
      <c r="F39" s="83" t="s">
        <v>206</v>
      </c>
      <c r="G39" s="84"/>
      <c r="H39" s="82" t="str">
        <f>X22</f>
        <v>W37 R</v>
      </c>
      <c r="I39" s="82"/>
      <c r="J39" s="82" t="s">
        <v>347</v>
      </c>
      <c r="K39" s="82"/>
      <c r="L39" s="82" t="s">
        <v>143</v>
      </c>
      <c r="M39" s="82"/>
      <c r="N39" s="82" t="s">
        <v>87</v>
      </c>
      <c r="O39" s="82"/>
      <c r="P39" s="82" t="s">
        <v>29</v>
      </c>
    </row>
    <row r="40" spans="1:26" s="39" customFormat="1" x14ac:dyDescent="0.25">
      <c r="A40" s="86"/>
      <c r="B40" s="87"/>
      <c r="C40" s="87"/>
      <c r="D40" s="115" t="s">
        <v>286</v>
      </c>
      <c r="E40" s="89">
        <v>30.577999999999999</v>
      </c>
      <c r="F40" s="89">
        <f>E40+250/1000</f>
        <v>30.827999999999999</v>
      </c>
      <c r="G40" s="87"/>
      <c r="H40" s="89">
        <f>X23</f>
        <v>29.047999999999998</v>
      </c>
      <c r="I40" s="89"/>
      <c r="J40" s="89">
        <v>29.076000000000001</v>
      </c>
      <c r="K40" s="89"/>
      <c r="L40" s="89">
        <v>29.126000000000001</v>
      </c>
      <c r="M40" s="89"/>
      <c r="N40" s="89">
        <v>29.312999999999999</v>
      </c>
      <c r="O40" s="89"/>
      <c r="P40" s="89">
        <f>_10A</f>
        <v>30.745000000000001</v>
      </c>
    </row>
    <row r="41" spans="1:26" s="39" customFormat="1" x14ac:dyDescent="0.25">
      <c r="A41" s="37"/>
      <c r="C41" s="37"/>
      <c r="D41" s="37"/>
      <c r="E41" s="122"/>
      <c r="F41" s="109">
        <f>ABS((F40-E40)*1000)</f>
        <v>250</v>
      </c>
      <c r="G41" s="37"/>
      <c r="H41" s="109">
        <v>0</v>
      </c>
      <c r="I41" s="109">
        <f>J41</f>
        <v>28.000000000002245</v>
      </c>
      <c r="J41" s="109">
        <f>H41+ABS((J40-H40)*1000)</f>
        <v>28.000000000002245</v>
      </c>
      <c r="K41" s="109">
        <f>L41</f>
        <v>78.000000000002956</v>
      </c>
      <c r="L41" s="109">
        <f>J41+ABS((L40-J40)*1000)</f>
        <v>78.000000000002956</v>
      </c>
      <c r="M41" s="109">
        <f>N41</f>
        <v>265.00000000000057</v>
      </c>
      <c r="N41" s="109">
        <f>L41+ABS((N40-L40)*1000)</f>
        <v>265.00000000000057</v>
      </c>
      <c r="O41" s="109">
        <f>P41</f>
        <v>1697.0000000000027</v>
      </c>
      <c r="P41" s="109">
        <f>N41+ABS((P40-N40)*1000)</f>
        <v>1697.0000000000027</v>
      </c>
    </row>
    <row r="42" spans="1:26" s="39" customFormat="1" x14ac:dyDescent="0.25">
      <c r="A42" s="37"/>
      <c r="C42" s="37"/>
      <c r="D42" s="37"/>
      <c r="E42" s="37"/>
      <c r="G42" s="37"/>
      <c r="H42" s="110">
        <f>H41</f>
        <v>0</v>
      </c>
      <c r="I42" s="110">
        <f>I41-H41</f>
        <v>28.000000000002245</v>
      </c>
      <c r="J42" s="110"/>
      <c r="K42" s="110"/>
      <c r="L42" s="110"/>
      <c r="M42" s="110"/>
      <c r="N42" s="110"/>
      <c r="O42" s="110">
        <f>O41-J41</f>
        <v>1669.0000000000005</v>
      </c>
      <c r="P42" s="110"/>
      <c r="Z42" s="110">
        <f>SUM(H42:P42)</f>
        <v>1697.0000000000027</v>
      </c>
    </row>
    <row r="43" spans="1:26" s="39" customFormat="1" x14ac:dyDescent="0.25">
      <c r="A43" s="101"/>
      <c r="C43" s="37"/>
      <c r="D43" s="37"/>
      <c r="E43" s="37"/>
      <c r="F43" s="32"/>
      <c r="G43" s="37"/>
      <c r="H43" s="52">
        <v>60</v>
      </c>
      <c r="I43" s="52">
        <f>H43</f>
        <v>60</v>
      </c>
      <c r="J43" s="52">
        <v>160</v>
      </c>
      <c r="K43" s="52">
        <f>J43</f>
        <v>160</v>
      </c>
      <c r="L43" s="52">
        <v>160</v>
      </c>
      <c r="M43" s="52">
        <f>L43</f>
        <v>160</v>
      </c>
      <c r="N43" s="52">
        <v>160</v>
      </c>
      <c r="O43" s="52">
        <f>N43</f>
        <v>160</v>
      </c>
      <c r="P43" s="52">
        <v>0</v>
      </c>
    </row>
    <row r="44" spans="1:26" s="39" customFormat="1" x14ac:dyDescent="0.25">
      <c r="A44" s="37"/>
      <c r="F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6" s="39" customFormat="1" x14ac:dyDescent="0.25">
      <c r="A45" s="37"/>
      <c r="F45" s="37"/>
    </row>
    <row r="46" spans="1:26" s="39" customFormat="1" x14ac:dyDescent="0.25">
      <c r="A46" s="37"/>
      <c r="F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6" s="39" customFormat="1" x14ac:dyDescent="0.25">
      <c r="A47" s="101"/>
      <c r="F47" s="37"/>
    </row>
    <row r="48" spans="1:26" s="39" customFormat="1" x14ac:dyDescent="0.25">
      <c r="A48" s="37"/>
      <c r="C48" s="37"/>
      <c r="F48" s="32"/>
      <c r="L48" s="37"/>
      <c r="M48" s="37"/>
      <c r="N48" s="37"/>
      <c r="O48" s="37"/>
    </row>
    <row r="49" spans="1:26" s="39" customFormat="1" x14ac:dyDescent="0.25">
      <c r="A49" s="37"/>
      <c r="C49" s="37"/>
      <c r="D49" s="38"/>
      <c r="E49" s="37"/>
      <c r="F49" s="32"/>
      <c r="G49" s="37"/>
      <c r="H49" s="37"/>
      <c r="I49" s="37"/>
      <c r="J49" s="37"/>
      <c r="K49" s="37"/>
      <c r="L49" s="37"/>
      <c r="M49" s="37"/>
      <c r="N49" s="37"/>
      <c r="O49" s="37"/>
    </row>
    <row r="50" spans="1:26" s="39" customFormat="1" x14ac:dyDescent="0.25">
      <c r="A50" s="37"/>
      <c r="C50" s="37"/>
      <c r="D50" s="32"/>
      <c r="E50" s="37"/>
      <c r="F50" s="32"/>
      <c r="G50" s="37"/>
      <c r="H50" s="37"/>
      <c r="I50" s="37"/>
      <c r="J50" s="37"/>
      <c r="K50" s="37"/>
      <c r="L50" s="37"/>
      <c r="M50" s="37"/>
      <c r="N50" s="37"/>
      <c r="O50" s="37"/>
    </row>
    <row r="51" spans="1:26" s="39" customFormat="1" x14ac:dyDescent="0.25">
      <c r="A51" s="37"/>
      <c r="C51" s="37"/>
      <c r="D51" s="37"/>
      <c r="E51" s="37"/>
      <c r="F51" s="32"/>
      <c r="G51" s="37"/>
      <c r="H51" s="37"/>
      <c r="I51" s="37"/>
      <c r="J51" s="37"/>
      <c r="K51" s="37"/>
      <c r="L51" s="37"/>
      <c r="M51" s="37"/>
      <c r="N51" s="37"/>
      <c r="O51" s="37"/>
    </row>
    <row r="52" spans="1:26" s="39" customFormat="1" x14ac:dyDescent="0.25">
      <c r="A52" s="37"/>
      <c r="C52" s="37"/>
      <c r="D52" s="37"/>
      <c r="E52" s="37"/>
      <c r="F52" s="32"/>
      <c r="G52" s="37"/>
      <c r="H52" s="37"/>
      <c r="I52" s="37"/>
      <c r="J52" s="37"/>
      <c r="K52" s="37"/>
      <c r="L52" s="37"/>
      <c r="M52" s="37"/>
      <c r="N52" s="37"/>
      <c r="O52" s="37"/>
    </row>
    <row r="53" spans="1:26" s="39" customFormat="1" ht="15.75" x14ac:dyDescent="0.25">
      <c r="A53" s="71"/>
      <c r="C53" s="37"/>
      <c r="F53" s="37"/>
      <c r="L53" s="37"/>
      <c r="M53" s="37"/>
      <c r="N53" s="37"/>
      <c r="O53" s="37"/>
    </row>
    <row r="54" spans="1:26" s="39" customFormat="1" x14ac:dyDescent="0.25">
      <c r="A54" s="37"/>
      <c r="C54" s="37"/>
      <c r="D54" s="38"/>
      <c r="E54" s="37"/>
      <c r="F54" s="32"/>
      <c r="G54" s="37"/>
      <c r="H54" s="32"/>
      <c r="I54" s="32"/>
      <c r="J54" s="37"/>
      <c r="K54" s="37"/>
      <c r="L54" s="37"/>
      <c r="M54" s="37"/>
      <c r="N54" s="37"/>
      <c r="O54" s="37"/>
    </row>
    <row r="55" spans="1:26" s="39" customFormat="1" ht="6" customHeight="1" x14ac:dyDescent="0.25">
      <c r="A55" s="42"/>
      <c r="B55" s="43"/>
      <c r="C55" s="42"/>
      <c r="D55" s="42"/>
      <c r="E55" s="42"/>
      <c r="F55" s="44"/>
      <c r="G55" s="42"/>
      <c r="H55" s="43"/>
      <c r="I55" s="43"/>
      <c r="J55" s="43"/>
      <c r="K55" s="43"/>
      <c r="L55" s="43"/>
      <c r="M55" s="45"/>
      <c r="N55" s="43"/>
      <c r="O55" s="43"/>
      <c r="P55" s="43"/>
      <c r="Q55" s="43"/>
      <c r="S55" s="43"/>
      <c r="T55" s="43"/>
      <c r="U55" s="43"/>
      <c r="V55" s="43"/>
      <c r="W55" s="43"/>
      <c r="X55" s="43"/>
      <c r="Y55" s="6"/>
    </row>
    <row r="56" spans="1:26" s="39" customFormat="1" ht="15" customHeight="1" x14ac:dyDescent="0.25">
      <c r="A56" s="82">
        <v>2</v>
      </c>
      <c r="B56" s="82" t="s">
        <v>225</v>
      </c>
      <c r="C56" s="82">
        <v>2</v>
      </c>
      <c r="D56" s="102" t="s">
        <v>233</v>
      </c>
      <c r="E56" s="83" t="s">
        <v>29</v>
      </c>
      <c r="F56" s="83" t="s">
        <v>206</v>
      </c>
      <c r="G56" s="84"/>
      <c r="H56" s="82" t="str">
        <f>H39</f>
        <v>W37 R</v>
      </c>
      <c r="I56" s="82"/>
      <c r="J56" s="82" t="str">
        <f>J39</f>
        <v>W37 S</v>
      </c>
      <c r="K56" s="82"/>
      <c r="L56" s="82" t="str">
        <f>L39</f>
        <v>W38 R</v>
      </c>
      <c r="M56" s="82"/>
      <c r="N56" s="82" t="str">
        <f>N39</f>
        <v>12FF</v>
      </c>
      <c r="O56" s="82"/>
      <c r="P56" s="82" t="str">
        <f>P39</f>
        <v>10A</v>
      </c>
    </row>
    <row r="57" spans="1:26" s="39" customFormat="1" x14ac:dyDescent="0.25">
      <c r="A57" s="86"/>
      <c r="B57" s="87"/>
      <c r="C57" s="87"/>
      <c r="D57" s="116" t="s">
        <v>287</v>
      </c>
      <c r="E57" s="89">
        <v>30.577999999999999</v>
      </c>
      <c r="F57" s="89">
        <f>E57+250/1000</f>
        <v>30.827999999999999</v>
      </c>
      <c r="G57" s="87"/>
      <c r="H57" s="89">
        <f>X23</f>
        <v>29.047999999999998</v>
      </c>
      <c r="I57" s="89"/>
      <c r="J57" s="89">
        <v>29.076000000000001</v>
      </c>
      <c r="K57" s="89"/>
      <c r="L57" s="89">
        <v>29.099</v>
      </c>
      <c r="M57" s="89"/>
      <c r="N57" s="89">
        <v>29.312999999999999</v>
      </c>
      <c r="O57" s="89"/>
      <c r="P57" s="89">
        <f>_10A</f>
        <v>30.745000000000001</v>
      </c>
    </row>
    <row r="58" spans="1:26" s="39" customFormat="1" x14ac:dyDescent="0.25">
      <c r="A58" s="37"/>
      <c r="C58" s="37"/>
      <c r="D58" s="37"/>
      <c r="E58" s="37"/>
      <c r="F58" s="109">
        <f>ABS((F57-E57)*1000)</f>
        <v>250</v>
      </c>
      <c r="G58" s="37"/>
      <c r="H58" s="109">
        <f>X24</f>
        <v>3647.9999999999995</v>
      </c>
      <c r="I58" s="109">
        <f>J58</f>
        <v>3676.0000000000018</v>
      </c>
      <c r="J58" s="109">
        <f>H58+ABS((J57-H57)*1000)</f>
        <v>3676.0000000000018</v>
      </c>
      <c r="K58" s="109">
        <f>L58</f>
        <v>3699.0000000000014</v>
      </c>
      <c r="L58" s="109">
        <f>J58+ABS((L57-J57)*1000)</f>
        <v>3699.0000000000014</v>
      </c>
      <c r="M58" s="109">
        <f>N58</f>
        <v>3913</v>
      </c>
      <c r="N58" s="109">
        <f>L58+ABS((N57-L57)*1000)</f>
        <v>3913</v>
      </c>
      <c r="O58" s="109">
        <f>P58</f>
        <v>5345.0000000000018</v>
      </c>
      <c r="P58" s="109">
        <f>N58+ABS((P57-N57)*1000)</f>
        <v>5345.0000000000018</v>
      </c>
    </row>
    <row r="59" spans="1:26" s="39" customFormat="1" x14ac:dyDescent="0.25">
      <c r="A59" s="37"/>
      <c r="C59" s="37"/>
      <c r="D59" s="37"/>
      <c r="E59" s="37"/>
      <c r="G59" s="37"/>
      <c r="H59" s="110">
        <f>H58</f>
        <v>3647.9999999999995</v>
      </c>
      <c r="I59" s="110">
        <f>I58-H58</f>
        <v>28.000000000002274</v>
      </c>
      <c r="J59" s="110"/>
      <c r="K59" s="110"/>
      <c r="L59" s="110"/>
      <c r="M59" s="110"/>
      <c r="N59" s="110"/>
      <c r="O59" s="110">
        <f>O58-J58</f>
        <v>1669</v>
      </c>
      <c r="P59" s="110"/>
      <c r="Z59" s="110">
        <f>SUM(H59:P59)</f>
        <v>5345.0000000000018</v>
      </c>
    </row>
    <row r="60" spans="1:26" s="39" customFormat="1" x14ac:dyDescent="0.25">
      <c r="A60" s="101"/>
      <c r="C60" s="37"/>
      <c r="D60" s="37"/>
      <c r="E60" s="37"/>
      <c r="F60" s="32"/>
      <c r="G60" s="37"/>
      <c r="H60" s="52">
        <v>60</v>
      </c>
      <c r="I60" s="52">
        <f>H60</f>
        <v>60</v>
      </c>
      <c r="J60" s="52">
        <v>160</v>
      </c>
      <c r="K60" s="52">
        <f>J60</f>
        <v>160</v>
      </c>
      <c r="L60" s="52">
        <v>160</v>
      </c>
      <c r="M60" s="52">
        <f>L60</f>
        <v>160</v>
      </c>
      <c r="N60" s="52">
        <v>160</v>
      </c>
      <c r="O60" s="52">
        <f>N60</f>
        <v>160</v>
      </c>
      <c r="P60" s="52">
        <v>0</v>
      </c>
    </row>
    <row r="61" spans="1:26" s="39" customFormat="1" x14ac:dyDescent="0.25">
      <c r="A61" s="37"/>
      <c r="F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spans="1:26" s="39" customFormat="1" x14ac:dyDescent="0.25">
      <c r="A62" s="37"/>
      <c r="F62" s="37"/>
    </row>
    <row r="63" spans="1:26" s="39" customFormat="1" x14ac:dyDescent="0.25">
      <c r="A63" s="37"/>
      <c r="F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spans="1:26" s="39" customFormat="1" x14ac:dyDescent="0.25">
      <c r="F64" s="37"/>
    </row>
    <row r="65" spans="1:15" s="39" customFormat="1" x14ac:dyDescent="0.25">
      <c r="A65" s="37"/>
      <c r="C65" s="37"/>
      <c r="F65" s="32"/>
      <c r="L65" s="37"/>
      <c r="M65" s="37"/>
      <c r="N65" s="37"/>
      <c r="O65" s="37"/>
    </row>
    <row r="66" spans="1:15" s="39" customFormat="1" x14ac:dyDescent="0.25">
      <c r="A66" s="37"/>
      <c r="C66" s="37"/>
      <c r="D66" s="38"/>
      <c r="E66" s="37"/>
      <c r="F66" s="32"/>
      <c r="G66" s="37"/>
      <c r="H66" s="37"/>
      <c r="I66" s="37"/>
      <c r="J66" s="37"/>
      <c r="K66" s="37"/>
      <c r="L66" s="37"/>
      <c r="M66" s="37"/>
      <c r="N66" s="37"/>
      <c r="O66" s="37"/>
    </row>
    <row r="67" spans="1:15" s="39" customFormat="1" x14ac:dyDescent="0.25">
      <c r="A67" s="37"/>
      <c r="C67" s="37"/>
      <c r="D67" s="32"/>
      <c r="E67" s="37"/>
      <c r="F67" s="32"/>
      <c r="G67" s="37"/>
      <c r="H67" s="37"/>
      <c r="I67" s="37"/>
      <c r="J67" s="37"/>
      <c r="K67" s="37"/>
      <c r="L67" s="37"/>
      <c r="M67" s="37"/>
      <c r="N67" s="37"/>
      <c r="O67" s="37"/>
    </row>
    <row r="68" spans="1:15" s="39" customFormat="1" x14ac:dyDescent="0.25">
      <c r="A68" s="37"/>
      <c r="C68" s="37"/>
      <c r="D68" s="37"/>
      <c r="E68" s="37"/>
      <c r="F68" s="32"/>
      <c r="G68" s="37"/>
      <c r="H68" s="37"/>
      <c r="I68" s="37"/>
      <c r="J68" s="37"/>
      <c r="K68" s="37"/>
      <c r="L68" s="37"/>
      <c r="M68" s="37"/>
      <c r="N68" s="37"/>
      <c r="O68" s="37"/>
    </row>
    <row r="69" spans="1:15" s="39" customFormat="1" x14ac:dyDescent="0.25">
      <c r="A69" s="37"/>
      <c r="C69" s="37"/>
      <c r="D69" s="37"/>
      <c r="E69" s="37"/>
      <c r="F69" s="32"/>
      <c r="G69" s="37"/>
      <c r="H69" s="37"/>
      <c r="I69" s="37"/>
      <c r="J69" s="37"/>
      <c r="K69" s="37"/>
      <c r="L69" s="37"/>
      <c r="M69" s="37"/>
      <c r="N69" s="37"/>
      <c r="O69" s="37"/>
    </row>
    <row r="70" spans="1:15" s="39" customFormat="1" ht="15.75" x14ac:dyDescent="0.25">
      <c r="A70" s="71"/>
      <c r="C70" s="37"/>
      <c r="F70" s="37"/>
      <c r="L70" s="37"/>
      <c r="M70" s="37"/>
      <c r="N70" s="37"/>
      <c r="O70" s="37"/>
    </row>
    <row r="71" spans="1:15" s="39" customFormat="1" x14ac:dyDescent="0.25">
      <c r="A71" s="37"/>
      <c r="C71" s="37"/>
      <c r="D71" s="38"/>
      <c r="E71" s="37"/>
      <c r="F71" s="32"/>
      <c r="G71" s="37"/>
      <c r="H71" s="32"/>
      <c r="I71" s="32"/>
      <c r="J71" s="37"/>
      <c r="K71" s="37"/>
      <c r="L71" s="37"/>
      <c r="M71" s="37"/>
      <c r="N71" s="37"/>
      <c r="O71" s="37"/>
    </row>
  </sheetData>
  <mergeCells count="1">
    <mergeCell ref="I1:K1"/>
  </mergeCells>
  <pageMargins left="0.27559055118110237" right="0.11811023622047245" top="0.43307086614173229" bottom="0.39370078740157483" header="0.31496062992125984" footer="0.31496062992125984"/>
  <pageSetup paperSize="9" scale="81" fitToHeight="2" orientation="landscape" r:id="rId1"/>
  <rowBreaks count="1" manualBreakCount="1">
    <brk id="37" max="23" man="1"/>
  </row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4 smL'!H26:H26</xm:f>
              <xm:sqref>H28</xm:sqref>
            </x14:sparkline>
            <x14:sparkline>
              <xm:f>'Sz 4 smL'!I26:I26</xm:f>
              <xm:sqref>I28</xm:sqref>
            </x14:sparkline>
            <x14:sparkline>
              <xm:f>'Sz 4 smL'!J26:J26</xm:f>
              <xm:sqref>J28</xm:sqref>
            </x14:sparkline>
            <x14:sparkline>
              <xm:f>'Sz 4 smL'!K26:K26</xm:f>
              <xm:sqref>K28</xm:sqref>
            </x14:sparkline>
            <x14:sparkline>
              <xm:f>'Sz 4 smL'!N26:N26</xm:f>
              <xm:sqref>L28</xm:sqref>
            </x14:sparkline>
            <x14:sparkline>
              <xm:f>'Sz 4 smL'!O26:O26</xm:f>
              <xm:sqref>M28</xm:sqref>
            </x14:sparkline>
            <x14:sparkline>
              <xm:f>'Sz 4 smL'!P26:P26</xm:f>
              <xm:sqref>N28</xm:sqref>
            </x14:sparkline>
            <x14:sparkline>
              <xm:f>'Sz 4 smL'!Q26:Q26</xm:f>
              <xm:sqref>O28</xm:sqref>
            </x14:sparkline>
            <x14:sparkline>
              <xm:sqref>P28</xm:sqref>
            </x14:sparkline>
            <x14:sparkline>
              <xm:sqref>Q28</xm:sqref>
            </x14:sparkline>
            <x14:sparkline>
              <xm:sqref>R28</xm:sqref>
            </x14:sparkline>
            <x14:sparkline>
              <xm:sqref>S28</xm:sqref>
            </x14:sparkline>
            <x14:sparkline>
              <xm:sqref>T28</xm:sqref>
            </x14:sparkline>
            <x14:sparkline>
              <xm:f>'Sz 4 smL'!T26:T26</xm:f>
              <xm:sqref>U28</xm:sqref>
            </x14:sparkline>
            <x14:sparkline>
              <xm:f>'Sz 4 smL'!U26:U26</xm:f>
              <xm:sqref>V28</xm:sqref>
            </x14:sparkline>
            <x14:sparkline>
              <xm:f>'Sz 4 smL'!V26:V26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H45</xm:sqref>
            </x14:sparkline>
            <x14:sparkline>
              <xm:sqref>I45</xm:sqref>
            </x14:sparkline>
            <x14:sparkline>
              <xm:sqref>J45</xm:sqref>
            </x14:sparkline>
            <x14:sparkline>
              <xm:sqref>K45</xm:sqref>
            </x14:sparkline>
            <x14:sparkline>
              <xm:sqref>L45</xm:sqref>
            </x14:sparkline>
            <x14:sparkline>
              <xm:sqref>M45</xm:sqref>
            </x14:sparkline>
            <x14:sparkline>
              <xm:sqref>N45</xm:sqref>
            </x14:sparkline>
            <x14:sparkline>
              <xm:sqref>O45</xm:sqref>
            </x14:sparkline>
            <x14:sparkline>
              <xm:sqref>P45</xm:sqref>
            </x14:sparkline>
            <x14:sparkline>
              <xm:sqref>Q45</xm:sqref>
            </x14:sparkline>
            <x14:sparkline>
              <xm:sqref>R45</xm:sqref>
            </x14:sparkline>
            <x14:sparkline>
              <xm:sqref>S45</xm:sqref>
            </x14:sparkline>
            <x14:sparkline>
              <xm:sqref>T45</xm:sqref>
            </x14:sparkline>
            <x14:sparkline>
              <xm:sqref>U45</xm:sqref>
            </x14:sparkline>
            <x14:sparkline>
              <xm:sqref>V45</xm:sqref>
            </x14:sparkline>
            <x14:sparkline>
              <xm:sqref>W45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4 smL'!H9:H9</xm:f>
              <xm:sqref>H11</xm:sqref>
            </x14:sparkline>
            <x14:sparkline>
              <xm:f>'Sz 4 smL'!I9:I9</xm:f>
              <xm:sqref>I11</xm:sqref>
            </x14:sparkline>
            <x14:sparkline>
              <xm:f>'Sz 4 smL'!J9:J9</xm:f>
              <xm:sqref>J11</xm:sqref>
            </x14:sparkline>
            <x14:sparkline>
              <xm:f>'Sz 4 smL'!K9:K9</xm:f>
              <xm:sqref>K11</xm:sqref>
            </x14:sparkline>
            <x14:sparkline>
              <xm:f>'Sz 4 smL'!L9:L9</xm:f>
              <xm:sqref>L11</xm:sqref>
            </x14:sparkline>
            <x14:sparkline>
              <xm:f>'Sz 4 smL'!M9:M9</xm:f>
              <xm:sqref>M11</xm:sqref>
            </x14:sparkline>
            <x14:sparkline>
              <xm:f>'Sz 4 smL'!N9:N9</xm:f>
              <xm:sqref>N11</xm:sqref>
            </x14:sparkline>
            <x14:sparkline>
              <xm:f>'Sz 4 smL'!O9:O9</xm:f>
              <xm:sqref>O11</xm:sqref>
            </x14:sparkline>
            <x14:sparkline>
              <xm:f>'Sz 4 smL'!R9:R9</xm:f>
              <xm:sqref>P11</xm:sqref>
            </x14:sparkline>
            <x14:sparkline>
              <xm:sqref>Q11</xm:sqref>
            </x14:sparkline>
            <x14:sparkline>
              <xm:sqref>R11</xm:sqref>
            </x14:sparkline>
            <x14:sparkline>
              <xm:sqref>S11</xm:sqref>
            </x14:sparkline>
            <x14:sparkline>
              <xm:f>'Sz 4 smL'!T9:T9</xm:f>
              <xm:sqref>T11</xm:sqref>
            </x14:sparkline>
            <x14:sparkline>
              <xm:f>'Sz 4 smL'!U9:U9</xm:f>
              <xm:sqref>U11</xm:sqref>
            </x14:sparkline>
            <x14:sparkline>
              <xm:f>'Sz 4 smL'!S9:S9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H62</xm:sqref>
            </x14:sparkline>
            <x14:sparkline>
              <xm:sqref>I62</xm:sqref>
            </x14:sparkline>
            <x14:sparkline>
              <xm:sqref>J62</xm:sqref>
            </x14:sparkline>
            <x14:sparkline>
              <xm:sqref>K62</xm:sqref>
            </x14:sparkline>
            <x14:sparkline>
              <xm:sqref>L62</xm:sqref>
            </x14:sparkline>
            <x14:sparkline>
              <xm:sqref>M62</xm:sqref>
            </x14:sparkline>
            <x14:sparkline>
              <xm:sqref>N62</xm:sqref>
            </x14:sparkline>
            <x14:sparkline>
              <xm:sqref>O62</xm:sqref>
            </x14:sparkline>
            <x14:sparkline>
              <xm:sqref>P62</xm:sqref>
            </x14:sparkline>
            <x14:sparkline>
              <xm:sqref>Q62</xm:sqref>
            </x14:sparkline>
            <x14:sparkline>
              <xm:sqref>R62</xm:sqref>
            </x14:sparkline>
            <x14:sparkline>
              <xm:sqref>S62</xm:sqref>
            </x14:sparkline>
            <x14:sparkline>
              <xm:sqref>T62</xm:sqref>
            </x14:sparkline>
            <x14:sparkline>
              <xm:sqref>U62</xm:sqref>
            </x14:sparkline>
            <x14:sparkline>
              <xm:sqref>V62</xm:sqref>
            </x14:sparkline>
            <x14:sparkline>
              <xm:sqref>W62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381</v>
      </c>
    </row>
    <row r="2" spans="1:2" x14ac:dyDescent="0.25">
      <c r="A2" t="s">
        <v>383</v>
      </c>
      <c r="B2" t="s">
        <v>382</v>
      </c>
    </row>
    <row r="3" spans="1:2" x14ac:dyDescent="0.25">
      <c r="A3">
        <v>28008</v>
      </c>
      <c r="B3">
        <v>0.49</v>
      </c>
    </row>
    <row r="4" spans="1:2" x14ac:dyDescent="0.25">
      <c r="A4">
        <v>2.2730000000000001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zoomScaleNormal="100" workbookViewId="0">
      <selection activeCell="H9" sqref="H9"/>
    </sheetView>
  </sheetViews>
  <sheetFormatPr baseColWidth="10" defaultRowHeight="15" x14ac:dyDescent="0.25"/>
  <cols>
    <col min="1" max="1" width="18.7109375" style="10" customWidth="1"/>
    <col min="2" max="2" width="2.85546875" style="73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10.140625" style="73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4.7109375" style="10" customWidth="1"/>
    <col min="15" max="16384" width="11.42578125" style="10"/>
  </cols>
  <sheetData>
    <row r="1" spans="1:18" ht="15.75" x14ac:dyDescent="0.25">
      <c r="A1" s="7" t="s">
        <v>194</v>
      </c>
      <c r="B1" s="25"/>
      <c r="I1" s="17"/>
      <c r="M1" s="17" t="str">
        <f>generell!X1</f>
        <v>Stand:</v>
      </c>
      <c r="N1" s="17">
        <f>generell!Y1</f>
        <v>44012.444444444445</v>
      </c>
    </row>
    <row r="2" spans="1:18" x14ac:dyDescent="0.25">
      <c r="M2" s="17" t="str">
        <f>generell!X2</f>
        <v>Korrekturen:</v>
      </c>
      <c r="N2" s="17">
        <f>generell!Y2</f>
        <v>44066.90625</v>
      </c>
    </row>
    <row r="3" spans="1:18" x14ac:dyDescent="0.25">
      <c r="A3" s="6" t="s">
        <v>65</v>
      </c>
      <c r="B3" s="26"/>
      <c r="C3" s="10" t="s">
        <v>255</v>
      </c>
    </row>
    <row r="4" spans="1:18" x14ac:dyDescent="0.25">
      <c r="C4" s="10" t="s">
        <v>256</v>
      </c>
    </row>
    <row r="5" spans="1:18" x14ac:dyDescent="0.25">
      <c r="C5" s="10" t="s">
        <v>254</v>
      </c>
    </row>
    <row r="7" spans="1:18" x14ac:dyDescent="0.25">
      <c r="A7" s="6" t="s">
        <v>66</v>
      </c>
      <c r="B7" s="26" t="s">
        <v>75</v>
      </c>
      <c r="C7" s="26" t="s">
        <v>113</v>
      </c>
      <c r="D7" s="26" t="s">
        <v>263</v>
      </c>
      <c r="E7" s="26" t="s">
        <v>114</v>
      </c>
      <c r="F7" s="26" t="s">
        <v>261</v>
      </c>
      <c r="G7" s="26" t="s">
        <v>115</v>
      </c>
      <c r="H7" s="26" t="s">
        <v>116</v>
      </c>
      <c r="I7" s="26" t="s">
        <v>117</v>
      </c>
      <c r="J7" s="26" t="s">
        <v>264</v>
      </c>
      <c r="K7" s="26" t="s">
        <v>262</v>
      </c>
    </row>
    <row r="8" spans="1:18" x14ac:dyDescent="0.25">
      <c r="B8" s="27">
        <v>1</v>
      </c>
      <c r="C8" s="61" t="s">
        <v>78</v>
      </c>
      <c r="D8" s="61" t="s">
        <v>265</v>
      </c>
      <c r="E8" s="61" t="s">
        <v>109</v>
      </c>
      <c r="F8" s="61" t="s">
        <v>24</v>
      </c>
      <c r="G8" s="61" t="s">
        <v>107</v>
      </c>
      <c r="H8" s="62">
        <f>_31C2</f>
        <v>2.2729999999999886</v>
      </c>
      <c r="I8" s="61" t="s">
        <v>111</v>
      </c>
      <c r="J8" s="61" t="s">
        <v>120</v>
      </c>
      <c r="K8" s="61" t="s">
        <v>203</v>
      </c>
    </row>
    <row r="9" spans="1:18" x14ac:dyDescent="0.25">
      <c r="A9" s="6"/>
      <c r="B9" s="27">
        <v>2</v>
      </c>
      <c r="C9" s="77" t="s">
        <v>275</v>
      </c>
      <c r="D9" s="77" t="s">
        <v>266</v>
      </c>
      <c r="E9" s="77" t="s">
        <v>198</v>
      </c>
      <c r="F9" s="77" t="s">
        <v>27</v>
      </c>
      <c r="G9" s="77" t="s">
        <v>199</v>
      </c>
      <c r="H9" s="78">
        <f>_15DD</f>
        <v>25.4</v>
      </c>
      <c r="I9" s="77" t="s">
        <v>111</v>
      </c>
      <c r="J9" s="77" t="s">
        <v>260</v>
      </c>
      <c r="K9" s="77" t="s">
        <v>29</v>
      </c>
    </row>
    <row r="11" spans="1:18" ht="30" customHeight="1" x14ac:dyDescent="0.25">
      <c r="A11" s="6" t="s">
        <v>67</v>
      </c>
      <c r="B11" s="105"/>
      <c r="C11" s="26" t="s">
        <v>237</v>
      </c>
      <c r="D11" s="104" t="s">
        <v>259</v>
      </c>
      <c r="E11" s="26" t="s">
        <v>238</v>
      </c>
      <c r="F11" s="104" t="s">
        <v>273</v>
      </c>
      <c r="G11" s="26" t="s">
        <v>239</v>
      </c>
      <c r="H11" s="104" t="s">
        <v>240</v>
      </c>
      <c r="I11" s="104" t="s">
        <v>243</v>
      </c>
      <c r="J11" s="104" t="s">
        <v>241</v>
      </c>
      <c r="K11" s="104" t="s">
        <v>242</v>
      </c>
      <c r="M11" s="128" t="s">
        <v>313</v>
      </c>
      <c r="N11" s="128"/>
      <c r="O11" s="128"/>
      <c r="P11" s="128"/>
      <c r="Q11" s="128"/>
      <c r="R11" s="128"/>
    </row>
    <row r="12" spans="1:18" x14ac:dyDescent="0.25">
      <c r="B12" s="105" t="s">
        <v>75</v>
      </c>
      <c r="C12" s="61">
        <v>1</v>
      </c>
      <c r="D12" s="61">
        <v>4090</v>
      </c>
      <c r="E12" s="61">
        <f>D12</f>
        <v>4090</v>
      </c>
      <c r="F12" s="61" t="s">
        <v>78</v>
      </c>
      <c r="G12" s="61">
        <v>1</v>
      </c>
      <c r="H12" s="61">
        <v>4731</v>
      </c>
      <c r="I12" s="61" t="s">
        <v>82</v>
      </c>
      <c r="J12" s="64" t="s">
        <v>70</v>
      </c>
      <c r="K12" s="65">
        <v>0</v>
      </c>
      <c r="L12" s="105"/>
      <c r="M12" s="36" t="s">
        <v>282</v>
      </c>
      <c r="N12" s="105"/>
      <c r="O12" s="16" t="s">
        <v>82</v>
      </c>
      <c r="P12" s="73" t="s">
        <v>84</v>
      </c>
      <c r="Q12" s="16" t="s">
        <v>83</v>
      </c>
    </row>
    <row r="13" spans="1:18" x14ac:dyDescent="0.25">
      <c r="B13" s="105" t="s">
        <v>75</v>
      </c>
      <c r="C13" s="77">
        <v>2</v>
      </c>
      <c r="D13" s="77">
        <v>1452</v>
      </c>
      <c r="E13" s="77">
        <f>D13</f>
        <v>1452</v>
      </c>
      <c r="F13" s="77" t="s">
        <v>275</v>
      </c>
      <c r="G13" s="77">
        <v>1</v>
      </c>
      <c r="H13" s="77">
        <v>4703</v>
      </c>
      <c r="I13" s="77" t="s">
        <v>200</v>
      </c>
      <c r="J13" s="99" t="s">
        <v>70</v>
      </c>
      <c r="K13" s="100">
        <v>0</v>
      </c>
      <c r="L13" s="105"/>
    </row>
    <row r="14" spans="1:18" x14ac:dyDescent="0.25">
      <c r="C14" s="73"/>
      <c r="D14" s="73"/>
      <c r="E14" s="73"/>
      <c r="F14" s="16"/>
      <c r="G14" s="73"/>
      <c r="H14" s="28"/>
      <c r="J14" s="16"/>
      <c r="K14" s="73"/>
      <c r="L14" s="16"/>
    </row>
    <row r="15" spans="1:18" x14ac:dyDescent="0.25">
      <c r="A15" s="6" t="s">
        <v>153</v>
      </c>
      <c r="C15" s="29"/>
      <c r="D15" s="73"/>
      <c r="E15" s="73"/>
      <c r="F15" s="16"/>
      <c r="G15" s="73"/>
      <c r="H15" s="28"/>
      <c r="J15" s="16"/>
      <c r="K15" s="73"/>
      <c r="L15" s="16"/>
    </row>
    <row r="16" spans="1:18" ht="6" customHeight="1" x14ac:dyDescent="0.25">
      <c r="C16" s="73" t="s">
        <v>132</v>
      </c>
      <c r="I16" s="108"/>
    </row>
    <row r="17" spans="1:12" x14ac:dyDescent="0.25">
      <c r="A17" s="1" t="s">
        <v>134</v>
      </c>
      <c r="B17" s="73">
        <v>1</v>
      </c>
      <c r="C17" s="63" t="s">
        <v>301</v>
      </c>
      <c r="D17" s="61"/>
      <c r="E17" s="61"/>
      <c r="F17" s="61"/>
      <c r="G17" s="61"/>
      <c r="H17" s="61"/>
      <c r="I17" s="108"/>
      <c r="J17" s="16"/>
      <c r="K17" s="73"/>
      <c r="L17" s="16"/>
    </row>
    <row r="18" spans="1:12" x14ac:dyDescent="0.25">
      <c r="A18" s="1" t="s">
        <v>135</v>
      </c>
      <c r="B18" s="73">
        <v>1</v>
      </c>
      <c r="C18" s="63" t="s">
        <v>302</v>
      </c>
      <c r="D18" s="61"/>
      <c r="E18" s="61"/>
      <c r="F18" s="61"/>
      <c r="G18" s="61"/>
      <c r="H18" s="61"/>
      <c r="I18" s="108"/>
      <c r="J18" s="16"/>
      <c r="K18" s="73"/>
      <c r="L18" s="16"/>
    </row>
    <row r="19" spans="1:12" ht="6" customHeight="1" x14ac:dyDescent="0.25">
      <c r="B19" s="10"/>
      <c r="I19" s="108"/>
    </row>
    <row r="20" spans="1:12" x14ac:dyDescent="0.25">
      <c r="A20" s="1" t="s">
        <v>134</v>
      </c>
      <c r="B20" s="73">
        <v>2</v>
      </c>
      <c r="C20" s="81" t="s">
        <v>303</v>
      </c>
      <c r="D20" s="77"/>
      <c r="E20" s="77"/>
      <c r="F20" s="77"/>
      <c r="G20" s="77"/>
      <c r="H20" s="77"/>
      <c r="I20" s="108"/>
      <c r="J20" s="16"/>
      <c r="K20" s="73"/>
      <c r="L20" s="16"/>
    </row>
    <row r="21" spans="1:12" x14ac:dyDescent="0.25">
      <c r="A21" s="1" t="s">
        <v>135</v>
      </c>
      <c r="B21" s="73">
        <v>2</v>
      </c>
      <c r="C21" s="81" t="s">
        <v>342</v>
      </c>
      <c r="D21" s="77"/>
      <c r="E21" s="77"/>
      <c r="F21" s="77"/>
      <c r="G21" s="77"/>
      <c r="H21" s="77"/>
      <c r="I21" s="108"/>
      <c r="J21" s="16"/>
      <c r="K21" s="73"/>
      <c r="L21" s="16"/>
    </row>
    <row r="22" spans="1:12" x14ac:dyDescent="0.25">
      <c r="I22" s="108"/>
    </row>
  </sheetData>
  <mergeCells count="1">
    <mergeCell ref="M11:R11"/>
  </mergeCells>
  <pageMargins left="0.7" right="0.7" top="0.78740157499999996" bottom="0.78740157499999996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zoomScaleNormal="100" workbookViewId="0">
      <selection activeCell="V24" sqref="V24"/>
    </sheetView>
  </sheetViews>
  <sheetFormatPr baseColWidth="10" defaultRowHeight="15" x14ac:dyDescent="0.25"/>
  <cols>
    <col min="1" max="1" width="3.85546875" style="73" customWidth="1"/>
    <col min="2" max="2" width="9.140625" style="10" customWidth="1"/>
    <col min="3" max="3" width="4.5703125" style="73" bestFit="1" customWidth="1"/>
    <col min="4" max="4" width="12.7109375" style="10" customWidth="1"/>
    <col min="5" max="5" width="10.7109375" style="10" customWidth="1"/>
    <col min="6" max="6" width="10.7109375" style="73" customWidth="1"/>
    <col min="7" max="7" width="10" style="10" customWidth="1"/>
    <col min="8" max="11" width="6.7109375" style="10" customWidth="1"/>
    <col min="12" max="15" width="6.7109375" style="73" customWidth="1"/>
    <col min="16" max="36" width="6.7109375" style="10" customWidth="1"/>
    <col min="37" max="37" width="3.42578125" style="10" customWidth="1"/>
    <col min="38" max="38" width="7.85546875" style="10" bestFit="1" customWidth="1"/>
    <col min="39" max="16384" width="11.42578125" style="10"/>
  </cols>
  <sheetData>
    <row r="1" spans="1:38" ht="15.75" x14ac:dyDescent="0.25">
      <c r="A1" s="7" t="str">
        <f>'Sz 1'!A1</f>
        <v>Szenario 1: Verlangsamte Einfahrten vermeiden</v>
      </c>
      <c r="C1" s="25"/>
      <c r="H1" s="13"/>
      <c r="I1" s="125"/>
      <c r="J1" s="125"/>
      <c r="K1" s="125"/>
      <c r="L1" s="17"/>
      <c r="M1" s="17"/>
    </row>
    <row r="2" spans="1:38" ht="6" customHeight="1" x14ac:dyDescent="0.25"/>
    <row r="3" spans="1:38" s="6" customFormat="1" x14ac:dyDescent="0.25">
      <c r="A3" s="26" t="s">
        <v>72</v>
      </c>
      <c r="B3" s="26" t="s">
        <v>161</v>
      </c>
      <c r="C3" s="26" t="s">
        <v>76</v>
      </c>
      <c r="D3" s="26" t="s">
        <v>71</v>
      </c>
      <c r="E3" s="26" t="s">
        <v>73</v>
      </c>
      <c r="F3" s="26" t="s">
        <v>247</v>
      </c>
      <c r="G3" s="26" t="s">
        <v>74</v>
      </c>
      <c r="H3" s="6" t="s">
        <v>293</v>
      </c>
      <c r="L3" s="26"/>
      <c r="M3" s="26"/>
      <c r="N3" s="26"/>
      <c r="O3" s="26"/>
      <c r="AL3" s="6" t="s">
        <v>283</v>
      </c>
    </row>
    <row r="4" spans="1:38" ht="6" customHeight="1" x14ac:dyDescent="0.25"/>
    <row r="5" spans="1:38" s="39" customFormat="1" ht="15" customHeight="1" x14ac:dyDescent="0.25">
      <c r="A5" s="54">
        <v>1</v>
      </c>
      <c r="B5" s="54" t="s">
        <v>78</v>
      </c>
      <c r="C5" s="54">
        <v>1</v>
      </c>
      <c r="D5" s="55">
        <v>0</v>
      </c>
      <c r="E5" s="54" t="s">
        <v>203</v>
      </c>
      <c r="F5" s="54" t="s">
        <v>204</v>
      </c>
      <c r="G5" s="54" t="s">
        <v>205</v>
      </c>
      <c r="H5" s="54" t="s">
        <v>24</v>
      </c>
      <c r="I5" s="54"/>
      <c r="J5" s="54" t="s">
        <v>136</v>
      </c>
      <c r="K5" s="54"/>
      <c r="L5" s="54" t="s">
        <v>137</v>
      </c>
      <c r="M5" s="54"/>
      <c r="N5" s="54" t="s">
        <v>201</v>
      </c>
      <c r="O5" s="54"/>
      <c r="P5" s="54" t="s">
        <v>138</v>
      </c>
      <c r="Q5" s="54"/>
      <c r="R5" s="54" t="s">
        <v>356</v>
      </c>
      <c r="S5" s="54"/>
      <c r="T5" s="54" t="s">
        <v>202</v>
      </c>
      <c r="U5" s="54"/>
      <c r="V5" s="54" t="s">
        <v>203</v>
      </c>
      <c r="Y5" s="6" t="s">
        <v>289</v>
      </c>
      <c r="AL5" s="39" t="s">
        <v>284</v>
      </c>
    </row>
    <row r="6" spans="1:38" s="39" customFormat="1" x14ac:dyDescent="0.25">
      <c r="A6" s="47"/>
      <c r="B6" s="47"/>
      <c r="C6" s="47"/>
      <c r="D6" s="47"/>
      <c r="E6" s="47">
        <f>V6</f>
        <v>28.678000000000001</v>
      </c>
      <c r="F6" s="48">
        <v>28.757999999999999</v>
      </c>
      <c r="G6" s="74"/>
      <c r="H6" s="48">
        <f>_31C2</f>
        <v>2.2729999999999886</v>
      </c>
      <c r="I6" s="48"/>
      <c r="J6" s="48">
        <v>1.3859999999999999</v>
      </c>
      <c r="K6" s="48"/>
      <c r="L6" s="48">
        <v>0.57999999999999996</v>
      </c>
      <c r="M6" s="48"/>
      <c r="N6" s="48">
        <v>0.49399999999999999</v>
      </c>
      <c r="O6" s="48" t="s">
        <v>167</v>
      </c>
      <c r="P6" s="48">
        <v>28.007000000000001</v>
      </c>
      <c r="Q6" s="48"/>
      <c r="R6" s="48">
        <v>28.126999999999999</v>
      </c>
      <c r="S6" s="48"/>
      <c r="T6" s="48">
        <v>28.231000000000002</v>
      </c>
      <c r="U6" s="48"/>
      <c r="V6" s="48">
        <v>28.678000000000001</v>
      </c>
      <c r="X6" s="6"/>
      <c r="Y6" s="6" t="s">
        <v>290</v>
      </c>
      <c r="AL6" s="39" t="s">
        <v>285</v>
      </c>
    </row>
    <row r="7" spans="1:38" s="39" customFormat="1" x14ac:dyDescent="0.25">
      <c r="A7" s="37"/>
      <c r="C7" s="37"/>
      <c r="E7" s="122"/>
      <c r="F7" s="109">
        <f>ABS((F6-E6)*1000)</f>
        <v>79.999999999998295</v>
      </c>
      <c r="G7" s="37"/>
      <c r="H7" s="109">
        <v>0</v>
      </c>
      <c r="I7" s="109">
        <f>J7</f>
        <v>886.99999999998863</v>
      </c>
      <c r="J7" s="109">
        <f>H7+ABS((J6-H6)*1000)</f>
        <v>886.99999999998863</v>
      </c>
      <c r="K7" s="109">
        <f>L7</f>
        <v>1692.9999999999886</v>
      </c>
      <c r="L7" s="109">
        <f t="shared" ref="L7:T7" si="0">J7+ABS((L6-J6)*1000)</f>
        <v>1692.9999999999886</v>
      </c>
      <c r="M7" s="109">
        <f>N7</f>
        <v>1778.9999999999886</v>
      </c>
      <c r="N7" s="109">
        <f t="shared" si="0"/>
        <v>1778.9999999999886</v>
      </c>
      <c r="O7" s="109">
        <f>P7</f>
        <v>1778.9999999999886</v>
      </c>
      <c r="P7" s="113">
        <f>N7</f>
        <v>1778.9999999999886</v>
      </c>
      <c r="Q7" s="109">
        <f>R7</f>
        <v>1898.9999999999861</v>
      </c>
      <c r="R7" s="109">
        <f t="shared" si="0"/>
        <v>1898.9999999999861</v>
      </c>
      <c r="S7" s="109">
        <f>T7</f>
        <v>2002.9999999999889</v>
      </c>
      <c r="T7" s="109">
        <f t="shared" si="0"/>
        <v>2002.9999999999889</v>
      </c>
      <c r="U7" s="109">
        <f>V7</f>
        <v>2449.9999999999882</v>
      </c>
      <c r="V7" s="109">
        <f>T7+ABS((V6-T6)*1000)</f>
        <v>2449.9999999999882</v>
      </c>
      <c r="Y7" s="6" t="s">
        <v>294</v>
      </c>
    </row>
    <row r="8" spans="1:38" s="39" customFormat="1" x14ac:dyDescent="0.25">
      <c r="A8" s="37"/>
      <c r="C8" s="37"/>
      <c r="G8" s="37"/>
      <c r="H8" s="110">
        <f>H7</f>
        <v>0</v>
      </c>
      <c r="I8" s="110"/>
      <c r="J8" s="110"/>
      <c r="K8" s="110"/>
      <c r="L8" s="110"/>
      <c r="M8" s="110">
        <f>M7-H7</f>
        <v>1778.9999999999886</v>
      </c>
      <c r="N8" s="110"/>
      <c r="O8" s="110"/>
      <c r="P8" s="110"/>
      <c r="Q8" s="110"/>
      <c r="R8" s="110"/>
      <c r="S8" s="110">
        <f>S7-N7</f>
        <v>224.00000000000023</v>
      </c>
      <c r="T8" s="110"/>
      <c r="U8" s="110">
        <f>U7-T7</f>
        <v>446.99999999999932</v>
      </c>
      <c r="V8" s="110"/>
      <c r="Y8" s="6" t="s">
        <v>292</v>
      </c>
    </row>
    <row r="9" spans="1:38" s="39" customFormat="1" ht="15.75" x14ac:dyDescent="0.25">
      <c r="A9" s="71" t="s">
        <v>170</v>
      </c>
      <c r="F9" s="37"/>
      <c r="G9" s="37"/>
      <c r="H9" s="52">
        <v>160</v>
      </c>
      <c r="I9" s="52">
        <f>H9</f>
        <v>160</v>
      </c>
      <c r="J9" s="52">
        <v>160</v>
      </c>
      <c r="K9" s="52">
        <f>J9</f>
        <v>160</v>
      </c>
      <c r="L9" s="52">
        <v>160</v>
      </c>
      <c r="M9" s="52">
        <f>L9</f>
        <v>160</v>
      </c>
      <c r="N9" s="52">
        <v>60</v>
      </c>
      <c r="O9" s="52">
        <f>N9</f>
        <v>60</v>
      </c>
      <c r="P9" s="52">
        <v>60</v>
      </c>
      <c r="Q9" s="52">
        <f>P9</f>
        <v>60</v>
      </c>
      <c r="R9" s="52">
        <v>60</v>
      </c>
      <c r="S9" s="52">
        <f>R9</f>
        <v>60</v>
      </c>
      <c r="T9" s="52">
        <v>160</v>
      </c>
      <c r="U9" s="52">
        <f>T9</f>
        <v>160</v>
      </c>
      <c r="V9" s="52">
        <v>0</v>
      </c>
      <c r="Y9" s="6" t="s">
        <v>291</v>
      </c>
      <c r="AL9" s="110">
        <f>SUM(H8:V8)</f>
        <v>2449.9999999999882</v>
      </c>
    </row>
    <row r="10" spans="1:38" s="39" customFormat="1" x14ac:dyDescent="0.25">
      <c r="A10" s="37"/>
      <c r="F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38" s="39" customFormat="1" x14ac:dyDescent="0.25">
      <c r="A11" s="37"/>
      <c r="F11" s="37"/>
    </row>
    <row r="12" spans="1:38" s="39" customFormat="1" x14ac:dyDescent="0.25">
      <c r="A12" s="37"/>
      <c r="F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38" s="39" customFormat="1" x14ac:dyDescent="0.25">
      <c r="A13" s="37"/>
      <c r="F13" s="37"/>
    </row>
    <row r="14" spans="1:38" s="39" customFormat="1" x14ac:dyDescent="0.25">
      <c r="A14" s="37"/>
      <c r="C14" s="37"/>
      <c r="F14" s="32"/>
      <c r="L14" s="37"/>
      <c r="M14" s="37"/>
      <c r="N14" s="37"/>
      <c r="O14" s="37"/>
    </row>
    <row r="15" spans="1:38" s="39" customFormat="1" x14ac:dyDescent="0.25">
      <c r="A15" s="37"/>
      <c r="C15" s="37"/>
      <c r="D15" s="38"/>
      <c r="E15" s="37"/>
      <c r="F15" s="32"/>
      <c r="G15" s="37"/>
      <c r="H15" s="37"/>
      <c r="I15" s="37"/>
      <c r="J15" s="37"/>
      <c r="K15" s="37"/>
      <c r="L15" s="37"/>
      <c r="M15" s="37"/>
      <c r="N15" s="37"/>
      <c r="O15" s="37"/>
    </row>
    <row r="16" spans="1:38" s="39" customFormat="1" x14ac:dyDescent="0.25">
      <c r="A16" s="37"/>
      <c r="C16" s="37"/>
      <c r="D16" s="32"/>
      <c r="E16" s="37"/>
      <c r="F16" s="32"/>
      <c r="G16" s="37"/>
      <c r="H16" s="37"/>
      <c r="I16" s="37"/>
      <c r="J16" s="37"/>
      <c r="K16" s="37"/>
      <c r="L16" s="37"/>
      <c r="M16" s="37"/>
      <c r="N16" s="37"/>
      <c r="O16" s="37"/>
    </row>
    <row r="17" spans="1:38" s="39" customFormat="1" x14ac:dyDescent="0.25">
      <c r="A17" s="37"/>
      <c r="C17" s="37"/>
      <c r="D17" s="37"/>
      <c r="E17" s="37"/>
      <c r="F17" s="32"/>
      <c r="G17" s="37"/>
      <c r="H17" s="37"/>
      <c r="I17" s="37"/>
      <c r="J17" s="37"/>
      <c r="K17" s="37"/>
      <c r="L17" s="37"/>
      <c r="M17" s="37"/>
      <c r="N17" s="37"/>
      <c r="O17" s="37"/>
    </row>
    <row r="18" spans="1:38" s="39" customFormat="1" x14ac:dyDescent="0.25">
      <c r="A18" s="37"/>
      <c r="C18" s="37"/>
      <c r="D18" s="37"/>
      <c r="E18" s="37"/>
      <c r="F18" s="32"/>
      <c r="G18" s="37"/>
      <c r="H18" s="37"/>
      <c r="I18" s="37"/>
      <c r="J18" s="37"/>
      <c r="K18" s="37"/>
      <c r="L18" s="37"/>
      <c r="M18" s="37"/>
      <c r="N18" s="37"/>
      <c r="O18" s="37"/>
    </row>
    <row r="19" spans="1:38" s="39" customFormat="1" x14ac:dyDescent="0.25">
      <c r="C19" s="37"/>
      <c r="F19" s="37"/>
      <c r="L19" s="37"/>
      <c r="M19" s="37"/>
      <c r="N19" s="37"/>
      <c r="O19" s="37"/>
    </row>
    <row r="20" spans="1:38" s="39" customFormat="1" x14ac:dyDescent="0.25">
      <c r="A20" s="37"/>
      <c r="C20" s="37"/>
      <c r="D20" s="38"/>
      <c r="E20" s="37"/>
      <c r="F20" s="32"/>
      <c r="G20" s="37"/>
      <c r="H20" s="32"/>
      <c r="I20" s="32"/>
      <c r="J20" s="37"/>
      <c r="K20" s="37"/>
      <c r="L20" s="37"/>
      <c r="M20" s="37"/>
      <c r="N20" s="37"/>
      <c r="O20" s="37"/>
    </row>
    <row r="21" spans="1:38" s="39" customFormat="1" ht="6" customHeight="1" x14ac:dyDescent="0.25">
      <c r="A21" s="42"/>
      <c r="B21" s="43"/>
      <c r="C21" s="42"/>
      <c r="D21" s="42"/>
      <c r="E21" s="42"/>
      <c r="F21" s="44"/>
      <c r="G21" s="42"/>
      <c r="H21" s="43"/>
      <c r="I21" s="43"/>
      <c r="J21" s="43"/>
      <c r="K21" s="43"/>
      <c r="L21" s="43"/>
      <c r="M21" s="45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6"/>
    </row>
    <row r="22" spans="1:38" s="39" customFormat="1" ht="15" customHeight="1" x14ac:dyDescent="0.25">
      <c r="A22" s="82">
        <v>2</v>
      </c>
      <c r="B22" s="82" t="s">
        <v>197</v>
      </c>
      <c r="C22" s="82">
        <v>1</v>
      </c>
      <c r="D22" s="83">
        <v>0</v>
      </c>
      <c r="E22" s="83" t="s">
        <v>29</v>
      </c>
      <c r="F22" s="83" t="s">
        <v>206</v>
      </c>
      <c r="G22" s="84"/>
      <c r="H22" s="85" t="s">
        <v>27</v>
      </c>
      <c r="I22" s="85"/>
      <c r="J22" s="82" t="s">
        <v>207</v>
      </c>
      <c r="K22" s="82"/>
      <c r="L22" s="82" t="s">
        <v>208</v>
      </c>
      <c r="M22" s="82"/>
      <c r="N22" s="82" t="s">
        <v>209</v>
      </c>
      <c r="O22" s="82"/>
      <c r="P22" s="82" t="s">
        <v>210</v>
      </c>
      <c r="Q22" s="82"/>
      <c r="R22" s="82" t="s">
        <v>357</v>
      </c>
      <c r="S22" s="82"/>
      <c r="T22" s="82" t="s">
        <v>139</v>
      </c>
      <c r="U22" s="82"/>
      <c r="V22" s="82" t="s">
        <v>212</v>
      </c>
      <c r="W22" s="82"/>
      <c r="X22" s="82" t="s">
        <v>211</v>
      </c>
      <c r="Y22" s="82"/>
      <c r="Z22" s="82" t="s">
        <v>142</v>
      </c>
      <c r="AA22" s="82"/>
      <c r="AB22" s="82" t="s">
        <v>144</v>
      </c>
      <c r="AC22" s="82"/>
      <c r="AD22" s="82" t="s">
        <v>347</v>
      </c>
      <c r="AE22" s="82"/>
      <c r="AF22" s="82" t="s">
        <v>143</v>
      </c>
      <c r="AG22" s="82"/>
      <c r="AH22" s="82" t="s">
        <v>87</v>
      </c>
      <c r="AI22" s="82"/>
      <c r="AJ22" s="82" t="s">
        <v>29</v>
      </c>
    </row>
    <row r="23" spans="1:38" s="39" customFormat="1" x14ac:dyDescent="0.25">
      <c r="A23" s="86"/>
      <c r="B23" s="87"/>
      <c r="C23" s="87"/>
      <c r="D23" s="88"/>
      <c r="E23" s="89">
        <v>30.577999999999999</v>
      </c>
      <c r="F23" s="89">
        <f>E23+250/1000</f>
        <v>30.827999999999999</v>
      </c>
      <c r="G23" s="87"/>
      <c r="H23" s="89">
        <f>_15DD</f>
        <v>25.4</v>
      </c>
      <c r="I23" s="89"/>
      <c r="J23" s="89">
        <v>27.378</v>
      </c>
      <c r="K23" s="89"/>
      <c r="L23" s="89">
        <v>27.632000000000001</v>
      </c>
      <c r="M23" s="89"/>
      <c r="N23" s="89">
        <v>27.978999999999999</v>
      </c>
      <c r="O23" s="89"/>
      <c r="P23" s="89">
        <v>28.11</v>
      </c>
      <c r="Q23" s="89"/>
      <c r="R23" s="89">
        <v>28.143000000000001</v>
      </c>
      <c r="S23" s="89"/>
      <c r="T23" s="89">
        <v>28.143000000000001</v>
      </c>
      <c r="U23" s="89"/>
      <c r="V23" s="89">
        <v>28.756</v>
      </c>
      <c r="W23" s="89"/>
      <c r="X23" s="89">
        <v>28.791</v>
      </c>
      <c r="Y23" s="89"/>
      <c r="Z23" s="89">
        <v>28.989000000000001</v>
      </c>
      <c r="AA23" s="89"/>
      <c r="AB23" s="89">
        <v>29.068000000000001</v>
      </c>
      <c r="AC23" s="89"/>
      <c r="AD23" s="89">
        <v>29.076000000000001</v>
      </c>
      <c r="AE23" s="89"/>
      <c r="AF23" s="89">
        <v>29.099</v>
      </c>
      <c r="AG23" s="89"/>
      <c r="AH23" s="89">
        <v>29.312999999999999</v>
      </c>
      <c r="AI23" s="89"/>
      <c r="AJ23" s="89">
        <f>_10A</f>
        <v>30.745000000000001</v>
      </c>
    </row>
    <row r="24" spans="1:38" s="39" customFormat="1" x14ac:dyDescent="0.25">
      <c r="A24" s="37"/>
      <c r="C24" s="37"/>
      <c r="D24" s="37"/>
      <c r="E24" s="122"/>
      <c r="F24" s="109">
        <f>ABS((F23-E23)*1000)</f>
        <v>250</v>
      </c>
      <c r="G24" s="37"/>
      <c r="H24" s="109">
        <v>0</v>
      </c>
      <c r="I24" s="109">
        <f>J24</f>
        <v>1978.0000000000016</v>
      </c>
      <c r="J24" s="109">
        <f>H24+ABS((J23-H23)*1000)</f>
        <v>1978.0000000000016</v>
      </c>
      <c r="K24" s="109">
        <f>L24</f>
        <v>2232.0000000000027</v>
      </c>
      <c r="L24" s="109">
        <f>J24+ABS((L23-J23)*1000)</f>
        <v>2232.0000000000027</v>
      </c>
      <c r="M24" s="109">
        <f>N24</f>
        <v>2579.0000000000005</v>
      </c>
      <c r="N24" s="109">
        <f>L24+ABS((N23-L23)*1000)</f>
        <v>2579.0000000000005</v>
      </c>
      <c r="O24" s="109">
        <f>P24</f>
        <v>2710.0000000000009</v>
      </c>
      <c r="P24" s="109">
        <f>N24+ABS((P23-N23)*1000)</f>
        <v>2710.0000000000009</v>
      </c>
      <c r="Q24" s="109">
        <f>R24</f>
        <v>2743.0000000000023</v>
      </c>
      <c r="R24" s="109">
        <f>P24+ABS((R23-P23)*1000)</f>
        <v>2743.0000000000023</v>
      </c>
      <c r="S24" s="109">
        <f>T24</f>
        <v>2743.0000000000023</v>
      </c>
      <c r="T24" s="109">
        <f>R24+ABS((T23-R23)*1000)</f>
        <v>2743.0000000000023</v>
      </c>
      <c r="U24" s="109">
        <f>V24</f>
        <v>3356.0000000000018</v>
      </c>
      <c r="V24" s="109">
        <f>T24+ABS((V23-T23)*1000)</f>
        <v>3356.0000000000018</v>
      </c>
      <c r="W24" s="109">
        <f>X24</f>
        <v>3391.0000000000018</v>
      </c>
      <c r="X24" s="109">
        <f>V24+ABS((X23-V23)*1000)</f>
        <v>3391.0000000000018</v>
      </c>
      <c r="Y24" s="109">
        <f>Z24</f>
        <v>3589.0000000000023</v>
      </c>
      <c r="Z24" s="109">
        <f>X24+ABS((Z23-X23)*1000)</f>
        <v>3589.0000000000023</v>
      </c>
      <c r="AA24" s="109">
        <f>AD24</f>
        <v>3676.0000000000018</v>
      </c>
      <c r="AB24" s="109">
        <f>X24+ABS((AB23-X23)*1000)</f>
        <v>3668.0000000000027</v>
      </c>
      <c r="AC24" s="109">
        <f>AD24</f>
        <v>3676.0000000000018</v>
      </c>
      <c r="AD24" s="109">
        <f>AB24+ABS((AD23-AB23)*1000)</f>
        <v>3676.0000000000018</v>
      </c>
      <c r="AE24" s="109">
        <f>AF24</f>
        <v>3699.0000000000014</v>
      </c>
      <c r="AF24" s="109">
        <f>AD24+ABS((AF23-AD23)*1000)</f>
        <v>3699.0000000000014</v>
      </c>
      <c r="AG24" s="109">
        <f>AH24</f>
        <v>3913</v>
      </c>
      <c r="AH24" s="109">
        <f>AF24+ABS((AH23-AF23)*1000)</f>
        <v>3913</v>
      </c>
      <c r="AI24" s="109">
        <f>AJ24</f>
        <v>5345.0000000000018</v>
      </c>
      <c r="AJ24" s="109">
        <f>AH24+ABS((AJ23-AH23)*1000)</f>
        <v>5345.0000000000018</v>
      </c>
    </row>
    <row r="25" spans="1:38" s="39" customFormat="1" x14ac:dyDescent="0.25">
      <c r="A25" s="37"/>
      <c r="C25" s="37"/>
      <c r="D25" s="37"/>
      <c r="E25" s="37"/>
      <c r="G25" s="37"/>
      <c r="H25" s="110">
        <f>H24</f>
        <v>0</v>
      </c>
      <c r="I25" s="110">
        <f>I24-H24</f>
        <v>1978.0000000000016</v>
      </c>
      <c r="J25" s="110"/>
      <c r="K25" s="110"/>
      <c r="L25" s="110"/>
      <c r="M25" s="110">
        <f>M24-J24</f>
        <v>600.99999999999886</v>
      </c>
      <c r="N25" s="110"/>
      <c r="O25" s="110"/>
      <c r="P25" s="110"/>
      <c r="Q25" s="110">
        <f>Q24-N24</f>
        <v>164.00000000000182</v>
      </c>
      <c r="R25" s="110"/>
      <c r="S25" s="110"/>
      <c r="T25" s="110"/>
      <c r="U25" s="110">
        <f>U24-R24</f>
        <v>612.99999999999955</v>
      </c>
      <c r="V25" s="110"/>
      <c r="W25" s="110"/>
      <c r="X25" s="110"/>
      <c r="Y25" s="110"/>
      <c r="Z25" s="110"/>
      <c r="AA25" s="110"/>
      <c r="AB25" s="110"/>
      <c r="AC25" s="110">
        <f>AC24-V24</f>
        <v>320</v>
      </c>
      <c r="AD25" s="110"/>
      <c r="AE25" s="110"/>
      <c r="AF25" s="110"/>
      <c r="AG25" s="110"/>
      <c r="AH25" s="110"/>
      <c r="AI25" s="110">
        <f>AI24-AC24</f>
        <v>1669</v>
      </c>
      <c r="AJ25" s="110"/>
      <c r="AL25" s="110">
        <f>SUM(H25:AJ25)</f>
        <v>5345.0000000000018</v>
      </c>
    </row>
    <row r="26" spans="1:38" s="39" customFormat="1" x14ac:dyDescent="0.25">
      <c r="A26" s="37"/>
      <c r="C26" s="37"/>
      <c r="D26" s="37"/>
      <c r="E26" s="37"/>
      <c r="F26" s="32"/>
      <c r="G26" s="37"/>
      <c r="H26" s="52">
        <v>160</v>
      </c>
      <c r="I26" s="52">
        <f>H26</f>
        <v>160</v>
      </c>
      <c r="J26" s="52">
        <v>160</v>
      </c>
      <c r="K26" s="52">
        <f>J26</f>
        <v>160</v>
      </c>
      <c r="L26" s="52">
        <v>160</v>
      </c>
      <c r="M26" s="52">
        <f>L26</f>
        <v>160</v>
      </c>
      <c r="N26" s="52">
        <v>60</v>
      </c>
      <c r="O26" s="52">
        <f>N26</f>
        <v>60</v>
      </c>
      <c r="P26" s="52">
        <v>60</v>
      </c>
      <c r="Q26" s="52">
        <f>P26</f>
        <v>60</v>
      </c>
      <c r="R26" s="52">
        <v>160</v>
      </c>
      <c r="S26" s="52">
        <f>R26</f>
        <v>160</v>
      </c>
      <c r="T26" s="52">
        <v>160</v>
      </c>
      <c r="U26" s="52">
        <f>T26</f>
        <v>160</v>
      </c>
      <c r="V26" s="52">
        <v>60</v>
      </c>
      <c r="W26" s="52">
        <f>V26</f>
        <v>60</v>
      </c>
      <c r="X26" s="52">
        <v>60</v>
      </c>
      <c r="Y26" s="52">
        <f>X26</f>
        <v>60</v>
      </c>
      <c r="Z26" s="52">
        <v>60</v>
      </c>
      <c r="AA26" s="52">
        <f>Z26</f>
        <v>60</v>
      </c>
      <c r="AB26" s="52">
        <v>60</v>
      </c>
      <c r="AC26" s="52">
        <f>AB26</f>
        <v>60</v>
      </c>
      <c r="AD26" s="52">
        <v>160</v>
      </c>
      <c r="AE26" s="52">
        <f>AD26</f>
        <v>160</v>
      </c>
      <c r="AF26" s="52">
        <v>160</v>
      </c>
      <c r="AG26" s="52">
        <f>AF26</f>
        <v>160</v>
      </c>
      <c r="AH26" s="52">
        <v>160</v>
      </c>
      <c r="AI26" s="52">
        <f>AH26</f>
        <v>160</v>
      </c>
      <c r="AJ26" s="52">
        <v>0</v>
      </c>
    </row>
    <row r="27" spans="1:38" s="39" customFormat="1" x14ac:dyDescent="0.25">
      <c r="A27" s="37"/>
      <c r="F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38" s="39" customFormat="1" x14ac:dyDescent="0.25">
      <c r="A28" s="37"/>
      <c r="F28" s="37"/>
    </row>
    <row r="29" spans="1:38" s="39" customFormat="1" x14ac:dyDescent="0.25">
      <c r="A29" s="37"/>
      <c r="F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38" s="39" customFormat="1" x14ac:dyDescent="0.25">
      <c r="A30" s="37"/>
      <c r="F30" s="37"/>
    </row>
    <row r="31" spans="1:38" s="39" customFormat="1" x14ac:dyDescent="0.25">
      <c r="A31" s="37"/>
      <c r="C31" s="37"/>
      <c r="F31" s="32"/>
      <c r="L31" s="37"/>
      <c r="M31" s="37"/>
      <c r="N31" s="37"/>
      <c r="O31" s="37"/>
    </row>
    <row r="32" spans="1:38" s="39" customFormat="1" x14ac:dyDescent="0.25">
      <c r="A32" s="37"/>
      <c r="C32" s="37"/>
      <c r="D32" s="38"/>
      <c r="E32" s="37"/>
      <c r="F32" s="32"/>
      <c r="G32" s="37"/>
      <c r="H32" s="37"/>
      <c r="I32" s="37"/>
      <c r="J32" s="37"/>
      <c r="K32" s="37"/>
      <c r="L32" s="37"/>
      <c r="M32" s="37"/>
      <c r="N32" s="37"/>
      <c r="O32" s="37"/>
    </row>
    <row r="33" spans="1:15" s="39" customFormat="1" x14ac:dyDescent="0.25">
      <c r="A33" s="37"/>
      <c r="C33" s="37"/>
      <c r="D33" s="32"/>
      <c r="E33" s="37"/>
      <c r="F33" s="32"/>
      <c r="G33" s="37"/>
      <c r="H33" s="37"/>
      <c r="I33" s="37"/>
      <c r="J33" s="37"/>
      <c r="K33" s="37"/>
      <c r="L33" s="37"/>
      <c r="M33" s="37"/>
      <c r="N33" s="37"/>
      <c r="O33" s="37"/>
    </row>
    <row r="34" spans="1:15" s="39" customFormat="1" x14ac:dyDescent="0.25">
      <c r="A34" s="37"/>
      <c r="C34" s="37"/>
      <c r="D34" s="37"/>
      <c r="E34" s="37"/>
      <c r="F34" s="32"/>
      <c r="G34" s="37"/>
      <c r="H34" s="37"/>
      <c r="I34" s="37"/>
      <c r="J34" s="37"/>
      <c r="K34" s="37"/>
      <c r="L34" s="37"/>
      <c r="M34" s="37"/>
      <c r="N34" s="37"/>
      <c r="O34" s="37"/>
    </row>
    <row r="35" spans="1:15" s="39" customFormat="1" x14ac:dyDescent="0.25">
      <c r="A35" s="37"/>
      <c r="C35" s="37"/>
      <c r="D35" s="37"/>
      <c r="E35" s="37"/>
      <c r="F35" s="32"/>
      <c r="G35" s="37"/>
      <c r="H35" s="37"/>
      <c r="I35" s="37"/>
      <c r="J35" s="37"/>
      <c r="K35" s="37"/>
      <c r="L35" s="37"/>
      <c r="M35" s="37"/>
      <c r="N35" s="37"/>
      <c r="O35" s="37"/>
    </row>
    <row r="36" spans="1:15" s="39" customFormat="1" ht="15.75" x14ac:dyDescent="0.25">
      <c r="A36" s="71"/>
      <c r="C36" s="37"/>
      <c r="F36" s="37"/>
      <c r="L36" s="37"/>
      <c r="M36" s="37"/>
      <c r="N36" s="37"/>
      <c r="O36" s="37"/>
    </row>
    <row r="37" spans="1:15" s="39" customFormat="1" x14ac:dyDescent="0.25">
      <c r="A37" s="37"/>
      <c r="C37" s="37"/>
      <c r="D37" s="38"/>
      <c r="E37" s="37"/>
      <c r="F37" s="32"/>
      <c r="G37" s="37"/>
      <c r="H37" s="32"/>
      <c r="I37" s="32"/>
      <c r="J37" s="37"/>
      <c r="K37" s="37"/>
      <c r="L37" s="37"/>
      <c r="M37" s="37"/>
      <c r="N37" s="37"/>
      <c r="O37" s="37"/>
    </row>
  </sheetData>
  <mergeCells count="1">
    <mergeCell ref="I1:K1"/>
  </mergeCells>
  <pageMargins left="0.26" right="0.13" top="0.68" bottom="0.57999999999999996" header="0.3" footer="0.3"/>
  <pageSetup paperSize="9" scale="56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1 smL'!H26:H26</xm:f>
              <xm:sqref>H28</xm:sqref>
            </x14:sparkline>
            <x14:sparkline>
              <xm:f>'Sz 1 smL'!I26:I26</xm:f>
              <xm:sqref>I28</xm:sqref>
            </x14:sparkline>
            <x14:sparkline>
              <xm:f>'Sz 1 smL'!J26:J26</xm:f>
              <xm:sqref>J28</xm:sqref>
            </x14:sparkline>
            <x14:sparkline>
              <xm:f>'Sz 1 smL'!K26:K26</xm:f>
              <xm:sqref>K28</xm:sqref>
            </x14:sparkline>
            <x14:sparkline>
              <xm:f>'Sz 1 smL'!N26:N26</xm:f>
              <xm:sqref>L28</xm:sqref>
            </x14:sparkline>
            <x14:sparkline>
              <xm:f>'Sz 1 smL'!O26:O26</xm:f>
              <xm:sqref>M28</xm:sqref>
            </x14:sparkline>
            <x14:sparkline>
              <xm:f>'Sz 1 smL'!P26:P26</xm:f>
              <xm:sqref>N28</xm:sqref>
            </x14:sparkline>
            <x14:sparkline>
              <xm:f>'Sz 1 smL'!Q26:Q26</xm:f>
              <xm:sqref>O28</xm:sqref>
            </x14:sparkline>
            <x14:sparkline>
              <xm:f>'Sz 1 smL'!T26:T26</xm:f>
              <xm:sqref>P28</xm:sqref>
            </x14:sparkline>
            <x14:sparkline>
              <xm:f>'Sz 1 smL'!U26:U26</xm:f>
              <xm:sqref>Q28</xm:sqref>
            </x14:sparkline>
            <x14:sparkline>
              <xm:f>'Sz 1 smL'!V26:V26</xm:f>
              <xm:sqref>R28</xm:sqref>
            </x14:sparkline>
            <x14:sparkline>
              <xm:f>'Sz 1 smL'!W26:W26</xm:f>
              <xm:sqref>S28</xm:sqref>
            </x14:sparkline>
            <x14:sparkline>
              <xm:f>'Sz 1 smL'!X26:X26</xm:f>
              <xm:sqref>T28</xm:sqref>
            </x14:sparkline>
            <x14:sparkline>
              <xm:sqref>U28</xm:sqref>
            </x14:sparkline>
            <x14:sparkline>
              <xm:f>'Sz 1 smL'!Y26:Y26</xm:f>
              <xm:sqref>V28</xm:sqref>
            </x14:sparkline>
            <x14:sparkline>
              <xm:f>'Sz 1 smL'!AB26:AB26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1 smL'!H9:H9</xm:f>
              <xm:sqref>H11</xm:sqref>
            </x14:sparkline>
            <x14:sparkline>
              <xm:f>'Sz 1 smL'!I9:I9</xm:f>
              <xm:sqref>I11</xm:sqref>
            </x14:sparkline>
            <x14:sparkline>
              <xm:f>'Sz 1 smL'!J9:J9</xm:f>
              <xm:sqref>J11</xm:sqref>
            </x14:sparkline>
            <x14:sparkline>
              <xm:f>'Sz 1 smL'!K9:K9</xm:f>
              <xm:sqref>K11</xm:sqref>
            </x14:sparkline>
            <x14:sparkline>
              <xm:f>'Sz 1 smL'!L9:L9</xm:f>
              <xm:sqref>L11</xm:sqref>
            </x14:sparkline>
            <x14:sparkline>
              <xm:f>'Sz 1 smL'!M9:M9</xm:f>
              <xm:sqref>M11</xm:sqref>
            </x14:sparkline>
            <x14:sparkline>
              <xm:f>'Sz 1 smL'!N9:N9</xm:f>
              <xm:sqref>N11</xm:sqref>
            </x14:sparkline>
            <x14:sparkline>
              <xm:f>'Sz 1 smL'!O9:O9</xm:f>
              <xm:sqref>O11</xm:sqref>
            </x14:sparkline>
            <x14:sparkline>
              <xm:f>'Sz 1 smL'!R9:R9</xm:f>
              <xm:sqref>P11</xm:sqref>
            </x14:sparkline>
            <x14:sparkline>
              <xm:f>'Sz 1 smL'!S9:S9</xm:f>
              <xm:sqref>Q11</xm:sqref>
            </x14:sparkline>
            <x14:sparkline>
              <xm:f>'Sz 1 smL'!T9:T9</xm:f>
              <xm:sqref>R11</xm:sqref>
            </x14:sparkline>
            <x14:sparkline>
              <xm:sqref>S11</xm:sqref>
            </x14:sparkline>
            <x14:sparkline>
              <xm:sqref>T11</xm:sqref>
            </x14:sparkline>
            <x14:sparkline>
              <xm:f>'Sz 1 smL'!U9:U9</xm:f>
              <xm:sqref>U11</xm:sqref>
            </x14:sparkline>
            <x14:sparkline>
              <xm:f>'Sz 1 smL'!W9:W9</xm:f>
              <xm:sqref>W11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8.7109375" style="10" customWidth="1"/>
    <col min="2" max="2" width="2.85546875" style="19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6.42578125" style="10" customWidth="1"/>
    <col min="8" max="8" width="13.5703125" style="10" bestFit="1" customWidth="1"/>
    <col min="9" max="9" width="11.7109375" style="10" customWidth="1"/>
    <col min="10" max="10" width="9.140625" style="19" bestFit="1" customWidth="1"/>
    <col min="11" max="11" width="10.7109375" style="10" customWidth="1"/>
    <col min="12" max="12" width="2" style="10" customWidth="1"/>
    <col min="13" max="13" width="11.42578125" style="10"/>
    <col min="14" max="14" width="14.42578125" style="10" customWidth="1"/>
    <col min="15" max="16384" width="11.42578125" style="10"/>
  </cols>
  <sheetData>
    <row r="1" spans="1:18" ht="15.75" x14ac:dyDescent="0.25">
      <c r="A1" s="7" t="s">
        <v>77</v>
      </c>
      <c r="B1" s="25"/>
      <c r="J1" s="17"/>
      <c r="M1" s="17" t="str">
        <f>generell!X1</f>
        <v>Stand:</v>
      </c>
      <c r="N1" s="17">
        <f>generell!Y1</f>
        <v>44012.444444444445</v>
      </c>
    </row>
    <row r="2" spans="1:18" x14ac:dyDescent="0.25">
      <c r="M2" s="17" t="str">
        <f>generell!X2</f>
        <v>Korrekturen:</v>
      </c>
      <c r="N2" s="17">
        <f>generell!Y2</f>
        <v>44066.90625</v>
      </c>
    </row>
    <row r="3" spans="1:18" x14ac:dyDescent="0.25">
      <c r="A3" s="6" t="s">
        <v>65</v>
      </c>
      <c r="B3" s="26"/>
      <c r="C3" s="10" t="s">
        <v>148</v>
      </c>
    </row>
    <row r="4" spans="1:18" x14ac:dyDescent="0.25">
      <c r="C4" s="10" t="s">
        <v>252</v>
      </c>
    </row>
    <row r="5" spans="1:18" x14ac:dyDescent="0.25">
      <c r="C5" s="10" t="s">
        <v>253</v>
      </c>
    </row>
    <row r="7" spans="1:18" x14ac:dyDescent="0.25">
      <c r="A7" s="6" t="s">
        <v>66</v>
      </c>
      <c r="B7" s="26" t="s">
        <v>75</v>
      </c>
      <c r="C7" s="26" t="s">
        <v>113</v>
      </c>
      <c r="D7" s="26" t="s">
        <v>263</v>
      </c>
      <c r="E7" s="26" t="s">
        <v>114</v>
      </c>
      <c r="F7" s="26" t="s">
        <v>261</v>
      </c>
      <c r="G7" s="26" t="s">
        <v>115</v>
      </c>
      <c r="H7" s="26" t="s">
        <v>116</v>
      </c>
      <c r="I7" s="26" t="s">
        <v>117</v>
      </c>
      <c r="J7" s="26" t="s">
        <v>264</v>
      </c>
      <c r="K7" s="26" t="s">
        <v>262</v>
      </c>
    </row>
    <row r="8" spans="1:18" x14ac:dyDescent="0.25">
      <c r="B8" s="27">
        <v>1</v>
      </c>
      <c r="C8" s="61" t="s">
        <v>78</v>
      </c>
      <c r="D8" s="61" t="s">
        <v>265</v>
      </c>
      <c r="E8" s="61" t="s">
        <v>109</v>
      </c>
      <c r="F8" s="61" t="s">
        <v>24</v>
      </c>
      <c r="G8" s="61" t="s">
        <v>315</v>
      </c>
      <c r="H8" s="62">
        <f>_31C2</f>
        <v>2.2729999999999886</v>
      </c>
      <c r="I8" s="61" t="s">
        <v>111</v>
      </c>
      <c r="J8" s="61" t="s">
        <v>120</v>
      </c>
      <c r="K8" s="61" t="s">
        <v>86</v>
      </c>
    </row>
    <row r="9" spans="1:18" x14ac:dyDescent="0.25">
      <c r="A9" s="6"/>
      <c r="B9" s="27">
        <v>2</v>
      </c>
      <c r="C9" s="66" t="s">
        <v>246</v>
      </c>
      <c r="D9" s="66" t="s">
        <v>120</v>
      </c>
      <c r="E9" s="66" t="s">
        <v>110</v>
      </c>
      <c r="F9" s="66" t="s">
        <v>80</v>
      </c>
      <c r="G9" s="66" t="s">
        <v>108</v>
      </c>
      <c r="H9" s="67">
        <f>_33Y</f>
        <v>29.088000000000001</v>
      </c>
      <c r="I9" s="66" t="s">
        <v>112</v>
      </c>
      <c r="J9" s="66" t="s">
        <v>120</v>
      </c>
      <c r="K9" s="66" t="s">
        <v>79</v>
      </c>
    </row>
    <row r="11" spans="1:18" ht="30" customHeight="1" x14ac:dyDescent="0.25">
      <c r="A11" s="6" t="s">
        <v>67</v>
      </c>
      <c r="C11" s="26" t="s">
        <v>237</v>
      </c>
      <c r="D11" s="104" t="s">
        <v>259</v>
      </c>
      <c r="E11" s="26" t="s">
        <v>238</v>
      </c>
      <c r="F11" s="104" t="s">
        <v>273</v>
      </c>
      <c r="G11" s="26" t="s">
        <v>239</v>
      </c>
      <c r="H11" s="104" t="s">
        <v>240</v>
      </c>
      <c r="I11" s="104" t="s">
        <v>243</v>
      </c>
      <c r="J11" s="104" t="s">
        <v>241</v>
      </c>
      <c r="K11" s="104" t="s">
        <v>242</v>
      </c>
      <c r="M11" s="128" t="s">
        <v>288</v>
      </c>
      <c r="N11" s="128"/>
      <c r="O11" s="128"/>
      <c r="P11" s="128"/>
      <c r="Q11" s="128"/>
      <c r="R11" s="128"/>
    </row>
    <row r="12" spans="1:18" x14ac:dyDescent="0.25">
      <c r="B12" s="103" t="s">
        <v>75</v>
      </c>
      <c r="C12" s="61">
        <v>1</v>
      </c>
      <c r="D12" s="61">
        <v>4090</v>
      </c>
      <c r="E12" s="61">
        <f>D12</f>
        <v>4090</v>
      </c>
      <c r="F12" s="61" t="s">
        <v>78</v>
      </c>
      <c r="G12" s="61">
        <v>1</v>
      </c>
      <c r="H12" s="61">
        <v>4731</v>
      </c>
      <c r="I12" s="61" t="s">
        <v>82</v>
      </c>
      <c r="J12" s="64" t="s">
        <v>70</v>
      </c>
      <c r="K12" s="65">
        <v>0</v>
      </c>
      <c r="L12" s="19"/>
      <c r="M12" s="36" t="s">
        <v>282</v>
      </c>
      <c r="N12" s="114"/>
      <c r="O12" s="114"/>
    </row>
    <row r="13" spans="1:18" x14ac:dyDescent="0.25">
      <c r="B13" s="103" t="s">
        <v>75</v>
      </c>
      <c r="C13" s="66">
        <v>2</v>
      </c>
      <c r="D13" s="66">
        <v>292</v>
      </c>
      <c r="E13" s="66">
        <f>D13</f>
        <v>292</v>
      </c>
      <c r="F13" s="66" t="s">
        <v>246</v>
      </c>
      <c r="G13" s="66">
        <v>1</v>
      </c>
      <c r="H13" s="66">
        <v>13736</v>
      </c>
      <c r="I13" s="66" t="s">
        <v>300</v>
      </c>
      <c r="J13" s="68" t="s">
        <v>85</v>
      </c>
      <c r="K13" s="69">
        <v>0</v>
      </c>
      <c r="L13" s="19"/>
      <c r="M13" s="16" t="s">
        <v>82</v>
      </c>
      <c r="N13" s="19" t="s">
        <v>84</v>
      </c>
      <c r="O13" s="16" t="s">
        <v>83</v>
      </c>
    </row>
    <row r="14" spans="1:18" x14ac:dyDescent="0.25">
      <c r="C14" s="3"/>
      <c r="D14" s="19"/>
      <c r="E14" s="19"/>
      <c r="F14" s="16"/>
      <c r="G14" s="16"/>
      <c r="H14" s="19"/>
      <c r="I14" s="28"/>
      <c r="K14" s="16"/>
      <c r="L14" s="19"/>
      <c r="M14" s="16"/>
    </row>
    <row r="15" spans="1:18" x14ac:dyDescent="0.25">
      <c r="A15" s="6" t="s">
        <v>153</v>
      </c>
      <c r="C15" s="29"/>
      <c r="D15" s="19"/>
      <c r="E15" s="19"/>
      <c r="F15" s="16"/>
      <c r="G15" s="16"/>
      <c r="H15" s="19"/>
      <c r="I15" s="28"/>
      <c r="K15" s="16"/>
      <c r="L15" s="19"/>
      <c r="M15" s="16"/>
    </row>
    <row r="16" spans="1:18" ht="6" customHeight="1" x14ac:dyDescent="0.25">
      <c r="C16" s="19" t="s">
        <v>132</v>
      </c>
    </row>
    <row r="17" spans="1:13" x14ac:dyDescent="0.25">
      <c r="A17" s="1" t="s">
        <v>134</v>
      </c>
      <c r="B17" s="19">
        <v>1</v>
      </c>
      <c r="C17" s="63" t="s">
        <v>318</v>
      </c>
      <c r="D17" s="61"/>
      <c r="E17" s="61"/>
      <c r="F17" s="61"/>
      <c r="G17" s="61"/>
      <c r="H17" s="19"/>
      <c r="I17" s="28"/>
      <c r="K17" s="16"/>
      <c r="L17" s="19"/>
      <c r="M17" s="16"/>
    </row>
    <row r="18" spans="1:13" x14ac:dyDescent="0.25">
      <c r="A18" s="1" t="s">
        <v>135</v>
      </c>
      <c r="B18" s="31">
        <v>1</v>
      </c>
      <c r="C18" s="63" t="s">
        <v>319</v>
      </c>
      <c r="D18" s="61"/>
      <c r="E18" s="61"/>
      <c r="F18" s="61"/>
      <c r="G18" s="61"/>
      <c r="H18" s="19"/>
      <c r="I18" s="28"/>
      <c r="K18" s="16"/>
      <c r="L18" s="19"/>
      <c r="M18" s="16"/>
    </row>
    <row r="19" spans="1:13" ht="6" customHeight="1" x14ac:dyDescent="0.25">
      <c r="B19" s="10"/>
      <c r="J19" s="31"/>
    </row>
    <row r="20" spans="1:13" x14ac:dyDescent="0.25">
      <c r="A20" s="1" t="s">
        <v>134</v>
      </c>
      <c r="B20" s="31">
        <v>2</v>
      </c>
      <c r="C20" s="70" t="s">
        <v>354</v>
      </c>
      <c r="D20" s="66"/>
      <c r="E20" s="66"/>
      <c r="F20" s="66"/>
      <c r="G20" s="66"/>
      <c r="H20" s="31"/>
      <c r="I20" s="28"/>
      <c r="J20" s="31"/>
      <c r="K20" s="16"/>
      <c r="L20" s="31"/>
      <c r="M20" s="29" t="s">
        <v>314</v>
      </c>
    </row>
    <row r="21" spans="1:13" x14ac:dyDescent="0.25">
      <c r="A21" s="1" t="s">
        <v>135</v>
      </c>
      <c r="B21" s="31">
        <v>2</v>
      </c>
      <c r="C21" s="70" t="s">
        <v>304</v>
      </c>
      <c r="D21" s="66"/>
      <c r="E21" s="66"/>
      <c r="F21" s="66"/>
      <c r="G21" s="66"/>
      <c r="H21" s="31"/>
      <c r="I21" s="28"/>
      <c r="J21" s="31"/>
      <c r="K21" s="16"/>
      <c r="L21" s="31"/>
      <c r="M21" s="29" t="s">
        <v>355</v>
      </c>
    </row>
  </sheetData>
  <mergeCells count="1">
    <mergeCell ref="M11:R11"/>
  </mergeCells>
  <pageMargins left="0.7" right="0.7" top="0.78740157499999996" bottom="0.78740157499999996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zoomScale="85" zoomScaleNormal="85" workbookViewId="0">
      <selection activeCell="L40" sqref="L40"/>
    </sheetView>
  </sheetViews>
  <sheetFormatPr baseColWidth="10" defaultRowHeight="15" x14ac:dyDescent="0.25"/>
  <cols>
    <col min="1" max="1" width="3.85546875" style="31" customWidth="1"/>
    <col min="2" max="2" width="9.140625" style="10" customWidth="1"/>
    <col min="3" max="3" width="4.5703125" style="31" bestFit="1" customWidth="1"/>
    <col min="4" max="4" width="12.7109375" style="10" customWidth="1"/>
    <col min="5" max="5" width="10.7109375" style="10" customWidth="1"/>
    <col min="6" max="6" width="10.7109375" style="31" customWidth="1"/>
    <col min="7" max="7" width="10" style="10" customWidth="1"/>
    <col min="8" max="11" width="6.7109375" style="10" customWidth="1"/>
    <col min="12" max="15" width="6.7109375" style="31" customWidth="1"/>
    <col min="16" max="24" width="6.7109375" style="10" customWidth="1"/>
    <col min="25" max="25" width="3.42578125" style="10" customWidth="1"/>
    <col min="26" max="26" width="9.5703125" style="10" bestFit="1" customWidth="1"/>
    <col min="27" max="28" width="10.7109375" style="10" customWidth="1"/>
    <col min="29" max="16384" width="11.42578125" style="10"/>
  </cols>
  <sheetData>
    <row r="1" spans="1:26" ht="15.75" x14ac:dyDescent="0.25">
      <c r="A1" s="7" t="str">
        <f>'Sz 2'!A1</f>
        <v>Szenario 2: Flexible D-Weg-Längen</v>
      </c>
      <c r="C1" s="25"/>
      <c r="H1" s="13"/>
      <c r="I1" s="125"/>
      <c r="J1" s="125"/>
      <c r="K1" s="125"/>
      <c r="L1" s="17"/>
      <c r="M1" s="17"/>
    </row>
    <row r="2" spans="1:26" ht="6" customHeight="1" x14ac:dyDescent="0.25"/>
    <row r="3" spans="1:26" s="6" customFormat="1" x14ac:dyDescent="0.25">
      <c r="A3" s="26" t="s">
        <v>72</v>
      </c>
      <c r="B3" s="26" t="s">
        <v>161</v>
      </c>
      <c r="C3" s="26" t="s">
        <v>76</v>
      </c>
      <c r="D3" s="26" t="s">
        <v>71</v>
      </c>
      <c r="E3" s="26" t="s">
        <v>73</v>
      </c>
      <c r="F3" s="26" t="s">
        <v>247</v>
      </c>
      <c r="G3" s="26" t="s">
        <v>74</v>
      </c>
      <c r="H3" s="6" t="s">
        <v>293</v>
      </c>
      <c r="L3" s="26"/>
      <c r="M3" s="26"/>
      <c r="N3" s="26"/>
      <c r="O3" s="26"/>
      <c r="Z3" s="6" t="s">
        <v>283</v>
      </c>
    </row>
    <row r="4" spans="1:26" ht="6" customHeight="1" x14ac:dyDescent="0.25"/>
    <row r="5" spans="1:26" s="39" customFormat="1" ht="15" customHeight="1" x14ac:dyDescent="0.25">
      <c r="A5" s="54">
        <v>1</v>
      </c>
      <c r="B5" s="54" t="s">
        <v>78</v>
      </c>
      <c r="C5" s="54">
        <v>1</v>
      </c>
      <c r="D5" s="55">
        <v>0</v>
      </c>
      <c r="E5" s="54" t="s">
        <v>86</v>
      </c>
      <c r="F5" s="54" t="str">
        <f>N22</f>
        <v>W35S+105</v>
      </c>
      <c r="G5" s="129" t="s">
        <v>168</v>
      </c>
      <c r="H5" s="54" t="s">
        <v>24</v>
      </c>
      <c r="I5" s="54"/>
      <c r="J5" s="54" t="s">
        <v>136</v>
      </c>
      <c r="K5" s="54"/>
      <c r="L5" s="54" t="s">
        <v>137</v>
      </c>
      <c r="M5" s="54"/>
      <c r="N5" s="54" t="s">
        <v>351</v>
      </c>
      <c r="O5" s="54" t="s">
        <v>167</v>
      </c>
      <c r="P5" s="54" t="str">
        <f>N5</f>
        <v>W13 L</v>
      </c>
      <c r="Q5" s="54"/>
      <c r="R5" s="54" t="s">
        <v>140</v>
      </c>
      <c r="S5" s="54"/>
      <c r="T5" s="54" t="s">
        <v>349</v>
      </c>
      <c r="U5" s="54"/>
      <c r="V5" s="54" t="s">
        <v>350</v>
      </c>
      <c r="W5" s="54"/>
      <c r="X5" s="54" t="s">
        <v>86</v>
      </c>
      <c r="Z5" s="39" t="s">
        <v>284</v>
      </c>
    </row>
    <row r="6" spans="1:26" s="39" customFormat="1" x14ac:dyDescent="0.25">
      <c r="A6" s="47"/>
      <c r="B6" s="47"/>
      <c r="C6" s="47"/>
      <c r="D6" s="47"/>
      <c r="E6" s="47">
        <f>X6</f>
        <v>28.718</v>
      </c>
      <c r="F6" s="48">
        <f>N23</f>
        <v>28.956</v>
      </c>
      <c r="G6" s="129"/>
      <c r="H6" s="48">
        <v>2.3519999999999999</v>
      </c>
      <c r="I6" s="48"/>
      <c r="J6" s="48">
        <v>1.3859999999999999</v>
      </c>
      <c r="K6" s="48"/>
      <c r="L6" s="48">
        <v>0.57999999999999996</v>
      </c>
      <c r="M6" s="48"/>
      <c r="N6" s="48">
        <v>0.49399999999999999</v>
      </c>
      <c r="O6" s="48" t="s">
        <v>167</v>
      </c>
      <c r="P6" s="48">
        <v>28.007000000000001</v>
      </c>
      <c r="Q6" s="48"/>
      <c r="R6" s="48">
        <v>28.143000000000001</v>
      </c>
      <c r="S6" s="48"/>
      <c r="T6" s="48">
        <v>28.143000000000001</v>
      </c>
      <c r="U6" s="48"/>
      <c r="V6" s="48">
        <v>28.213999999999999</v>
      </c>
      <c r="W6" s="48"/>
      <c r="X6" s="48">
        <v>28.718</v>
      </c>
      <c r="Z6" s="39" t="s">
        <v>285</v>
      </c>
    </row>
    <row r="7" spans="1:26" s="39" customFormat="1" x14ac:dyDescent="0.25">
      <c r="A7" s="37"/>
      <c r="C7" s="37"/>
      <c r="E7" s="122"/>
      <c r="F7" s="109">
        <f>ABS((F6-E6)*1000)</f>
        <v>237.99999999999955</v>
      </c>
      <c r="G7" s="37"/>
      <c r="H7" s="109">
        <v>0</v>
      </c>
      <c r="I7" s="109">
        <f>J7</f>
        <v>966</v>
      </c>
      <c r="J7" s="109">
        <f>H7+ABS((J6-H6)*1000)</f>
        <v>966</v>
      </c>
      <c r="K7" s="109">
        <f>L7</f>
        <v>1772</v>
      </c>
      <c r="L7" s="109">
        <f t="shared" ref="L7:X7" si="0">J7+ABS((L6-J6)*1000)</f>
        <v>1772</v>
      </c>
      <c r="M7" s="109">
        <f>N7</f>
        <v>1858</v>
      </c>
      <c r="N7" s="109">
        <f t="shared" si="0"/>
        <v>1858</v>
      </c>
      <c r="O7" s="109">
        <f>P7</f>
        <v>1858</v>
      </c>
      <c r="P7" s="113">
        <f>N7</f>
        <v>1858</v>
      </c>
      <c r="Q7" s="109">
        <f>R7</f>
        <v>1993.9999999999993</v>
      </c>
      <c r="R7" s="109">
        <f t="shared" si="0"/>
        <v>1993.9999999999993</v>
      </c>
      <c r="S7" s="109">
        <f>T7</f>
        <v>1993.9999999999993</v>
      </c>
      <c r="T7" s="109">
        <f t="shared" si="0"/>
        <v>1993.9999999999993</v>
      </c>
      <c r="U7" s="109">
        <f>V7</f>
        <v>2064.9999999999973</v>
      </c>
      <c r="V7" s="109">
        <f t="shared" si="0"/>
        <v>2064.9999999999973</v>
      </c>
      <c r="W7" s="109">
        <f>X7</f>
        <v>2568.9999999999986</v>
      </c>
      <c r="X7" s="109">
        <f t="shared" si="0"/>
        <v>2568.9999999999986</v>
      </c>
    </row>
    <row r="8" spans="1:26" s="39" customFormat="1" x14ac:dyDescent="0.25">
      <c r="A8" s="37"/>
      <c r="C8" s="37"/>
      <c r="G8" s="37"/>
      <c r="H8" s="110">
        <f>H7</f>
        <v>0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>
        <f>W7-H7</f>
        <v>2568.9999999999986</v>
      </c>
      <c r="X8" s="110"/>
      <c r="Z8" s="110">
        <f>SUM(H8:X8)</f>
        <v>2568.9999999999986</v>
      </c>
    </row>
    <row r="9" spans="1:26" s="39" customFormat="1" ht="15.75" x14ac:dyDescent="0.25">
      <c r="A9" s="71" t="s">
        <v>170</v>
      </c>
      <c r="F9" s="37"/>
      <c r="G9" s="37"/>
      <c r="H9" s="52">
        <v>160</v>
      </c>
      <c r="I9" s="52">
        <f>H9</f>
        <v>160</v>
      </c>
      <c r="J9" s="52">
        <v>160</v>
      </c>
      <c r="K9" s="52">
        <f>J9</f>
        <v>160</v>
      </c>
      <c r="L9" s="52">
        <v>160</v>
      </c>
      <c r="M9" s="52">
        <f>L9</f>
        <v>160</v>
      </c>
      <c r="N9" s="52">
        <v>160</v>
      </c>
      <c r="O9" s="52">
        <f>N9</f>
        <v>160</v>
      </c>
      <c r="P9" s="52">
        <v>160</v>
      </c>
      <c r="Q9" s="52">
        <f>P9</f>
        <v>160</v>
      </c>
      <c r="R9" s="52">
        <v>160</v>
      </c>
      <c r="S9" s="52">
        <f>R9</f>
        <v>160</v>
      </c>
      <c r="T9" s="52">
        <v>160</v>
      </c>
      <c r="U9" s="52">
        <f>T9</f>
        <v>160</v>
      </c>
      <c r="V9" s="52">
        <v>160</v>
      </c>
      <c r="W9" s="52">
        <f>V9</f>
        <v>160</v>
      </c>
      <c r="X9" s="52">
        <v>0</v>
      </c>
    </row>
    <row r="10" spans="1:26" s="39" customFormat="1" x14ac:dyDescent="0.25">
      <c r="A10" s="37"/>
      <c r="F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6" s="39" customFormat="1" x14ac:dyDescent="0.25">
      <c r="A11" s="37"/>
      <c r="F11" s="37"/>
    </row>
    <row r="12" spans="1:26" s="39" customFormat="1" x14ac:dyDescent="0.25">
      <c r="A12" s="37"/>
      <c r="F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6" s="39" customFormat="1" x14ac:dyDescent="0.25">
      <c r="A13" s="37"/>
      <c r="F13" s="37"/>
    </row>
    <row r="14" spans="1:26" s="39" customFormat="1" x14ac:dyDescent="0.25">
      <c r="A14" s="37"/>
      <c r="C14" s="37"/>
      <c r="F14" s="32"/>
      <c r="L14" s="37"/>
      <c r="M14" s="37"/>
      <c r="N14" s="37"/>
      <c r="O14" s="37"/>
    </row>
    <row r="15" spans="1:26" s="39" customFormat="1" x14ac:dyDescent="0.25">
      <c r="A15" s="37"/>
      <c r="C15" s="37"/>
      <c r="D15" s="38"/>
      <c r="E15" s="37"/>
      <c r="F15" s="32"/>
      <c r="G15" s="37"/>
      <c r="H15" s="37"/>
      <c r="I15" s="37"/>
      <c r="J15" s="37"/>
      <c r="K15" s="37"/>
      <c r="L15" s="37"/>
      <c r="M15" s="37"/>
      <c r="N15" s="37"/>
      <c r="O15" s="37"/>
    </row>
    <row r="16" spans="1:26" s="39" customFormat="1" x14ac:dyDescent="0.25">
      <c r="A16" s="37"/>
      <c r="C16" s="37"/>
      <c r="D16" s="32"/>
      <c r="E16" s="37"/>
      <c r="F16" s="32"/>
      <c r="G16" s="37"/>
      <c r="H16" s="37"/>
      <c r="I16" s="37"/>
      <c r="J16" s="37"/>
      <c r="K16" s="37"/>
      <c r="L16" s="37"/>
      <c r="M16" s="37"/>
      <c r="N16" s="37"/>
      <c r="O16" s="37"/>
    </row>
    <row r="17" spans="1:26" s="39" customFormat="1" x14ac:dyDescent="0.25">
      <c r="A17" s="37"/>
      <c r="C17" s="37"/>
      <c r="D17" s="37"/>
      <c r="E17" s="37"/>
      <c r="F17" s="32"/>
      <c r="G17" s="37"/>
      <c r="H17" s="37"/>
      <c r="I17" s="37"/>
      <c r="J17" s="37"/>
      <c r="K17" s="37"/>
      <c r="L17" s="37"/>
      <c r="M17" s="37"/>
      <c r="N17" s="37"/>
      <c r="O17" s="37"/>
    </row>
    <row r="18" spans="1:26" s="39" customFormat="1" x14ac:dyDescent="0.25">
      <c r="A18" s="37"/>
      <c r="C18" s="37"/>
      <c r="D18" s="37"/>
      <c r="E18" s="37"/>
      <c r="F18" s="32"/>
      <c r="G18" s="37"/>
      <c r="H18" s="37"/>
      <c r="I18" s="37"/>
      <c r="J18" s="37"/>
      <c r="K18" s="37"/>
      <c r="L18" s="37"/>
      <c r="M18" s="37"/>
      <c r="N18" s="37"/>
      <c r="O18" s="37"/>
    </row>
    <row r="19" spans="1:26" s="39" customFormat="1" x14ac:dyDescent="0.25">
      <c r="C19" s="37"/>
      <c r="F19" s="37"/>
      <c r="L19" s="37"/>
      <c r="M19" s="37"/>
      <c r="N19" s="37"/>
      <c r="O19" s="37"/>
    </row>
    <row r="20" spans="1:26" s="39" customFormat="1" x14ac:dyDescent="0.25">
      <c r="A20" s="37"/>
      <c r="C20" s="37"/>
      <c r="D20" s="38"/>
      <c r="E20" s="37"/>
      <c r="F20" s="32"/>
      <c r="G20" s="37"/>
      <c r="H20" s="32"/>
      <c r="I20" s="32"/>
      <c r="J20" s="37"/>
      <c r="K20" s="37"/>
      <c r="L20" s="37"/>
      <c r="M20" s="37"/>
      <c r="N20" s="37"/>
      <c r="O20" s="37"/>
    </row>
    <row r="21" spans="1:26" s="39" customFormat="1" ht="6" customHeight="1" x14ac:dyDescent="0.25">
      <c r="A21" s="42"/>
      <c r="B21" s="43"/>
      <c r="C21" s="42"/>
      <c r="D21" s="42"/>
      <c r="E21" s="42"/>
      <c r="F21" s="44"/>
      <c r="G21" s="42"/>
      <c r="H21" s="43"/>
      <c r="I21" s="43"/>
      <c r="J21" s="43"/>
      <c r="K21" s="43"/>
      <c r="L21" s="43"/>
      <c r="M21" s="45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6"/>
    </row>
    <row r="22" spans="1:26" s="39" customFormat="1" ht="15" customHeight="1" x14ac:dyDescent="0.25">
      <c r="A22" s="53">
        <v>2</v>
      </c>
      <c r="B22" s="53" t="s">
        <v>246</v>
      </c>
      <c r="C22" s="53">
        <v>1</v>
      </c>
      <c r="D22" s="57" t="s">
        <v>169</v>
      </c>
      <c r="E22" s="57" t="str">
        <f>N22</f>
        <v>W35S+105</v>
      </c>
      <c r="F22" s="57" t="str">
        <f>F5</f>
        <v>W35S+105</v>
      </c>
      <c r="G22" s="58"/>
      <c r="H22" s="59" t="s">
        <v>80</v>
      </c>
      <c r="I22" s="59"/>
      <c r="J22" s="53" t="s">
        <v>141</v>
      </c>
      <c r="K22" s="53"/>
      <c r="L22" s="53" t="s">
        <v>348</v>
      </c>
      <c r="M22" s="53"/>
      <c r="N22" s="53" t="s">
        <v>352</v>
      </c>
      <c r="Q22" s="37"/>
      <c r="T22" s="41"/>
    </row>
    <row r="23" spans="1:26" s="39" customFormat="1" x14ac:dyDescent="0.25">
      <c r="A23" s="49"/>
      <c r="B23" s="50"/>
      <c r="C23" s="50"/>
      <c r="D23" s="56"/>
      <c r="E23" s="51">
        <f>N23</f>
        <v>28.956</v>
      </c>
      <c r="F23" s="51">
        <f>F6</f>
        <v>28.956</v>
      </c>
      <c r="G23" s="50"/>
      <c r="H23" s="51">
        <f>_33Y</f>
        <v>29.088000000000001</v>
      </c>
      <c r="I23" s="51"/>
      <c r="J23" s="51">
        <v>29.023</v>
      </c>
      <c r="K23" s="51"/>
      <c r="L23" s="51">
        <v>28.989000000000001</v>
      </c>
      <c r="M23" s="51"/>
      <c r="N23" s="51">
        <f>28.851 + 105/1000</f>
        <v>28.956</v>
      </c>
      <c r="Q23" s="37"/>
    </row>
    <row r="24" spans="1:26" s="39" customFormat="1" x14ac:dyDescent="0.25">
      <c r="A24" s="37"/>
      <c r="C24" s="37"/>
      <c r="D24" s="37"/>
      <c r="E24" s="122"/>
      <c r="F24" s="109">
        <f>ABS((F23-E23)*1000)</f>
        <v>0</v>
      </c>
      <c r="G24" s="37"/>
      <c r="H24" s="109">
        <v>0</v>
      </c>
      <c r="I24" s="109">
        <f>J24</f>
        <v>65.000000000001279</v>
      </c>
      <c r="J24" s="109">
        <f>H24+ABS((J23-H23)*1000)</f>
        <v>65.000000000001279</v>
      </c>
      <c r="K24" s="109">
        <f>L24</f>
        <v>99.000000000000199</v>
      </c>
      <c r="L24" s="109">
        <f>J24+ABS((L23-J23)*1000)</f>
        <v>99.000000000000199</v>
      </c>
      <c r="M24" s="109">
        <f>N24</f>
        <v>132.00000000000145</v>
      </c>
      <c r="N24" s="109">
        <f>L24+ABS((N23-L23)*1000)</f>
        <v>132.00000000000145</v>
      </c>
      <c r="O24" s="40"/>
      <c r="P24" s="37"/>
      <c r="Q24" s="37"/>
    </row>
    <row r="25" spans="1:26" s="39" customFormat="1" x14ac:dyDescent="0.25">
      <c r="A25" s="37"/>
      <c r="C25" s="37"/>
      <c r="D25" s="37"/>
      <c r="E25" s="37"/>
      <c r="G25" s="37"/>
      <c r="H25" s="110">
        <f>H24</f>
        <v>0</v>
      </c>
      <c r="I25" s="110">
        <f>I24-H24</f>
        <v>65.000000000001279</v>
      </c>
      <c r="J25" s="110"/>
      <c r="K25" s="110">
        <f>K24-J24</f>
        <v>33.99999999999892</v>
      </c>
      <c r="L25" s="110"/>
      <c r="M25" s="110">
        <f>M24-L24</f>
        <v>33.000000000001251</v>
      </c>
      <c r="N25" s="110"/>
      <c r="O25" s="40"/>
      <c r="P25" s="37"/>
      <c r="Q25" s="37"/>
      <c r="Z25" s="110">
        <f>SUM(H25:N25)</f>
        <v>132.00000000000145</v>
      </c>
    </row>
    <row r="26" spans="1:26" s="39" customFormat="1" x14ac:dyDescent="0.25">
      <c r="A26" s="37"/>
      <c r="C26" s="37"/>
      <c r="D26" s="37"/>
      <c r="E26" s="37"/>
      <c r="F26" s="32"/>
      <c r="G26" s="37"/>
      <c r="H26" s="52">
        <v>160</v>
      </c>
      <c r="I26" s="52">
        <f>H26</f>
        <v>160</v>
      </c>
      <c r="J26" s="52">
        <v>60</v>
      </c>
      <c r="K26" s="52">
        <f>J26</f>
        <v>60</v>
      </c>
      <c r="L26" s="52">
        <v>160</v>
      </c>
      <c r="M26" s="52">
        <v>160</v>
      </c>
      <c r="N26" s="52">
        <v>0</v>
      </c>
      <c r="O26" s="40"/>
    </row>
    <row r="27" spans="1:26" s="39" customFormat="1" x14ac:dyDescent="0.25">
      <c r="A27" s="37"/>
      <c r="F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6" s="39" customFormat="1" x14ac:dyDescent="0.25">
      <c r="A28" s="37"/>
      <c r="F28" s="37"/>
    </row>
    <row r="29" spans="1:26" s="39" customFormat="1" x14ac:dyDescent="0.25">
      <c r="A29" s="37"/>
      <c r="F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6" s="39" customFormat="1" x14ac:dyDescent="0.25">
      <c r="A30" s="37"/>
      <c r="F30" s="37"/>
    </row>
    <row r="31" spans="1:26" s="39" customFormat="1" x14ac:dyDescent="0.25">
      <c r="A31" s="37"/>
      <c r="C31" s="37"/>
      <c r="F31" s="32"/>
      <c r="L31" s="37"/>
      <c r="M31" s="37"/>
      <c r="N31" s="37"/>
      <c r="O31" s="37"/>
    </row>
    <row r="32" spans="1:26" s="39" customFormat="1" x14ac:dyDescent="0.25">
      <c r="A32" s="37"/>
      <c r="C32" s="37"/>
      <c r="D32" s="38"/>
      <c r="E32" s="37"/>
      <c r="F32" s="32"/>
      <c r="G32" s="37"/>
      <c r="H32" s="37"/>
      <c r="I32" s="37"/>
      <c r="J32" s="37"/>
      <c r="K32" s="37"/>
      <c r="L32" s="37"/>
      <c r="M32" s="37"/>
      <c r="N32" s="37"/>
      <c r="O32" s="37"/>
    </row>
    <row r="33" spans="1:26" s="39" customFormat="1" x14ac:dyDescent="0.25">
      <c r="A33" s="37"/>
      <c r="C33" s="37"/>
      <c r="D33" s="32"/>
      <c r="E33" s="37"/>
      <c r="F33" s="32"/>
      <c r="G33" s="37"/>
      <c r="H33" s="37"/>
      <c r="I33" s="37"/>
      <c r="J33" s="37"/>
      <c r="K33" s="37"/>
      <c r="L33" s="37"/>
      <c r="M33" s="37"/>
      <c r="N33" s="37"/>
      <c r="O33" s="37"/>
    </row>
    <row r="34" spans="1:26" s="39" customFormat="1" x14ac:dyDescent="0.25">
      <c r="A34" s="37"/>
      <c r="C34" s="37"/>
      <c r="D34" s="37"/>
      <c r="E34" s="37"/>
      <c r="F34" s="32"/>
      <c r="G34" s="37"/>
      <c r="H34" s="37"/>
      <c r="I34" s="37"/>
      <c r="J34" s="37"/>
      <c r="K34" s="37"/>
      <c r="L34" s="37"/>
      <c r="M34" s="37"/>
      <c r="N34" s="37"/>
      <c r="O34" s="37"/>
    </row>
    <row r="35" spans="1:26" s="39" customFormat="1" x14ac:dyDescent="0.25">
      <c r="A35" s="37"/>
      <c r="C35" s="37"/>
      <c r="D35" s="37"/>
      <c r="E35" s="37"/>
      <c r="F35" s="32"/>
      <c r="G35" s="37"/>
      <c r="H35" s="37"/>
      <c r="I35" s="37"/>
      <c r="J35" s="37"/>
      <c r="K35" s="37"/>
      <c r="L35" s="37"/>
      <c r="M35" s="37"/>
      <c r="N35" s="37"/>
      <c r="O35" s="37"/>
    </row>
    <row r="36" spans="1:26" s="39" customFormat="1" ht="15.75" x14ac:dyDescent="0.25">
      <c r="A36" s="71"/>
      <c r="C36" s="37"/>
      <c r="F36" s="37"/>
      <c r="L36" s="37"/>
      <c r="M36" s="37"/>
      <c r="N36" s="37"/>
      <c r="O36" s="37"/>
    </row>
    <row r="37" spans="1:26" s="39" customFormat="1" x14ac:dyDescent="0.25">
      <c r="A37" s="37"/>
      <c r="C37" s="37"/>
      <c r="D37" s="38"/>
      <c r="E37" s="37"/>
      <c r="F37" s="32"/>
      <c r="G37" s="37"/>
      <c r="H37" s="32"/>
      <c r="I37" s="32"/>
      <c r="J37" s="37"/>
      <c r="K37" s="37"/>
      <c r="L37" s="37"/>
      <c r="M37" s="37"/>
      <c r="N37" s="37"/>
      <c r="O37" s="37"/>
    </row>
    <row r="38" spans="1:26" s="39" customFormat="1" ht="6" customHeight="1" x14ac:dyDescent="0.25">
      <c r="A38" s="42"/>
      <c r="B38" s="43"/>
      <c r="C38" s="42"/>
      <c r="D38" s="42"/>
      <c r="E38" s="42"/>
      <c r="F38" s="44"/>
      <c r="G38" s="42"/>
      <c r="H38" s="43"/>
      <c r="I38" s="43"/>
      <c r="J38" s="43"/>
      <c r="K38" s="43"/>
      <c r="L38" s="43"/>
      <c r="M38" s="45"/>
      <c r="N38" s="43"/>
      <c r="O38" s="43"/>
      <c r="P38" s="43"/>
      <c r="T38" s="43"/>
      <c r="U38" s="43"/>
      <c r="V38" s="43"/>
      <c r="W38" s="43"/>
      <c r="X38" s="43"/>
      <c r="Y38" s="6"/>
    </row>
    <row r="39" spans="1:26" s="39" customFormat="1" ht="15" customHeight="1" x14ac:dyDescent="0.25">
      <c r="A39" s="53">
        <v>2</v>
      </c>
      <c r="B39" s="53" t="str">
        <f>B22</f>
        <v>rf292</v>
      </c>
      <c r="C39" s="53">
        <v>2</v>
      </c>
      <c r="D39" s="120" t="s">
        <v>346</v>
      </c>
      <c r="E39" s="57" t="str">
        <f>R39</f>
        <v>W38R+50</v>
      </c>
      <c r="F39" s="57" t="s">
        <v>87</v>
      </c>
      <c r="G39" s="58"/>
      <c r="H39" s="60" t="str">
        <f>N22</f>
        <v>W35S+105</v>
      </c>
      <c r="I39" s="59"/>
      <c r="J39" s="53" t="s">
        <v>142</v>
      </c>
      <c r="K39" s="53"/>
      <c r="L39" s="53" t="s">
        <v>144</v>
      </c>
      <c r="M39" s="53"/>
      <c r="N39" s="53" t="s">
        <v>347</v>
      </c>
      <c r="O39" s="53"/>
      <c r="P39" s="53" t="s">
        <v>143</v>
      </c>
      <c r="Q39" s="53"/>
      <c r="R39" s="123" t="s">
        <v>360</v>
      </c>
    </row>
    <row r="40" spans="1:26" s="39" customFormat="1" x14ac:dyDescent="0.25">
      <c r="A40" s="49"/>
      <c r="B40" s="46" t="s">
        <v>21</v>
      </c>
      <c r="C40" s="50"/>
      <c r="D40" s="50"/>
      <c r="E40" s="51">
        <f>R40</f>
        <v>29.176000000000002</v>
      </c>
      <c r="F40" s="49">
        <v>29.312999999999999</v>
      </c>
      <c r="G40" s="50"/>
      <c r="H40" s="51">
        <f>N23</f>
        <v>28.956</v>
      </c>
      <c r="I40" s="51"/>
      <c r="J40" s="51">
        <v>29.023</v>
      </c>
      <c r="K40" s="51"/>
      <c r="L40" s="51">
        <v>29.047999999999998</v>
      </c>
      <c r="M40" s="51"/>
      <c r="N40" s="51">
        <v>29.076000000000001</v>
      </c>
      <c r="O40" s="51"/>
      <c r="P40" s="51">
        <v>29.126000000000001</v>
      </c>
      <c r="Q40" s="51"/>
      <c r="R40" s="51">
        <f>P40 + 50/1000</f>
        <v>29.176000000000002</v>
      </c>
    </row>
    <row r="41" spans="1:26" s="39" customFormat="1" x14ac:dyDescent="0.25">
      <c r="A41" s="37"/>
      <c r="B41" s="109" t="s">
        <v>353</v>
      </c>
      <c r="C41" s="109" t="s">
        <v>28</v>
      </c>
      <c r="D41" s="109">
        <f>+generell!P13</f>
        <v>16</v>
      </c>
      <c r="E41" s="122"/>
      <c r="F41" s="109">
        <f>ABS((F40-E40)*1000)</f>
        <v>136.9999999999969</v>
      </c>
      <c r="H41" s="109">
        <f>D41</f>
        <v>16</v>
      </c>
      <c r="I41" s="109">
        <f>J41</f>
        <v>83.000000000000171</v>
      </c>
      <c r="J41" s="109">
        <f>H41+ABS((J40-H40)*1000)</f>
        <v>83.000000000000171</v>
      </c>
      <c r="K41" s="109">
        <f>L41</f>
        <v>107.99999999999875</v>
      </c>
      <c r="L41" s="109">
        <f>J41+ABS((L40-J40)*1000)</f>
        <v>107.99999999999875</v>
      </c>
      <c r="M41" s="109">
        <f>N41</f>
        <v>136.00000000000099</v>
      </c>
      <c r="N41" s="109">
        <f>L41+ABS((N40-L40)*1000)</f>
        <v>136.00000000000099</v>
      </c>
      <c r="O41" s="109">
        <f>P41</f>
        <v>186.00000000000171</v>
      </c>
      <c r="P41" s="109">
        <f>N41+ABS((P40-N40)*1000)</f>
        <v>186.00000000000171</v>
      </c>
      <c r="Q41" s="109">
        <f>R41</f>
        <v>236.00000000000242</v>
      </c>
      <c r="R41" s="109">
        <f>N41+ABS((R40-N40)*1000)</f>
        <v>236.00000000000242</v>
      </c>
    </row>
    <row r="42" spans="1:26" s="39" customFormat="1" x14ac:dyDescent="0.25">
      <c r="A42" s="37"/>
      <c r="C42" s="37"/>
      <c r="H42" s="110">
        <f>H41</f>
        <v>16</v>
      </c>
      <c r="I42" s="110">
        <f>I41-H41</f>
        <v>67.000000000000171</v>
      </c>
      <c r="J42" s="110"/>
      <c r="K42" s="110">
        <f>K41-J41</f>
        <v>24.999999999998579</v>
      </c>
      <c r="L42" s="110"/>
      <c r="M42" s="110">
        <f>M41-L41</f>
        <v>28.000000000002245</v>
      </c>
      <c r="N42" s="110"/>
      <c r="O42" s="110">
        <f>O41-N41</f>
        <v>50.000000000000711</v>
      </c>
      <c r="P42" s="110"/>
      <c r="Q42" s="110">
        <f>Q41-N41</f>
        <v>100.00000000000142</v>
      </c>
      <c r="R42" s="110"/>
      <c r="Z42" s="110">
        <f>SUM(H42:R42)</f>
        <v>286.00000000000313</v>
      </c>
    </row>
    <row r="43" spans="1:26" s="39" customFormat="1" x14ac:dyDescent="0.25">
      <c r="A43" s="37"/>
      <c r="C43" s="37"/>
      <c r="F43" s="37"/>
      <c r="H43" s="52">
        <v>160</v>
      </c>
      <c r="I43" s="52">
        <f>H43</f>
        <v>160</v>
      </c>
      <c r="J43" s="52">
        <v>160</v>
      </c>
      <c r="K43" s="52">
        <f>J43</f>
        <v>160</v>
      </c>
      <c r="L43" s="52">
        <v>60</v>
      </c>
      <c r="M43" s="52">
        <f>L43</f>
        <v>60</v>
      </c>
      <c r="N43" s="52">
        <v>160</v>
      </c>
      <c r="O43" s="52">
        <f>N43</f>
        <v>160</v>
      </c>
      <c r="P43" s="52">
        <v>160</v>
      </c>
      <c r="Q43" s="52">
        <f>N43</f>
        <v>160</v>
      </c>
      <c r="R43" s="52">
        <v>0</v>
      </c>
    </row>
    <row r="44" spans="1:26" s="39" customFormat="1" x14ac:dyDescent="0.25">
      <c r="A44" s="37"/>
      <c r="F44" s="37"/>
      <c r="H44" s="37"/>
      <c r="I44" s="37"/>
      <c r="J44" s="37"/>
      <c r="K44" s="37"/>
      <c r="L44" s="37"/>
      <c r="M44" s="37"/>
      <c r="N44" s="37"/>
      <c r="O44" s="37"/>
      <c r="P44" s="37"/>
      <c r="T44" s="37"/>
      <c r="U44" s="37"/>
      <c r="V44" s="37"/>
      <c r="W44" s="37"/>
    </row>
    <row r="45" spans="1:26" s="39" customFormat="1" x14ac:dyDescent="0.25">
      <c r="A45" s="37"/>
      <c r="F45" s="37"/>
    </row>
    <row r="46" spans="1:26" s="39" customFormat="1" x14ac:dyDescent="0.25">
      <c r="A46" s="37"/>
      <c r="F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6" s="39" customFormat="1" x14ac:dyDescent="0.25">
      <c r="A47" s="37"/>
      <c r="F47" s="37"/>
    </row>
    <row r="48" spans="1:26" s="39" customFormat="1" x14ac:dyDescent="0.25">
      <c r="A48" s="37"/>
      <c r="C48" s="37"/>
      <c r="F48" s="32"/>
      <c r="L48" s="37"/>
      <c r="M48" s="37"/>
      <c r="N48" s="37"/>
      <c r="O48" s="37"/>
    </row>
    <row r="49" spans="1:26" s="39" customFormat="1" x14ac:dyDescent="0.25">
      <c r="A49" s="37"/>
      <c r="C49" s="37"/>
      <c r="D49" s="38"/>
      <c r="E49" s="37"/>
      <c r="F49" s="32"/>
      <c r="G49" s="37"/>
      <c r="H49" s="37"/>
      <c r="I49" s="37"/>
      <c r="J49" s="37"/>
      <c r="K49" s="37"/>
      <c r="L49" s="37"/>
      <c r="M49" s="37"/>
      <c r="N49" s="37"/>
      <c r="O49" s="37"/>
    </row>
    <row r="50" spans="1:26" s="39" customFormat="1" x14ac:dyDescent="0.25">
      <c r="A50" s="37"/>
      <c r="C50" s="37"/>
      <c r="D50" s="32"/>
      <c r="E50" s="37"/>
      <c r="F50" s="32"/>
      <c r="G50" s="37"/>
      <c r="H50" s="37"/>
      <c r="I50" s="37"/>
      <c r="J50" s="37"/>
      <c r="K50" s="37"/>
      <c r="L50" s="37"/>
      <c r="M50" s="37"/>
      <c r="N50" s="37"/>
      <c r="O50" s="37"/>
    </row>
    <row r="51" spans="1:26" s="39" customFormat="1" x14ac:dyDescent="0.25">
      <c r="A51" s="37"/>
      <c r="C51" s="37"/>
      <c r="D51" s="37"/>
      <c r="E51" s="37"/>
      <c r="F51" s="32"/>
      <c r="G51" s="37"/>
      <c r="H51" s="37"/>
      <c r="I51" s="37"/>
      <c r="J51" s="37"/>
      <c r="K51" s="37"/>
      <c r="L51" s="37"/>
      <c r="M51" s="37"/>
      <c r="N51" s="37"/>
      <c r="O51" s="37"/>
    </row>
    <row r="52" spans="1:26" s="39" customFormat="1" x14ac:dyDescent="0.25">
      <c r="A52" s="37"/>
      <c r="C52" s="37"/>
      <c r="D52" s="37"/>
      <c r="E52" s="37"/>
      <c r="F52" s="32"/>
      <c r="G52" s="37"/>
      <c r="H52" s="37"/>
      <c r="I52" s="37"/>
      <c r="J52" s="37"/>
      <c r="K52" s="37"/>
      <c r="L52" s="37"/>
      <c r="M52" s="37"/>
      <c r="N52" s="37"/>
      <c r="O52" s="37"/>
    </row>
    <row r="53" spans="1:26" s="39" customFormat="1" ht="15.75" x14ac:dyDescent="0.25">
      <c r="A53" s="71"/>
      <c r="C53" s="37"/>
      <c r="F53" s="37"/>
      <c r="L53" s="37"/>
      <c r="M53" s="37"/>
      <c r="N53" s="37"/>
      <c r="O53" s="37"/>
    </row>
    <row r="54" spans="1:26" s="39" customFormat="1" x14ac:dyDescent="0.25">
      <c r="A54" s="37"/>
      <c r="C54" s="37"/>
      <c r="D54" s="38"/>
      <c r="E54" s="37"/>
      <c r="F54" s="32"/>
      <c r="G54" s="37"/>
      <c r="H54" s="32"/>
      <c r="I54" s="32"/>
      <c r="J54" s="37"/>
      <c r="K54" s="37"/>
      <c r="L54" s="37"/>
      <c r="M54" s="37"/>
      <c r="N54" s="37"/>
      <c r="O54" s="37"/>
    </row>
    <row r="55" spans="1:26" s="39" customFormat="1" ht="6" customHeight="1" x14ac:dyDescent="0.25">
      <c r="A55" s="42"/>
      <c r="B55" s="43"/>
      <c r="C55" s="42"/>
      <c r="D55" s="42"/>
      <c r="E55" s="42"/>
      <c r="F55" s="44"/>
      <c r="G55" s="42"/>
      <c r="H55" s="43"/>
      <c r="I55" s="43"/>
      <c r="J55" s="43"/>
      <c r="K55" s="43"/>
      <c r="L55" s="43"/>
      <c r="M55" s="45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6"/>
    </row>
    <row r="56" spans="1:26" s="39" customFormat="1" x14ac:dyDescent="0.25">
      <c r="A56" s="53">
        <v>2</v>
      </c>
      <c r="B56" s="53" t="str">
        <f>B22</f>
        <v>rf292</v>
      </c>
      <c r="C56" s="53">
        <v>3</v>
      </c>
      <c r="D56" s="57" t="s">
        <v>147</v>
      </c>
      <c r="E56" s="57" t="s">
        <v>79</v>
      </c>
      <c r="F56" s="57" t="s">
        <v>146</v>
      </c>
      <c r="G56" s="58"/>
      <c r="H56" s="53" t="str">
        <f>R39</f>
        <v>W38R+50</v>
      </c>
      <c r="I56" s="59"/>
      <c r="J56" s="53" t="s">
        <v>347</v>
      </c>
      <c r="K56" s="53"/>
      <c r="L56" s="53" t="s">
        <v>145</v>
      </c>
      <c r="M56" s="53"/>
      <c r="N56" s="53" t="s">
        <v>79</v>
      </c>
      <c r="O56" s="37"/>
    </row>
    <row r="57" spans="1:26" s="39" customFormat="1" x14ac:dyDescent="0.25">
      <c r="A57" s="49"/>
      <c r="B57" s="46" t="s">
        <v>21</v>
      </c>
      <c r="C57" s="50"/>
      <c r="D57" s="56"/>
      <c r="E57" s="51">
        <f>N57</f>
        <v>28.13</v>
      </c>
      <c r="F57" s="49">
        <v>28.042000000000002</v>
      </c>
      <c r="G57" s="50"/>
      <c r="H57" s="51">
        <f>R40</f>
        <v>29.176000000000002</v>
      </c>
      <c r="I57" s="51"/>
      <c r="J57" s="51">
        <v>29.076000000000001</v>
      </c>
      <c r="K57" s="51"/>
      <c r="L57" s="51">
        <v>29.068000000000001</v>
      </c>
      <c r="M57" s="51"/>
      <c r="N57" s="51">
        <v>28.13</v>
      </c>
      <c r="O57" s="37"/>
    </row>
    <row r="58" spans="1:26" s="39" customFormat="1" x14ac:dyDescent="0.25">
      <c r="A58" s="37"/>
      <c r="C58" s="37"/>
      <c r="E58" s="122"/>
      <c r="F58" s="109">
        <f>ABS((F57-E57)*1000)</f>
        <v>87.999999999997414</v>
      </c>
      <c r="H58" s="109">
        <v>0</v>
      </c>
      <c r="I58" s="109">
        <f>J58</f>
        <v>100.00000000000142</v>
      </c>
      <c r="J58" s="109">
        <f>H58+ABS((J57-H57)*1000)</f>
        <v>100.00000000000142</v>
      </c>
      <c r="K58" s="109">
        <f>L58</f>
        <v>108.00000000000054</v>
      </c>
      <c r="L58" s="109">
        <f>J58+ABS((L57-J57)*1000)</f>
        <v>108.00000000000054</v>
      </c>
      <c r="M58" s="109">
        <f>N58</f>
        <v>1046.000000000003</v>
      </c>
      <c r="N58" s="109">
        <f>L58+ABS((N57-L57)*1000)</f>
        <v>1046.000000000003</v>
      </c>
      <c r="O58" s="37"/>
    </row>
    <row r="59" spans="1:26" s="39" customFormat="1" x14ac:dyDescent="0.25">
      <c r="A59" s="37"/>
      <c r="C59" s="37"/>
      <c r="H59" s="110">
        <f>H58</f>
        <v>0</v>
      </c>
      <c r="I59" s="110">
        <f>I58-H58</f>
        <v>100.00000000000142</v>
      </c>
      <c r="J59" s="110"/>
      <c r="K59" s="110">
        <f>K58-J58</f>
        <v>7.9999999999991189</v>
      </c>
      <c r="L59" s="110"/>
      <c r="M59" s="110">
        <f>M58-L58</f>
        <v>938.00000000000239</v>
      </c>
      <c r="N59" s="110"/>
      <c r="O59" s="37"/>
      <c r="Z59" s="110">
        <f>SUM(H59:N59)</f>
        <v>1046.000000000003</v>
      </c>
    </row>
    <row r="60" spans="1:26" s="39" customFormat="1" x14ac:dyDescent="0.25">
      <c r="A60" s="37"/>
      <c r="C60" s="37"/>
      <c r="H60" s="52">
        <v>160</v>
      </c>
      <c r="I60" s="52">
        <f>H60</f>
        <v>160</v>
      </c>
      <c r="J60" s="52">
        <v>160</v>
      </c>
      <c r="K60" s="52">
        <f>J60</f>
        <v>160</v>
      </c>
      <c r="L60" s="52">
        <v>160</v>
      </c>
      <c r="M60" s="52">
        <f>L60</f>
        <v>160</v>
      </c>
      <c r="N60" s="52">
        <v>0</v>
      </c>
      <c r="O60" s="37"/>
    </row>
    <row r="61" spans="1:26" s="39" customFormat="1" x14ac:dyDescent="0.25">
      <c r="A61" s="37"/>
      <c r="F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spans="1:26" s="39" customFormat="1" x14ac:dyDescent="0.25">
      <c r="A62" s="37"/>
      <c r="F62" s="37"/>
    </row>
    <row r="63" spans="1:26" s="39" customFormat="1" x14ac:dyDescent="0.25">
      <c r="A63" s="37"/>
      <c r="F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spans="1:26" s="39" customFormat="1" x14ac:dyDescent="0.25">
      <c r="A64" s="37"/>
      <c r="F64" s="37"/>
    </row>
    <row r="65" spans="1:25" s="39" customFormat="1" x14ac:dyDescent="0.25">
      <c r="A65" s="37"/>
      <c r="C65" s="37"/>
      <c r="F65" s="32"/>
      <c r="L65" s="37"/>
      <c r="M65" s="37"/>
      <c r="N65" s="37"/>
      <c r="O65" s="37"/>
    </row>
    <row r="66" spans="1:25" s="39" customFormat="1" x14ac:dyDescent="0.25">
      <c r="A66" s="37"/>
      <c r="C66" s="37"/>
      <c r="D66" s="38"/>
      <c r="E66" s="37"/>
      <c r="F66" s="32"/>
      <c r="G66" s="37"/>
      <c r="H66" s="37"/>
      <c r="I66" s="37"/>
      <c r="J66" s="37"/>
      <c r="K66" s="37"/>
      <c r="L66" s="37"/>
      <c r="M66" s="37"/>
      <c r="N66" s="37"/>
      <c r="O66" s="37"/>
    </row>
    <row r="67" spans="1:25" s="39" customFormat="1" x14ac:dyDescent="0.25">
      <c r="A67" s="37"/>
      <c r="C67" s="37"/>
      <c r="D67" s="32"/>
      <c r="E67" s="37"/>
      <c r="F67" s="32"/>
      <c r="G67" s="37"/>
      <c r="H67" s="37"/>
      <c r="I67" s="37"/>
      <c r="J67" s="37"/>
      <c r="K67" s="37"/>
      <c r="L67" s="37"/>
      <c r="M67" s="37"/>
      <c r="N67" s="37"/>
      <c r="O67" s="37"/>
    </row>
    <row r="68" spans="1:25" s="39" customFormat="1" x14ac:dyDescent="0.25">
      <c r="A68" s="37"/>
      <c r="C68" s="37"/>
      <c r="D68" s="37"/>
      <c r="E68" s="37"/>
      <c r="F68" s="32"/>
      <c r="G68" s="37"/>
      <c r="H68" s="37"/>
      <c r="I68" s="37"/>
      <c r="J68" s="37"/>
      <c r="K68" s="37"/>
      <c r="L68" s="37"/>
      <c r="M68" s="37"/>
      <c r="N68" s="37"/>
      <c r="O68" s="37"/>
    </row>
    <row r="69" spans="1:25" s="39" customFormat="1" x14ac:dyDescent="0.25">
      <c r="A69" s="37"/>
      <c r="C69" s="37"/>
      <c r="D69" s="37"/>
      <c r="E69" s="37"/>
      <c r="F69" s="32"/>
      <c r="G69" s="37"/>
      <c r="H69" s="37"/>
      <c r="I69" s="37"/>
      <c r="J69" s="37"/>
      <c r="K69" s="37"/>
      <c r="L69" s="37"/>
      <c r="M69" s="37"/>
      <c r="N69" s="37"/>
      <c r="O69" s="37"/>
    </row>
    <row r="70" spans="1:25" s="39" customFormat="1" ht="15.75" x14ac:dyDescent="0.25">
      <c r="A70" s="71"/>
      <c r="C70" s="37"/>
      <c r="F70" s="37"/>
      <c r="L70" s="37"/>
      <c r="M70" s="37"/>
      <c r="N70" s="37"/>
      <c r="O70" s="37"/>
    </row>
    <row r="71" spans="1:25" s="39" customFormat="1" x14ac:dyDescent="0.25">
      <c r="A71" s="37"/>
      <c r="C71" s="37"/>
      <c r="D71" s="38"/>
      <c r="E71" s="37"/>
      <c r="F71" s="32"/>
      <c r="G71" s="37"/>
      <c r="H71" s="32"/>
      <c r="I71" s="32"/>
      <c r="J71" s="37"/>
      <c r="K71" s="37"/>
      <c r="L71" s="37"/>
      <c r="M71" s="37"/>
      <c r="N71" s="37"/>
      <c r="O71" s="37"/>
    </row>
    <row r="72" spans="1:25" s="39" customFormat="1" ht="6" customHeight="1" x14ac:dyDescent="0.25">
      <c r="A72" s="42"/>
      <c r="B72" s="43"/>
      <c r="C72" s="42"/>
      <c r="D72" s="42"/>
      <c r="E72" s="42"/>
      <c r="G72" s="42"/>
      <c r="H72" s="43"/>
      <c r="I72" s="43"/>
      <c r="J72" s="43"/>
      <c r="K72" s="43"/>
      <c r="L72" s="43"/>
      <c r="M72" s="45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6"/>
    </row>
    <row r="73" spans="1:25" s="39" customFormat="1" x14ac:dyDescent="0.25">
      <c r="A73" s="37"/>
      <c r="C73" s="37"/>
      <c r="L73" s="37"/>
      <c r="M73" s="37"/>
      <c r="N73" s="37"/>
      <c r="O73" s="37"/>
    </row>
    <row r="74" spans="1:25" s="39" customFormat="1" x14ac:dyDescent="0.25">
      <c r="A74" s="37"/>
      <c r="C74" s="37"/>
      <c r="L74" s="37"/>
      <c r="M74" s="37"/>
      <c r="N74" s="37"/>
      <c r="O74" s="37"/>
    </row>
    <row r="75" spans="1:25" x14ac:dyDescent="0.25">
      <c r="F75" s="39"/>
    </row>
    <row r="76" spans="1:25" x14ac:dyDescent="0.25">
      <c r="F76" s="39"/>
    </row>
  </sheetData>
  <mergeCells count="2">
    <mergeCell ref="I1:K1"/>
    <mergeCell ref="G5:G6"/>
  </mergeCells>
  <pageMargins left="0.27559055118110237" right="0.11811023622047245" top="0.43307086614173229" bottom="0.39370078740157483" header="0.31496062992125984" footer="0.31496062992125984"/>
  <pageSetup paperSize="9" scale="81" fitToHeight="2" orientation="landscape" r:id="rId1"/>
  <rowBreaks count="1" manualBreakCount="1">
    <brk id="37" max="23" man="1"/>
  </row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smL'!H9:H9</xm:f>
              <xm:sqref>H11</xm:sqref>
            </x14:sparkline>
            <x14:sparkline>
              <xm:f>'Sz 2 smL'!I9:I9</xm:f>
              <xm:sqref>I11</xm:sqref>
            </x14:sparkline>
            <x14:sparkline>
              <xm:f>'Sz 2 smL'!J9:J9</xm:f>
              <xm:sqref>J11</xm:sqref>
            </x14:sparkline>
            <x14:sparkline>
              <xm:f>'Sz 2 smL'!K9:K9</xm:f>
              <xm:sqref>K11</xm:sqref>
            </x14:sparkline>
            <x14:sparkline>
              <xm:f>'Sz 2 smL'!L9:L9</xm:f>
              <xm:sqref>L11</xm:sqref>
            </x14:sparkline>
            <x14:sparkline>
              <xm:f>'Sz 2 smL'!M9:M9</xm:f>
              <xm:sqref>M11</xm:sqref>
            </x14:sparkline>
            <x14:sparkline>
              <xm:f>'Sz 2 smL'!N9:N9</xm:f>
              <xm:sqref>N11</xm:sqref>
            </x14:sparkline>
            <x14:sparkline>
              <xm:f>'Sz 2 smL'!O9:O9</xm:f>
              <xm:sqref>O11</xm:sqref>
            </x14:sparkline>
            <x14:sparkline>
              <xm:f>'Sz 2 smL'!R9:R9</xm:f>
              <xm:sqref>P11</xm:sqref>
            </x14:sparkline>
            <x14:sparkline>
              <xm:f>'Sz 2 smL'!S9:S9</xm:f>
              <xm:sqref>Q11</xm:sqref>
            </x14:sparkline>
            <x14:sparkline>
              <xm:f>'Sz 2 smL'!T9:T9</xm:f>
              <xm:sqref>R11</xm:sqref>
            </x14:sparkline>
            <x14:sparkline>
              <xm:f>'Sz 2 smL'!U9:U9</xm:f>
              <xm:sqref>S11</xm:sqref>
            </x14:sparkline>
            <x14:sparkline>
              <xm:f>'Sz 2 smL'!V9:V9</xm:f>
              <xm:sqref>T11</xm:sqref>
            </x14:sparkline>
            <x14:sparkline>
              <xm:f>'Sz 2 smL'!W9:W9</xm:f>
              <xm:sqref>U11</xm:sqref>
            </x14:sparkline>
            <x14:sparkline>
              <xm:f>'Sz 2 smL'!X9:X9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smL'!H26:H26</xm:f>
              <xm:sqref>H28</xm:sqref>
            </x14:sparkline>
            <x14:sparkline>
              <xm:f>'Sz 2 smL'!I26:I26</xm:f>
              <xm:sqref>I28</xm:sqref>
            </x14:sparkline>
            <x14:sparkline>
              <xm:f>'Sz 2 smL'!J26:J26</xm:f>
              <xm:sqref>J28</xm:sqref>
            </x14:sparkline>
            <x14:sparkline>
              <xm:f>'Sz 2 smL'!K26:K26</xm:f>
              <xm:sqref>K28</xm:sqref>
            </x14:sparkline>
            <x14:sparkline>
              <xm:f>'Sz 2 smL'!N26:N26</xm:f>
              <xm:sqref>L28</xm:sqref>
            </x14:sparkline>
            <x14:sparkline>
              <xm:f>'Sz 2 smL'!O26:O26</xm:f>
              <xm:sqref>M28</xm:sqref>
            </x14:sparkline>
            <x14:sparkline>
              <xm:f>'Sz 2 smL'!P26:P26</xm:f>
              <xm:sqref>N28</xm:sqref>
            </x14:sparkline>
            <x14:sparkline>
              <xm:f>'Sz 2 smL'!Q26:Q26</xm:f>
              <xm:sqref>O28</xm:sqref>
            </x14:sparkline>
            <x14:sparkline>
              <xm:f>'Sz 2 smL'!T26:T26</xm:f>
              <xm:sqref>P28</xm:sqref>
            </x14:sparkline>
            <x14:sparkline>
              <xm:f>'Sz 2 smL'!U26:U26</xm:f>
              <xm:sqref>Q28</xm:sqref>
            </x14:sparkline>
            <x14:sparkline>
              <xm:f>'Sz 2 smL'!V26:V26</xm:f>
              <xm:sqref>R28</xm:sqref>
            </x14:sparkline>
            <x14:sparkline>
              <xm:f>'Sz 2 smL'!W26:W26</xm:f>
              <xm:sqref>S28</xm:sqref>
            </x14:sparkline>
            <x14:sparkline>
              <xm:f>'Sz 2 smL'!X26:X26</xm:f>
              <xm:sqref>T28</xm:sqref>
            </x14:sparkline>
            <x14:sparkline>
              <xm:sqref>U28</xm:sqref>
            </x14:sparkline>
            <x14:sparkline>
              <xm:f>'Sz 2 smL'!Y26:Y26</xm:f>
              <xm:sqref>V28</xm:sqref>
            </x14:sparkline>
            <x14:sparkline>
              <xm:f>'Sz 2 smL'!Z26:Z26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smL'!H43:H43</xm:f>
              <xm:sqref>H45</xm:sqref>
            </x14:sparkline>
            <x14:sparkline>
              <xm:f>'Sz 2 smL'!I43:I43</xm:f>
              <xm:sqref>I45</xm:sqref>
            </x14:sparkline>
            <x14:sparkline>
              <xm:f>'Sz 2 smL'!J43:J43</xm:f>
              <xm:sqref>J45</xm:sqref>
            </x14:sparkline>
            <x14:sparkline>
              <xm:f>'Sz 2 smL'!K43:K43</xm:f>
              <xm:sqref>K45</xm:sqref>
            </x14:sparkline>
            <x14:sparkline>
              <xm:f>'Sz 2 smL'!L43:L43</xm:f>
              <xm:sqref>L45</xm:sqref>
            </x14:sparkline>
            <x14:sparkline>
              <xm:f>'Sz 2 smL'!M43:M43</xm:f>
              <xm:sqref>M45</xm:sqref>
            </x14:sparkline>
            <x14:sparkline>
              <xm:f>'Sz 2 smL'!R43:R43</xm:f>
              <xm:sqref>N45</xm:sqref>
            </x14:sparkline>
            <x14:sparkline>
              <xm:f>'Sz 2 smL'!S43:S43</xm:f>
              <xm:sqref>O45</xm:sqref>
            </x14:sparkline>
            <x14:sparkline>
              <xm:f>'Sz 2 smL'!V43:V43</xm:f>
              <xm:sqref>P45</xm:sqref>
            </x14:sparkline>
            <x14:sparkline>
              <xm:f>'Sz 2 smL'!Z43:Z43</xm:f>
              <xm:sqref>T45</xm:sqref>
            </x14:sparkline>
            <x14:sparkline>
              <xm:sqref>U45</xm:sqref>
            </x14:sparkline>
            <x14:sparkline>
              <xm:f>'Sz 2 smL'!AA43:AA43</xm:f>
              <xm:sqref>V45</xm:sqref>
            </x14:sparkline>
            <x14:sparkline>
              <xm:f>'Sz 2 smL'!AB43:AB43</xm:f>
              <xm:sqref>W45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smL'!H60:H60</xm:f>
              <xm:sqref>H62</xm:sqref>
            </x14:sparkline>
            <x14:sparkline>
              <xm:f>'Sz 2 smL'!I60:I60</xm:f>
              <xm:sqref>I62</xm:sqref>
            </x14:sparkline>
            <x14:sparkline>
              <xm:f>'Sz 2 smL'!J60:J60</xm:f>
              <xm:sqref>J62</xm:sqref>
            </x14:sparkline>
            <x14:sparkline>
              <xm:f>'Sz 2 smL'!K60:K60</xm:f>
              <xm:sqref>K62</xm:sqref>
            </x14:sparkline>
            <x14:sparkline>
              <xm:f>'Sz 2 smL'!L60:L60</xm:f>
              <xm:sqref>L62</xm:sqref>
            </x14:sparkline>
            <x14:sparkline>
              <xm:f>'Sz 2 smL'!M60:M60</xm:f>
              <xm:sqref>M62</xm:sqref>
            </x14:sparkline>
            <x14:sparkline>
              <xm:f>'Sz 2 smL'!N60:N60</xm:f>
              <xm:sqref>N62</xm:sqref>
            </x14:sparkline>
            <x14:sparkline>
              <xm:f>'Sz 2 smL'!O60:O60</xm:f>
              <xm:sqref>O62</xm:sqref>
            </x14:sparkline>
            <x14:sparkline>
              <xm:f>'Sz 2 smL'!R60:R60</xm:f>
              <xm:sqref>P62</xm:sqref>
            </x14:sparkline>
            <x14:sparkline>
              <xm:f>'Sz 2 smL'!S60:S60</xm:f>
              <xm:sqref>Q62</xm:sqref>
            </x14:sparkline>
            <x14:sparkline>
              <xm:f>'Sz 2 smL'!T60:T60</xm:f>
              <xm:sqref>R62</xm:sqref>
            </x14:sparkline>
            <x14:sparkline>
              <xm:f>'Sz 2 smL'!U60:U60</xm:f>
              <xm:sqref>S62</xm:sqref>
            </x14:sparkline>
            <x14:sparkline>
              <xm:f>'Sz 2 smL'!V60:V60</xm:f>
              <xm:sqref>T62</xm:sqref>
            </x14:sparkline>
            <x14:sparkline>
              <xm:f>'Sz 2 smL'!W60:W60</xm:f>
              <xm:sqref>U62</xm:sqref>
            </x14:sparkline>
            <x14:sparkline>
              <xm:f>'Sz 2 smL'!X60:X60</xm:f>
              <xm:sqref>V62</xm:sqref>
            </x14:sparkline>
            <x14:sparkline>
              <xm:sqref>W62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Normal="100" workbookViewId="0">
      <selection activeCell="J25" sqref="J25"/>
    </sheetView>
  </sheetViews>
  <sheetFormatPr baseColWidth="10" defaultRowHeight="15" x14ac:dyDescent="0.25"/>
  <cols>
    <col min="1" max="1" width="18.7109375" style="10" customWidth="1"/>
    <col min="2" max="2" width="2.85546875" style="73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10.140625" style="73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5.140625" style="10" customWidth="1"/>
    <col min="15" max="16384" width="11.42578125" style="10"/>
  </cols>
  <sheetData>
    <row r="1" spans="1:14" ht="15.75" x14ac:dyDescent="0.25">
      <c r="A1" s="7" t="s">
        <v>195</v>
      </c>
      <c r="B1" s="25"/>
      <c r="I1" s="17"/>
      <c r="M1" s="17" t="str">
        <f>generell!X1</f>
        <v>Stand:</v>
      </c>
      <c r="N1" s="17">
        <f>generell!Y1</f>
        <v>44012.444444444445</v>
      </c>
    </row>
    <row r="2" spans="1:14" x14ac:dyDescent="0.25">
      <c r="M2" s="17" t="str">
        <f>generell!X2</f>
        <v>Korrekturen:</v>
      </c>
      <c r="N2" s="17">
        <f>generell!Y2</f>
        <v>44066.90625</v>
      </c>
    </row>
    <row r="3" spans="1:14" x14ac:dyDescent="0.25">
      <c r="A3" s="6" t="s">
        <v>65</v>
      </c>
      <c r="B3" s="26"/>
      <c r="C3" s="10" t="s">
        <v>251</v>
      </c>
    </row>
    <row r="7" spans="1:14" x14ac:dyDescent="0.25">
      <c r="A7" s="6" t="s">
        <v>66</v>
      </c>
      <c r="B7" s="26" t="s">
        <v>75</v>
      </c>
      <c r="C7" s="26" t="s">
        <v>113</v>
      </c>
      <c r="D7" s="26" t="s">
        <v>263</v>
      </c>
      <c r="E7" s="26" t="s">
        <v>114</v>
      </c>
      <c r="F7" s="26" t="s">
        <v>261</v>
      </c>
      <c r="G7" s="26" t="s">
        <v>115</v>
      </c>
      <c r="H7" s="26" t="s">
        <v>116</v>
      </c>
      <c r="I7" s="26" t="s">
        <v>117</v>
      </c>
      <c r="J7" s="26" t="s">
        <v>264</v>
      </c>
      <c r="K7" s="26" t="s">
        <v>262</v>
      </c>
    </row>
    <row r="8" spans="1:14" x14ac:dyDescent="0.25">
      <c r="B8" s="27">
        <v>1</v>
      </c>
      <c r="C8" s="61" t="s">
        <v>78</v>
      </c>
      <c r="D8" s="61" t="s">
        <v>120</v>
      </c>
      <c r="E8" s="61" t="s">
        <v>213</v>
      </c>
      <c r="F8" s="61" t="s">
        <v>270</v>
      </c>
      <c r="G8" s="61" t="s">
        <v>214</v>
      </c>
      <c r="H8" s="62">
        <v>28.21</v>
      </c>
      <c r="I8" s="61" t="s">
        <v>112</v>
      </c>
      <c r="J8" s="61" t="s">
        <v>265</v>
      </c>
      <c r="K8" s="61" t="s">
        <v>24</v>
      </c>
    </row>
    <row r="9" spans="1:14" x14ac:dyDescent="0.25">
      <c r="A9" s="6"/>
      <c r="B9" s="27">
        <v>2</v>
      </c>
      <c r="C9" s="75" t="s">
        <v>217</v>
      </c>
      <c r="D9" s="75" t="s">
        <v>120</v>
      </c>
      <c r="E9" s="75" t="s">
        <v>215</v>
      </c>
      <c r="F9" s="75" t="s">
        <v>271</v>
      </c>
      <c r="G9" s="75" t="s">
        <v>216</v>
      </c>
      <c r="H9" s="76">
        <v>28.274999999999999</v>
      </c>
      <c r="I9" s="75" t="s">
        <v>112</v>
      </c>
      <c r="J9" s="75" t="s">
        <v>266</v>
      </c>
      <c r="K9" s="75" t="s">
        <v>27</v>
      </c>
    </row>
    <row r="10" spans="1:14" x14ac:dyDescent="0.25">
      <c r="A10" s="6"/>
      <c r="B10" s="27">
        <v>3</v>
      </c>
      <c r="C10" s="77" t="s">
        <v>68</v>
      </c>
      <c r="D10" s="77" t="s">
        <v>260</v>
      </c>
      <c r="E10" s="77" t="s">
        <v>219</v>
      </c>
      <c r="F10" s="77" t="s">
        <v>272</v>
      </c>
      <c r="G10" s="77" t="s">
        <v>218</v>
      </c>
      <c r="H10" s="78">
        <f>_10AA</f>
        <v>30.742999999999999</v>
      </c>
      <c r="I10" s="77" t="s">
        <v>111</v>
      </c>
      <c r="J10" s="77" t="s">
        <v>120</v>
      </c>
      <c r="K10" s="77" t="s">
        <v>267</v>
      </c>
    </row>
    <row r="12" spans="1:14" ht="30" x14ac:dyDescent="0.25">
      <c r="A12" s="6" t="s">
        <v>67</v>
      </c>
      <c r="B12" s="105"/>
      <c r="C12" s="26" t="s">
        <v>237</v>
      </c>
      <c r="D12" s="104" t="s">
        <v>259</v>
      </c>
      <c r="E12" s="26" t="s">
        <v>238</v>
      </c>
      <c r="F12" s="104" t="s">
        <v>273</v>
      </c>
      <c r="G12" s="26" t="s">
        <v>239</v>
      </c>
      <c r="H12" s="104" t="s">
        <v>240</v>
      </c>
      <c r="I12" s="104" t="s">
        <v>243</v>
      </c>
      <c r="J12" s="104" t="s">
        <v>241</v>
      </c>
      <c r="K12" s="104" t="s">
        <v>242</v>
      </c>
      <c r="L12" s="107"/>
    </row>
    <row r="13" spans="1:14" x14ac:dyDescent="0.25">
      <c r="B13" s="105" t="s">
        <v>75</v>
      </c>
      <c r="C13" s="61">
        <v>1</v>
      </c>
      <c r="D13" s="61">
        <v>4090</v>
      </c>
      <c r="E13" s="61">
        <f>D13</f>
        <v>4090</v>
      </c>
      <c r="F13" s="61" t="s">
        <v>78</v>
      </c>
      <c r="G13" s="61">
        <v>1</v>
      </c>
      <c r="H13" s="61">
        <v>4738</v>
      </c>
      <c r="I13" s="61" t="s">
        <v>277</v>
      </c>
      <c r="J13" s="64" t="s">
        <v>70</v>
      </c>
      <c r="K13" s="65">
        <f>(_10A - $H8) * 1000</f>
        <v>2535</v>
      </c>
      <c r="L13" s="107"/>
      <c r="M13" s="105"/>
      <c r="N13" s="105"/>
    </row>
    <row r="14" spans="1:14" x14ac:dyDescent="0.25">
      <c r="B14" s="105" t="s">
        <v>75</v>
      </c>
      <c r="C14" s="75">
        <v>2</v>
      </c>
      <c r="D14" s="75">
        <v>4240</v>
      </c>
      <c r="E14" s="75">
        <f>D14</f>
        <v>4240</v>
      </c>
      <c r="F14" s="75" t="s">
        <v>217</v>
      </c>
      <c r="G14" s="75">
        <v>1</v>
      </c>
      <c r="H14" s="75">
        <v>13736</v>
      </c>
      <c r="I14" s="75" t="s">
        <v>81</v>
      </c>
      <c r="J14" s="75" t="s">
        <v>70</v>
      </c>
      <c r="K14" s="79">
        <f>(_33Y - $H9) * 1000</f>
        <v>813.00000000000239</v>
      </c>
      <c r="L14" s="107"/>
      <c r="M14" s="105"/>
      <c r="N14" s="16"/>
    </row>
    <row r="15" spans="1:14" x14ac:dyDescent="0.25">
      <c r="B15" s="105" t="s">
        <v>75</v>
      </c>
      <c r="C15" s="77">
        <v>3</v>
      </c>
      <c r="D15" s="77">
        <v>1013</v>
      </c>
      <c r="E15" s="77">
        <f>D15</f>
        <v>1013</v>
      </c>
      <c r="F15" s="77" t="s">
        <v>68</v>
      </c>
      <c r="G15" s="77">
        <v>1</v>
      </c>
      <c r="H15" s="77">
        <v>4762</v>
      </c>
      <c r="I15" s="77" t="s">
        <v>69</v>
      </c>
      <c r="J15" s="77" t="s">
        <v>70</v>
      </c>
      <c r="K15" s="77">
        <v>0</v>
      </c>
      <c r="L15" s="107"/>
    </row>
    <row r="16" spans="1:14" x14ac:dyDescent="0.25">
      <c r="C16" s="73"/>
      <c r="D16" s="73"/>
      <c r="E16" s="73"/>
      <c r="F16" s="16"/>
      <c r="G16" s="73"/>
      <c r="H16" s="28"/>
      <c r="J16" s="16"/>
      <c r="K16" s="73"/>
    </row>
    <row r="17" spans="1:12" ht="6" customHeight="1" x14ac:dyDescent="0.25">
      <c r="B17" s="108"/>
      <c r="C17" s="108" t="s">
        <v>132</v>
      </c>
      <c r="I17" s="108"/>
      <c r="L17" s="108"/>
    </row>
    <row r="18" spans="1:12" x14ac:dyDescent="0.25">
      <c r="A18" s="111" t="s">
        <v>320</v>
      </c>
    </row>
    <row r="19" spans="1:12" ht="6" customHeight="1" x14ac:dyDescent="0.25">
      <c r="B19" s="108"/>
      <c r="C19" s="108" t="s">
        <v>132</v>
      </c>
      <c r="I19" s="108"/>
      <c r="L19" s="108"/>
    </row>
    <row r="20" spans="1:12" x14ac:dyDescent="0.25">
      <c r="B20" s="73">
        <v>1</v>
      </c>
      <c r="C20" s="63" t="s">
        <v>322</v>
      </c>
      <c r="D20" s="63"/>
      <c r="E20" s="63"/>
      <c r="F20" s="63"/>
      <c r="G20" s="63"/>
    </row>
    <row r="21" spans="1:12" x14ac:dyDescent="0.25">
      <c r="B21" s="73">
        <v>2</v>
      </c>
      <c r="C21" s="80" t="s">
        <v>305</v>
      </c>
      <c r="D21" s="80"/>
      <c r="E21" s="80"/>
      <c r="F21" s="80"/>
      <c r="G21" s="80"/>
    </row>
    <row r="22" spans="1:12" ht="6" customHeight="1" x14ac:dyDescent="0.25">
      <c r="B22" s="108"/>
      <c r="C22" s="108" t="s">
        <v>132</v>
      </c>
      <c r="I22" s="108"/>
      <c r="L22" s="108"/>
    </row>
    <row r="23" spans="1:12" x14ac:dyDescent="0.25">
      <c r="A23" s="6" t="s">
        <v>153</v>
      </c>
      <c r="C23" s="29"/>
      <c r="D23" s="73"/>
      <c r="E23" s="73"/>
      <c r="F23" s="16"/>
      <c r="G23" s="73"/>
      <c r="H23" s="28"/>
      <c r="J23" s="16"/>
      <c r="K23" s="73"/>
      <c r="L23" s="107"/>
    </row>
    <row r="24" spans="1:12" ht="6" customHeight="1" x14ac:dyDescent="0.25">
      <c r="C24" s="73" t="s">
        <v>132</v>
      </c>
      <c r="L24" s="107"/>
    </row>
    <row r="25" spans="1:12" x14ac:dyDescent="0.25">
      <c r="A25" s="1" t="s">
        <v>134</v>
      </c>
      <c r="B25" s="73">
        <v>1</v>
      </c>
      <c r="C25" s="63" t="s">
        <v>306</v>
      </c>
      <c r="D25" s="61"/>
      <c r="E25" s="61"/>
      <c r="F25" s="61"/>
      <c r="G25" s="61"/>
      <c r="H25" s="28"/>
      <c r="J25" s="16"/>
      <c r="K25" s="73"/>
    </row>
    <row r="26" spans="1:12" x14ac:dyDescent="0.25">
      <c r="A26" s="1" t="s">
        <v>135</v>
      </c>
      <c r="B26" s="73">
        <v>1</v>
      </c>
      <c r="C26" s="63" t="s">
        <v>307</v>
      </c>
      <c r="D26" s="61"/>
      <c r="E26" s="61"/>
      <c r="F26" s="61"/>
      <c r="G26" s="61"/>
      <c r="H26" s="28"/>
      <c r="J26" s="16"/>
      <c r="K26" s="73"/>
      <c r="L26" s="107"/>
    </row>
    <row r="27" spans="1:12" ht="6" customHeight="1" x14ac:dyDescent="0.25">
      <c r="B27" s="10"/>
      <c r="C27" s="3"/>
      <c r="L27" s="107"/>
    </row>
    <row r="28" spans="1:12" x14ac:dyDescent="0.25">
      <c r="A28" s="1" t="s">
        <v>134</v>
      </c>
      <c r="B28" s="73">
        <v>2</v>
      </c>
      <c r="C28" s="80" t="s">
        <v>308</v>
      </c>
      <c r="D28" s="75"/>
      <c r="E28" s="75"/>
      <c r="F28" s="75"/>
      <c r="G28" s="75"/>
      <c r="H28" s="28"/>
      <c r="J28" s="16"/>
      <c r="K28" s="73"/>
    </row>
    <row r="29" spans="1:12" x14ac:dyDescent="0.25">
      <c r="A29" s="1" t="s">
        <v>135</v>
      </c>
      <c r="B29" s="73">
        <v>2</v>
      </c>
      <c r="C29" s="80" t="s">
        <v>309</v>
      </c>
      <c r="D29" s="75"/>
      <c r="E29" s="75"/>
      <c r="F29" s="75"/>
      <c r="G29" s="75"/>
      <c r="H29" s="28"/>
      <c r="J29" s="16"/>
      <c r="K29" s="73"/>
    </row>
    <row r="30" spans="1:12" ht="6" customHeight="1" x14ac:dyDescent="0.25">
      <c r="B30" s="10"/>
      <c r="C30" s="3"/>
    </row>
    <row r="31" spans="1:12" x14ac:dyDescent="0.25">
      <c r="A31" s="1" t="s">
        <v>134</v>
      </c>
      <c r="B31" s="73">
        <v>3</v>
      </c>
      <c r="C31" s="81" t="s">
        <v>310</v>
      </c>
      <c r="D31" s="77"/>
      <c r="E31" s="77"/>
      <c r="F31" s="77"/>
      <c r="G31" s="77"/>
      <c r="H31" s="28"/>
      <c r="J31" s="16"/>
      <c r="K31" s="73"/>
    </row>
    <row r="32" spans="1:12" x14ac:dyDescent="0.25">
      <c r="A32" s="1" t="s">
        <v>135</v>
      </c>
      <c r="B32" s="73">
        <v>3</v>
      </c>
      <c r="C32" s="81" t="s">
        <v>343</v>
      </c>
      <c r="D32" s="77"/>
      <c r="E32" s="77"/>
      <c r="F32" s="77"/>
      <c r="G32" s="77"/>
      <c r="H32" s="28"/>
      <c r="J32" s="16"/>
      <c r="K32" s="73"/>
    </row>
    <row r="33" spans="1:12" ht="6" customHeight="1" x14ac:dyDescent="0.25">
      <c r="B33" s="108"/>
      <c r="C33" s="108" t="s">
        <v>132</v>
      </c>
      <c r="I33" s="108"/>
      <c r="L33" s="108"/>
    </row>
    <row r="36" spans="1:12" x14ac:dyDescent="0.25">
      <c r="A36" s="1" t="s">
        <v>299</v>
      </c>
      <c r="B36" s="73">
        <v>2</v>
      </c>
      <c r="C36" s="10" t="s">
        <v>298</v>
      </c>
    </row>
  </sheetData>
  <pageMargins left="0.7" right="0.7" top="0.78740157499999996" bottom="0.78740157499999996" header="0.3" footer="0.3"/>
  <pageSetup paperSize="9" scale="9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4"/>
  <sheetViews>
    <sheetView topLeftCell="A6" zoomScale="85" zoomScaleNormal="85" workbookViewId="0">
      <selection activeCell="D47" sqref="D47"/>
    </sheetView>
  </sheetViews>
  <sheetFormatPr baseColWidth="10" defaultRowHeight="15" x14ac:dyDescent="0.25"/>
  <cols>
    <col min="1" max="1" width="3.85546875" style="73" customWidth="1"/>
    <col min="2" max="2" width="9.140625" style="10" customWidth="1"/>
    <col min="3" max="3" width="4.5703125" style="73" bestFit="1" customWidth="1"/>
    <col min="4" max="4" width="12.7109375" style="10" customWidth="1"/>
    <col min="5" max="5" width="10.7109375" style="10" customWidth="1"/>
    <col min="6" max="6" width="10.7109375" style="73" customWidth="1"/>
    <col min="7" max="7" width="10" style="10" customWidth="1"/>
    <col min="8" max="11" width="6.7109375" style="10" customWidth="1"/>
    <col min="12" max="15" width="6.7109375" style="73" customWidth="1"/>
    <col min="16" max="26" width="6.7109375" style="10" customWidth="1"/>
    <col min="27" max="27" width="3.85546875" style="10" customWidth="1"/>
    <col min="28" max="28" width="10.7109375" style="10" customWidth="1"/>
    <col min="29" max="16384" width="11.42578125" style="10"/>
  </cols>
  <sheetData>
    <row r="1" spans="1:28" ht="15.75" x14ac:dyDescent="0.25">
      <c r="A1" s="7" t="str">
        <f>'Sz 3'!A1</f>
        <v>Szenario 3: Dynamische Durchrutschwege</v>
      </c>
      <c r="C1" s="25"/>
      <c r="H1" s="13"/>
      <c r="I1" s="125"/>
      <c r="J1" s="125"/>
      <c r="K1" s="125"/>
      <c r="L1" s="17"/>
      <c r="M1" s="17"/>
    </row>
    <row r="2" spans="1:28" ht="6" customHeight="1" x14ac:dyDescent="0.25"/>
    <row r="3" spans="1:28" s="6" customFormat="1" x14ac:dyDescent="0.25">
      <c r="A3" s="26" t="s">
        <v>72</v>
      </c>
      <c r="B3" s="26" t="s">
        <v>161</v>
      </c>
      <c r="C3" s="26" t="s">
        <v>76</v>
      </c>
      <c r="D3" s="26" t="s">
        <v>71</v>
      </c>
      <c r="E3" s="26" t="s">
        <v>73</v>
      </c>
      <c r="F3" s="26" t="s">
        <v>247</v>
      </c>
      <c r="G3" s="26" t="s">
        <v>74</v>
      </c>
      <c r="H3" s="6" t="s">
        <v>293</v>
      </c>
      <c r="L3" s="26"/>
      <c r="M3" s="26"/>
      <c r="N3" s="26"/>
      <c r="O3" s="26"/>
      <c r="P3" s="10"/>
      <c r="AB3" s="6" t="s">
        <v>283</v>
      </c>
    </row>
    <row r="4" spans="1:28" ht="6" customHeight="1" x14ac:dyDescent="0.25"/>
    <row r="5" spans="1:28" s="39" customFormat="1" ht="15" customHeight="1" x14ac:dyDescent="0.25">
      <c r="A5" s="54">
        <v>1</v>
      </c>
      <c r="B5" s="54" t="s">
        <v>78</v>
      </c>
      <c r="C5" s="54">
        <v>1</v>
      </c>
      <c r="D5" s="55">
        <v>0</v>
      </c>
      <c r="E5" s="54" t="s">
        <v>24</v>
      </c>
      <c r="F5" s="54" t="s">
        <v>278</v>
      </c>
      <c r="G5" s="74"/>
      <c r="H5" s="54" t="s">
        <v>269</v>
      </c>
      <c r="I5" s="54"/>
      <c r="J5" s="54" t="s">
        <v>222</v>
      </c>
      <c r="K5" s="54"/>
      <c r="L5" s="54" t="s">
        <v>221</v>
      </c>
      <c r="M5" s="54"/>
      <c r="N5" s="54" t="s">
        <v>220</v>
      </c>
      <c r="O5" s="54"/>
      <c r="P5" s="54" t="str">
        <f>N5</f>
        <v>W13/14 L/R</v>
      </c>
      <c r="Q5" s="54"/>
      <c r="R5" s="54" t="s">
        <v>137</v>
      </c>
      <c r="S5" s="54"/>
      <c r="T5" s="54" t="s">
        <v>136</v>
      </c>
      <c r="U5" s="54"/>
      <c r="V5" s="54" t="s">
        <v>24</v>
      </c>
      <c r="X5" s="6" t="s">
        <v>289</v>
      </c>
      <c r="AB5" s="39" t="s">
        <v>284</v>
      </c>
    </row>
    <row r="6" spans="1:28" s="39" customFormat="1" x14ac:dyDescent="0.25">
      <c r="A6" s="47"/>
      <c r="B6" s="47"/>
      <c r="C6" s="47"/>
      <c r="D6" s="47"/>
      <c r="E6" s="47">
        <v>2.3519999999999999</v>
      </c>
      <c r="F6" s="48">
        <f>E6+250/1000</f>
        <v>2.6019999999999999</v>
      </c>
      <c r="G6" s="48"/>
      <c r="H6" s="48">
        <v>28.21</v>
      </c>
      <c r="I6" s="48"/>
      <c r="J6" s="48">
        <v>28.190999999999999</v>
      </c>
      <c r="K6" s="48"/>
      <c r="L6" s="48">
        <v>28.131</v>
      </c>
      <c r="M6" s="48"/>
      <c r="N6" s="48">
        <v>28.064</v>
      </c>
      <c r="O6" s="48" t="s">
        <v>167</v>
      </c>
      <c r="P6" s="48">
        <v>0.49399999999999999</v>
      </c>
      <c r="Q6" s="48"/>
      <c r="R6" s="48">
        <v>0.57999999999999996</v>
      </c>
      <c r="S6" s="48"/>
      <c r="T6" s="48">
        <v>1.3859999999999999</v>
      </c>
      <c r="U6" s="48"/>
      <c r="V6" s="48">
        <f>_31C2</f>
        <v>2.2729999999999886</v>
      </c>
      <c r="X6" s="6" t="s">
        <v>290</v>
      </c>
      <c r="AB6" s="39" t="s">
        <v>285</v>
      </c>
    </row>
    <row r="7" spans="1:28" s="39" customFormat="1" x14ac:dyDescent="0.25">
      <c r="A7" s="37"/>
      <c r="C7" s="37"/>
      <c r="E7" s="122"/>
      <c r="F7" s="109">
        <f>ABS((F6-E6)*1000)</f>
        <v>250</v>
      </c>
      <c r="G7" s="37"/>
      <c r="H7" s="109">
        <f>'Sz 3'!K13</f>
        <v>2535</v>
      </c>
      <c r="I7" s="109">
        <f>J7</f>
        <v>2554.0000000000018</v>
      </c>
      <c r="J7" s="109">
        <f>H7+ABS((J6-H6)*1000)</f>
        <v>2554.0000000000018</v>
      </c>
      <c r="K7" s="109">
        <f>L7</f>
        <v>2614.0000000000005</v>
      </c>
      <c r="L7" s="109">
        <f>J7+ABS((L6-J6)*1000)</f>
        <v>2614.0000000000005</v>
      </c>
      <c r="M7" s="109">
        <f>N7</f>
        <v>2681.0000000000005</v>
      </c>
      <c r="N7" s="109">
        <f>L7+ABS((N6-L6)*1000)</f>
        <v>2681.0000000000005</v>
      </c>
      <c r="O7" s="109">
        <f>P7</f>
        <v>2681.0000000000005</v>
      </c>
      <c r="P7" s="113">
        <f>N7</f>
        <v>2681.0000000000005</v>
      </c>
      <c r="Q7" s="109">
        <f>R7</f>
        <v>2767.0000000000005</v>
      </c>
      <c r="R7" s="109">
        <f>P7+ABS((R6-P6)*1000)</f>
        <v>2767.0000000000005</v>
      </c>
      <c r="S7" s="109">
        <f>T7</f>
        <v>3573.0000000000005</v>
      </c>
      <c r="T7" s="109">
        <f>R7+ABS((T6-R6)*1000)</f>
        <v>3573.0000000000005</v>
      </c>
      <c r="U7" s="109">
        <f>V7</f>
        <v>4459.9999999999891</v>
      </c>
      <c r="V7" s="109">
        <f>T7+ABS((V6-T6)*1000)</f>
        <v>4459.9999999999891</v>
      </c>
      <c r="X7" s="6" t="s">
        <v>294</v>
      </c>
    </row>
    <row r="8" spans="1:28" s="39" customFormat="1" x14ac:dyDescent="0.25">
      <c r="A8" s="37"/>
      <c r="C8" s="37"/>
      <c r="G8" s="37"/>
      <c r="H8" s="110">
        <f>H7</f>
        <v>2535</v>
      </c>
      <c r="I8" s="110"/>
      <c r="J8" s="110"/>
      <c r="K8" s="110"/>
      <c r="L8" s="110"/>
      <c r="M8" s="110"/>
      <c r="N8" s="110"/>
      <c r="O8" s="110">
        <f>O7-H7</f>
        <v>146.00000000000045</v>
      </c>
      <c r="P8" s="110"/>
      <c r="Q8" s="110">
        <f>Q7-P7</f>
        <v>86</v>
      </c>
      <c r="R8" s="110"/>
      <c r="S8" s="110"/>
      <c r="T8" s="110"/>
      <c r="U8" s="110">
        <f>U7-R7</f>
        <v>1692.9999999999886</v>
      </c>
      <c r="V8" s="110"/>
      <c r="X8" s="6" t="s">
        <v>292</v>
      </c>
      <c r="AB8" s="110">
        <f>SUM(H8:V8)</f>
        <v>4459.9999999999891</v>
      </c>
    </row>
    <row r="9" spans="1:28" s="39" customFormat="1" ht="15.75" x14ac:dyDescent="0.25">
      <c r="A9" s="71" t="s">
        <v>170</v>
      </c>
      <c r="F9" s="37"/>
      <c r="G9" s="37"/>
      <c r="H9" s="52">
        <v>60</v>
      </c>
      <c r="I9" s="52">
        <f>H9</f>
        <v>60</v>
      </c>
      <c r="J9" s="52">
        <v>60</v>
      </c>
      <c r="K9" s="52">
        <f>J9</f>
        <v>60</v>
      </c>
      <c r="L9" s="52">
        <v>60</v>
      </c>
      <c r="M9" s="52">
        <f>L9</f>
        <v>60</v>
      </c>
      <c r="N9" s="52">
        <v>60</v>
      </c>
      <c r="O9" s="52">
        <f>N9</f>
        <v>60</v>
      </c>
      <c r="P9" s="52">
        <v>160</v>
      </c>
      <c r="Q9" s="52">
        <f>P9</f>
        <v>160</v>
      </c>
      <c r="R9" s="52">
        <v>160</v>
      </c>
      <c r="S9" s="52">
        <f>R9</f>
        <v>160</v>
      </c>
      <c r="T9" s="52">
        <v>160</v>
      </c>
      <c r="U9" s="52">
        <f>T9</f>
        <v>160</v>
      </c>
      <c r="V9" s="52">
        <v>0</v>
      </c>
      <c r="X9" s="6" t="s">
        <v>291</v>
      </c>
    </row>
    <row r="10" spans="1:28" s="39" customFormat="1" x14ac:dyDescent="0.25">
      <c r="A10" s="37"/>
      <c r="F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8" s="39" customFormat="1" x14ac:dyDescent="0.25">
      <c r="A11" s="37"/>
      <c r="F11" s="37"/>
    </row>
    <row r="12" spans="1:28" s="39" customFormat="1" x14ac:dyDescent="0.25">
      <c r="A12" s="37"/>
      <c r="F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8" s="39" customFormat="1" x14ac:dyDescent="0.25">
      <c r="A13" s="37"/>
      <c r="F13" s="37"/>
    </row>
    <row r="14" spans="1:28" s="39" customFormat="1" x14ac:dyDescent="0.25">
      <c r="A14" s="37"/>
      <c r="C14" s="37"/>
      <c r="F14" s="32"/>
      <c r="L14" s="37"/>
      <c r="M14" s="37"/>
      <c r="N14" s="37"/>
      <c r="O14" s="37"/>
    </row>
    <row r="15" spans="1:28" s="39" customFormat="1" x14ac:dyDescent="0.25">
      <c r="A15" s="37"/>
      <c r="C15" s="37"/>
      <c r="D15" s="38"/>
      <c r="E15" s="37"/>
      <c r="F15" s="32"/>
      <c r="G15" s="37"/>
      <c r="H15" s="37"/>
      <c r="I15" s="37"/>
      <c r="J15" s="37"/>
      <c r="K15" s="37"/>
      <c r="L15" s="37"/>
      <c r="M15" s="37"/>
      <c r="N15" s="37"/>
      <c r="O15" s="37"/>
    </row>
    <row r="16" spans="1:28" s="39" customFormat="1" x14ac:dyDescent="0.25">
      <c r="A16" s="37"/>
      <c r="C16" s="37"/>
      <c r="D16" s="32"/>
      <c r="E16" s="37"/>
      <c r="F16" s="32"/>
      <c r="G16" s="37"/>
      <c r="H16" s="37"/>
      <c r="I16" s="37"/>
      <c r="J16" s="37"/>
      <c r="K16" s="37"/>
      <c r="L16" s="37"/>
      <c r="M16" s="37"/>
      <c r="N16" s="37"/>
      <c r="O16" s="37"/>
    </row>
    <row r="17" spans="1:28" s="39" customFormat="1" x14ac:dyDescent="0.25">
      <c r="A17" s="37"/>
      <c r="C17" s="37"/>
      <c r="D17" s="37"/>
      <c r="E17" s="37"/>
      <c r="F17" s="32"/>
      <c r="G17" s="37"/>
      <c r="H17" s="37"/>
      <c r="I17" s="37"/>
      <c r="J17" s="37"/>
      <c r="K17" s="37"/>
      <c r="L17" s="37"/>
      <c r="M17" s="37"/>
      <c r="N17" s="37"/>
      <c r="O17" s="37"/>
    </row>
    <row r="18" spans="1:28" s="39" customFormat="1" x14ac:dyDescent="0.25">
      <c r="A18" s="37"/>
      <c r="C18" s="37"/>
      <c r="D18" s="37"/>
      <c r="E18" s="37"/>
      <c r="F18" s="32"/>
      <c r="G18" s="37"/>
      <c r="H18" s="37"/>
      <c r="I18" s="37"/>
      <c r="J18" s="37"/>
      <c r="K18" s="37"/>
      <c r="L18" s="37"/>
      <c r="M18" s="37"/>
      <c r="N18" s="37"/>
      <c r="O18" s="37"/>
    </row>
    <row r="19" spans="1:28" s="39" customFormat="1" x14ac:dyDescent="0.25">
      <c r="C19" s="37"/>
      <c r="F19" s="37"/>
      <c r="L19" s="37"/>
      <c r="M19" s="37"/>
      <c r="N19" s="37"/>
      <c r="O19" s="37"/>
    </row>
    <row r="20" spans="1:28" s="39" customFormat="1" x14ac:dyDescent="0.25">
      <c r="A20" s="37"/>
      <c r="C20" s="37"/>
      <c r="D20" s="38"/>
      <c r="E20" s="37"/>
      <c r="F20" s="32"/>
      <c r="G20" s="37"/>
      <c r="H20" s="32"/>
      <c r="I20" s="32"/>
      <c r="J20" s="37"/>
      <c r="K20" s="37"/>
      <c r="L20" s="37"/>
      <c r="M20" s="37"/>
      <c r="N20" s="37"/>
      <c r="O20" s="37"/>
    </row>
    <row r="21" spans="1:28" s="39" customFormat="1" ht="6" customHeight="1" x14ac:dyDescent="0.25">
      <c r="A21" s="42"/>
      <c r="B21" s="43"/>
      <c r="C21" s="42"/>
      <c r="D21" s="42"/>
      <c r="E21" s="42"/>
      <c r="F21" s="44"/>
      <c r="G21" s="42"/>
      <c r="H21" s="43"/>
      <c r="I21" s="43"/>
      <c r="J21" s="43"/>
      <c r="K21" s="43"/>
      <c r="L21" s="43"/>
      <c r="M21" s="45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8" s="39" customFormat="1" ht="15" customHeight="1" x14ac:dyDescent="0.25">
      <c r="A22" s="90">
        <v>2</v>
      </c>
      <c r="B22" s="90" t="s">
        <v>217</v>
      </c>
      <c r="C22" s="90">
        <v>1</v>
      </c>
      <c r="D22" s="91"/>
      <c r="E22" s="92" t="s">
        <v>39</v>
      </c>
      <c r="F22" s="92" t="s">
        <v>279</v>
      </c>
      <c r="G22" s="93"/>
      <c r="H22" s="94" t="s">
        <v>268</v>
      </c>
      <c r="I22" s="95"/>
      <c r="J22" s="90" t="s">
        <v>358</v>
      </c>
      <c r="K22" s="90"/>
      <c r="L22" s="90" t="s">
        <v>371</v>
      </c>
      <c r="M22" s="90"/>
      <c r="N22" s="90" t="s">
        <v>372</v>
      </c>
      <c r="O22" s="90"/>
      <c r="P22" s="90" t="s">
        <v>373</v>
      </c>
      <c r="Q22" s="90"/>
      <c r="R22" s="90" t="s">
        <v>258</v>
      </c>
      <c r="S22" s="90"/>
      <c r="T22" s="90" t="s">
        <v>359</v>
      </c>
      <c r="U22" s="90"/>
      <c r="V22" s="90" t="s">
        <v>207</v>
      </c>
      <c r="W22" s="90"/>
      <c r="X22" s="90" t="s">
        <v>27</v>
      </c>
    </row>
    <row r="23" spans="1:28" s="39" customFormat="1" x14ac:dyDescent="0.25">
      <c r="A23" s="96"/>
      <c r="B23" s="96"/>
      <c r="C23" s="96"/>
      <c r="D23" s="96"/>
      <c r="E23" s="97">
        <v>25.715</v>
      </c>
      <c r="F23" s="96">
        <f>E23+250/1000</f>
        <v>25.965</v>
      </c>
      <c r="G23" s="98"/>
      <c r="H23" s="97">
        <v>28.274999999999999</v>
      </c>
      <c r="I23" s="97"/>
      <c r="J23" s="97">
        <v>28.231000000000002</v>
      </c>
      <c r="K23" s="97"/>
      <c r="L23" s="97">
        <v>28.213999999999999</v>
      </c>
      <c r="M23" s="97"/>
      <c r="N23" s="97">
        <v>28.018999999999998</v>
      </c>
      <c r="O23" s="97"/>
      <c r="P23" s="97">
        <v>27.75</v>
      </c>
      <c r="Q23" s="97"/>
      <c r="R23" s="97">
        <v>27.672000000000001</v>
      </c>
      <c r="S23" s="97"/>
      <c r="T23" s="97">
        <v>27.632000000000001</v>
      </c>
      <c r="U23" s="97"/>
      <c r="V23" s="97">
        <v>27.378</v>
      </c>
      <c r="W23" s="97"/>
      <c r="X23" s="97">
        <f>_15DD</f>
        <v>25.4</v>
      </c>
    </row>
    <row r="24" spans="1:28" s="39" customFormat="1" x14ac:dyDescent="0.25">
      <c r="A24" s="37"/>
      <c r="C24" s="37"/>
      <c r="E24" s="122"/>
      <c r="F24" s="109">
        <f>ABS((F23-E23)*1000)</f>
        <v>250</v>
      </c>
      <c r="H24" s="109">
        <f>'Sz 3'!K14</f>
        <v>813.00000000000239</v>
      </c>
      <c r="I24" s="109">
        <f>J24</f>
        <v>856.99999999999932</v>
      </c>
      <c r="J24" s="109">
        <f>H24+ABS((J23-H23)*1000)</f>
        <v>856.99999999999932</v>
      </c>
      <c r="K24" s="109">
        <f>L24</f>
        <v>874.00000000000227</v>
      </c>
      <c r="L24" s="109">
        <f>J24+ABS((L23-J23)*1000)</f>
        <v>874.00000000000227</v>
      </c>
      <c r="M24" s="109">
        <f>N24</f>
        <v>1069.0000000000025</v>
      </c>
      <c r="N24" s="109">
        <f>L24+ABS((N23-L23)*1000)</f>
        <v>1069.0000000000025</v>
      </c>
      <c r="O24" s="109">
        <f>P24</f>
        <v>1338.0000000000009</v>
      </c>
      <c r="P24" s="109">
        <f>N24+ABS((P23-N23)*1000)</f>
        <v>1338.0000000000009</v>
      </c>
      <c r="Q24" s="109">
        <f>R24</f>
        <v>1416.0000000000002</v>
      </c>
      <c r="R24" s="109">
        <f>P24+ABS((R23-P23)*1000)</f>
        <v>1416.0000000000002</v>
      </c>
      <c r="S24" s="109">
        <f>T24</f>
        <v>1455.9999999999993</v>
      </c>
      <c r="T24" s="109">
        <f>R24+ABS((T23-R23)*1000)</f>
        <v>1455.9999999999993</v>
      </c>
      <c r="U24" s="109">
        <f>V24</f>
        <v>1710.0000000000007</v>
      </c>
      <c r="V24" s="109">
        <f>T24+ABS((V23-T23)*1000)</f>
        <v>1710.0000000000007</v>
      </c>
      <c r="W24" s="109">
        <f>X24</f>
        <v>3688.0000000000023</v>
      </c>
      <c r="X24" s="109">
        <f>V24+ABS((X23-V23)*1000)</f>
        <v>3688.0000000000023</v>
      </c>
    </row>
    <row r="25" spans="1:28" s="39" customFormat="1" x14ac:dyDescent="0.25">
      <c r="A25" s="37"/>
      <c r="C25" s="37"/>
      <c r="H25" s="110">
        <f>H24</f>
        <v>813.00000000000239</v>
      </c>
      <c r="I25" s="110"/>
      <c r="J25" s="110"/>
      <c r="K25" s="110"/>
      <c r="L25" s="110"/>
      <c r="M25" s="110"/>
      <c r="N25" s="110"/>
      <c r="O25" s="110">
        <f>O24-H24</f>
        <v>524.99999999999852</v>
      </c>
      <c r="P25" s="110"/>
      <c r="Q25" s="110"/>
      <c r="R25" s="110"/>
      <c r="S25" s="110">
        <f>S24-P24</f>
        <v>117.99999999999841</v>
      </c>
      <c r="T25" s="110"/>
      <c r="U25" s="110"/>
      <c r="V25" s="110"/>
      <c r="W25" s="110">
        <f>W24-T24</f>
        <v>2232.0000000000027</v>
      </c>
      <c r="X25" s="110"/>
      <c r="AB25" s="110">
        <f>SUM(H25:X25)</f>
        <v>3688.0000000000018</v>
      </c>
    </row>
    <row r="26" spans="1:28" s="39" customFormat="1" x14ac:dyDescent="0.25">
      <c r="A26" s="37"/>
      <c r="C26" s="37"/>
      <c r="F26" s="37"/>
      <c r="H26" s="52">
        <v>60</v>
      </c>
      <c r="I26" s="52">
        <f>H26</f>
        <v>60</v>
      </c>
      <c r="J26" s="52">
        <v>60</v>
      </c>
      <c r="K26" s="52">
        <f>J26</f>
        <v>60</v>
      </c>
      <c r="L26" s="52">
        <v>60</v>
      </c>
      <c r="M26" s="52">
        <f>L26</f>
        <v>60</v>
      </c>
      <c r="N26" s="52">
        <v>60</v>
      </c>
      <c r="O26" s="52">
        <f>N26</f>
        <v>60</v>
      </c>
      <c r="P26" s="52">
        <v>60</v>
      </c>
      <c r="Q26" s="52">
        <f>P26</f>
        <v>60</v>
      </c>
      <c r="R26" s="52">
        <v>60</v>
      </c>
      <c r="S26" s="52">
        <f>R26</f>
        <v>60</v>
      </c>
      <c r="T26" s="52">
        <v>160</v>
      </c>
      <c r="U26" s="52">
        <f>T26</f>
        <v>160</v>
      </c>
      <c r="V26" s="52">
        <v>160</v>
      </c>
      <c r="W26" s="52">
        <f>V26</f>
        <v>160</v>
      </c>
      <c r="X26" s="52">
        <v>0</v>
      </c>
    </row>
    <row r="27" spans="1:28" s="39" customFormat="1" x14ac:dyDescent="0.25">
      <c r="A27" s="37"/>
      <c r="F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8" s="39" customFormat="1" x14ac:dyDescent="0.25">
      <c r="A28" s="37"/>
      <c r="F28" s="37"/>
    </row>
    <row r="29" spans="1:28" s="39" customFormat="1" x14ac:dyDescent="0.25">
      <c r="A29" s="37"/>
      <c r="F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8" s="39" customFormat="1" x14ac:dyDescent="0.25">
      <c r="A30" s="37"/>
      <c r="F30" s="37"/>
    </row>
    <row r="31" spans="1:28" s="39" customFormat="1" x14ac:dyDescent="0.25">
      <c r="A31" s="37"/>
      <c r="C31" s="37"/>
      <c r="F31" s="32"/>
      <c r="L31" s="37"/>
      <c r="M31" s="37"/>
      <c r="N31" s="37"/>
      <c r="O31" s="37"/>
    </row>
    <row r="32" spans="1:28" s="39" customFormat="1" x14ac:dyDescent="0.25">
      <c r="A32" s="37"/>
      <c r="C32" s="37"/>
      <c r="D32" s="38"/>
      <c r="E32" s="37"/>
      <c r="F32" s="32"/>
      <c r="G32" s="37"/>
      <c r="H32" s="37"/>
      <c r="I32" s="37"/>
      <c r="J32" s="37"/>
      <c r="K32" s="37"/>
      <c r="L32" s="37"/>
      <c r="M32" s="37"/>
      <c r="N32" s="37"/>
      <c r="O32" s="37"/>
    </row>
    <row r="33" spans="1:28" s="39" customFormat="1" x14ac:dyDescent="0.25">
      <c r="A33" s="37"/>
      <c r="C33" s="37"/>
      <c r="D33" s="32"/>
      <c r="E33" s="37"/>
      <c r="F33" s="32"/>
      <c r="G33" s="37"/>
      <c r="H33" s="37"/>
      <c r="I33" s="37"/>
      <c r="J33" s="37"/>
      <c r="K33" s="37"/>
      <c r="L33" s="37"/>
      <c r="M33" s="37"/>
      <c r="N33" s="37"/>
      <c r="O33" s="37"/>
    </row>
    <row r="34" spans="1:28" s="39" customFormat="1" x14ac:dyDescent="0.25">
      <c r="A34" s="37"/>
      <c r="C34" s="37"/>
      <c r="D34" s="37"/>
      <c r="E34" s="37"/>
      <c r="F34" s="32"/>
      <c r="G34" s="37"/>
      <c r="H34" s="37"/>
      <c r="I34" s="37"/>
      <c r="J34" s="37"/>
      <c r="K34" s="37"/>
      <c r="L34" s="37"/>
      <c r="M34" s="37"/>
      <c r="N34" s="37"/>
      <c r="O34" s="37"/>
    </row>
    <row r="35" spans="1:28" s="39" customFormat="1" x14ac:dyDescent="0.25">
      <c r="A35" s="37"/>
      <c r="C35" s="37"/>
      <c r="D35" s="37"/>
      <c r="E35" s="37"/>
      <c r="F35" s="32"/>
      <c r="G35" s="37"/>
      <c r="H35" s="37"/>
      <c r="I35" s="37"/>
      <c r="J35" s="37"/>
      <c r="K35" s="37"/>
      <c r="L35" s="37"/>
      <c r="M35" s="37"/>
      <c r="N35" s="37"/>
      <c r="O35" s="37"/>
    </row>
    <row r="36" spans="1:28" s="39" customFormat="1" ht="15.75" x14ac:dyDescent="0.25">
      <c r="A36" s="71"/>
      <c r="C36" s="37"/>
      <c r="F36" s="37"/>
      <c r="L36" s="37"/>
      <c r="M36" s="37"/>
      <c r="N36" s="37"/>
      <c r="O36" s="37"/>
    </row>
    <row r="37" spans="1:28" s="39" customFormat="1" x14ac:dyDescent="0.25">
      <c r="A37" s="37"/>
      <c r="C37" s="37"/>
      <c r="D37" s="38"/>
      <c r="E37" s="37"/>
      <c r="F37" s="32"/>
      <c r="G37" s="37"/>
      <c r="H37" s="32"/>
      <c r="I37" s="32"/>
      <c r="J37" s="37"/>
      <c r="K37" s="37"/>
      <c r="L37" s="37"/>
      <c r="M37" s="37"/>
      <c r="N37" s="37"/>
      <c r="O37" s="37"/>
    </row>
    <row r="38" spans="1:28" s="39" customFormat="1" ht="6" customHeight="1" x14ac:dyDescent="0.25">
      <c r="A38" s="42"/>
      <c r="B38" s="43"/>
      <c r="C38" s="42"/>
      <c r="D38" s="42"/>
      <c r="E38" s="42"/>
      <c r="F38" s="44"/>
      <c r="G38" s="42"/>
      <c r="H38" s="43"/>
      <c r="I38" s="43"/>
      <c r="J38" s="43"/>
      <c r="K38" s="43"/>
      <c r="L38" s="43"/>
      <c r="M38" s="45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6"/>
    </row>
    <row r="39" spans="1:28" s="39" customFormat="1" ht="15" customHeight="1" x14ac:dyDescent="0.25">
      <c r="A39" s="82">
        <v>3</v>
      </c>
      <c r="B39" s="82" t="s">
        <v>68</v>
      </c>
      <c r="C39" s="82">
        <v>1</v>
      </c>
      <c r="D39" s="83"/>
      <c r="E39" s="83" t="s">
        <v>267</v>
      </c>
      <c r="F39" s="83" t="s">
        <v>223</v>
      </c>
      <c r="G39" s="84"/>
      <c r="H39" s="85" t="s">
        <v>26</v>
      </c>
      <c r="I39" s="85"/>
      <c r="J39" s="82" t="s">
        <v>224</v>
      </c>
      <c r="K39" s="82"/>
      <c r="L39" s="82" t="s">
        <v>374</v>
      </c>
      <c r="M39" s="82"/>
      <c r="N39" s="82" t="s">
        <v>375</v>
      </c>
      <c r="O39" s="82"/>
      <c r="P39" s="82" t="s">
        <v>347</v>
      </c>
      <c r="Q39" s="82"/>
      <c r="R39" s="82" t="s">
        <v>144</v>
      </c>
      <c r="S39" s="82"/>
      <c r="T39" s="82" t="s">
        <v>376</v>
      </c>
      <c r="U39" s="82"/>
      <c r="V39" s="82" t="s">
        <v>212</v>
      </c>
      <c r="W39" s="82"/>
      <c r="X39" s="82" t="s">
        <v>267</v>
      </c>
    </row>
    <row r="40" spans="1:28" s="39" customFormat="1" x14ac:dyDescent="0.25">
      <c r="A40" s="86"/>
      <c r="B40" s="87"/>
      <c r="C40" s="87"/>
      <c r="D40" s="88"/>
      <c r="E40" s="89">
        <v>28.285</v>
      </c>
      <c r="F40" s="89">
        <v>28.064</v>
      </c>
      <c r="G40" s="87"/>
      <c r="H40" s="89">
        <f>_10AA</f>
        <v>30.742999999999999</v>
      </c>
      <c r="I40" s="89"/>
      <c r="J40" s="89">
        <v>29.312999999999999</v>
      </c>
      <c r="K40" s="89"/>
      <c r="L40" s="89">
        <v>29.18</v>
      </c>
      <c r="M40" s="89"/>
      <c r="N40" s="89">
        <v>29.099</v>
      </c>
      <c r="O40" s="89"/>
      <c r="P40" s="89">
        <v>29.076000000000001</v>
      </c>
      <c r="Q40" s="89"/>
      <c r="R40" s="89">
        <v>29.068000000000001</v>
      </c>
      <c r="S40" s="89"/>
      <c r="T40" s="89">
        <v>28.841999999999999</v>
      </c>
      <c r="U40" s="89"/>
      <c r="V40" s="89">
        <v>28.756</v>
      </c>
      <c r="W40" s="89"/>
      <c r="X40" s="89">
        <v>28.285</v>
      </c>
    </row>
    <row r="41" spans="1:28" s="39" customFormat="1" x14ac:dyDescent="0.25">
      <c r="A41" s="37"/>
      <c r="C41" s="37"/>
      <c r="D41" s="37"/>
      <c r="E41" s="122"/>
      <c r="F41" s="109">
        <f>ABS((F40-E40)*1000)</f>
        <v>221.00000000000009</v>
      </c>
      <c r="G41" s="37"/>
      <c r="H41" s="109">
        <v>0</v>
      </c>
      <c r="I41" s="109">
        <f>J41</f>
        <v>1429.9999999999998</v>
      </c>
      <c r="J41" s="109">
        <f>H41+ABS((J40-H40)*1000)</f>
        <v>1429.9999999999998</v>
      </c>
      <c r="K41" s="109">
        <f>L41</f>
        <v>1562.9999999999989</v>
      </c>
      <c r="L41" s="109">
        <f>J41+ABS((L40-J40)*1000)</f>
        <v>1562.9999999999989</v>
      </c>
      <c r="M41" s="109">
        <f>N41</f>
        <v>1643.9999999999984</v>
      </c>
      <c r="N41" s="109">
        <f>J41+ABS((N40-J40)*1000)</f>
        <v>1643.9999999999984</v>
      </c>
      <c r="O41" s="109">
        <f>P41</f>
        <v>1666.9999999999982</v>
      </c>
      <c r="P41" s="109">
        <f>L41+ABS((P40-L40)*1000)</f>
        <v>1666.9999999999982</v>
      </c>
      <c r="Q41" s="109">
        <f>R41</f>
        <v>1674.9999999999973</v>
      </c>
      <c r="R41" s="109">
        <f>N41+ABS((R40-N40)*1000)</f>
        <v>1674.9999999999973</v>
      </c>
      <c r="S41" s="109">
        <f>T41</f>
        <v>1901</v>
      </c>
      <c r="T41" s="109">
        <f>P41+ABS((T40-P40)*1000)</f>
        <v>1901</v>
      </c>
      <c r="U41" s="109">
        <f>V41</f>
        <v>1986.9999999999984</v>
      </c>
      <c r="V41" s="109">
        <f>R41+ABS((V40-R40)*1000)</f>
        <v>1986.9999999999984</v>
      </c>
      <c r="W41" s="109">
        <f>X41</f>
        <v>2457.9999999999986</v>
      </c>
      <c r="X41" s="109">
        <f>T41+ABS((X40-T40)*1000)</f>
        <v>2457.9999999999986</v>
      </c>
    </row>
    <row r="42" spans="1:28" s="39" customFormat="1" x14ac:dyDescent="0.25">
      <c r="A42" s="37"/>
      <c r="C42" s="37"/>
      <c r="D42" s="37"/>
      <c r="E42" s="37"/>
      <c r="G42" s="37"/>
      <c r="H42" s="110">
        <f>H41</f>
        <v>0</v>
      </c>
      <c r="I42" s="110"/>
      <c r="J42" s="110"/>
      <c r="K42" s="110">
        <f>K41-H41</f>
        <v>1562.9999999999989</v>
      </c>
      <c r="L42" s="110"/>
      <c r="M42" s="110"/>
      <c r="N42" s="110"/>
      <c r="O42" s="110"/>
      <c r="P42" s="110"/>
      <c r="Q42" s="110">
        <f>Q41-L41</f>
        <v>111.99999999999841</v>
      </c>
      <c r="R42" s="110"/>
      <c r="S42" s="110">
        <f>S41-R41</f>
        <v>226.00000000000273</v>
      </c>
      <c r="T42" s="110"/>
      <c r="U42" s="110">
        <f>U41-L41</f>
        <v>423.99999999999955</v>
      </c>
      <c r="V42" s="110"/>
      <c r="W42" s="110">
        <f>W41-V41</f>
        <v>471.00000000000023</v>
      </c>
      <c r="X42" s="110"/>
      <c r="AB42" s="110">
        <f>SUM(H42:X42)</f>
        <v>2796</v>
      </c>
    </row>
    <row r="43" spans="1:28" s="39" customFormat="1" x14ac:dyDescent="0.25">
      <c r="A43" s="37"/>
      <c r="C43" s="37"/>
      <c r="D43" s="37"/>
      <c r="E43" s="37"/>
      <c r="F43" s="32"/>
      <c r="G43" s="37"/>
      <c r="H43" s="52">
        <v>160</v>
      </c>
      <c r="I43" s="52">
        <f>H43</f>
        <v>160</v>
      </c>
      <c r="J43" s="52">
        <v>160</v>
      </c>
      <c r="K43" s="52">
        <f>J43</f>
        <v>160</v>
      </c>
      <c r="L43" s="52">
        <v>60</v>
      </c>
      <c r="M43" s="52">
        <f>L43</f>
        <v>60</v>
      </c>
      <c r="N43" s="52">
        <v>60</v>
      </c>
      <c r="O43" s="52">
        <f>N43</f>
        <v>60</v>
      </c>
      <c r="P43" s="52">
        <v>60</v>
      </c>
      <c r="Q43" s="52">
        <f>P43</f>
        <v>60</v>
      </c>
      <c r="R43" s="52">
        <v>160</v>
      </c>
      <c r="S43" s="52">
        <f>R43</f>
        <v>160</v>
      </c>
      <c r="T43" s="52">
        <v>60</v>
      </c>
      <c r="U43" s="52">
        <f>T43</f>
        <v>60</v>
      </c>
      <c r="V43" s="52">
        <v>160</v>
      </c>
      <c r="W43" s="52">
        <f>V43</f>
        <v>160</v>
      </c>
      <c r="X43" s="52">
        <v>0</v>
      </c>
    </row>
    <row r="44" spans="1:28" s="39" customFormat="1" x14ac:dyDescent="0.25">
      <c r="A44" s="37"/>
      <c r="F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8" s="39" customFormat="1" x14ac:dyDescent="0.25">
      <c r="A45" s="37"/>
      <c r="F45" s="37"/>
    </row>
    <row r="46" spans="1:28" s="39" customFormat="1" x14ac:dyDescent="0.25">
      <c r="A46" s="37"/>
      <c r="F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8" s="39" customFormat="1" x14ac:dyDescent="0.25">
      <c r="A47" s="37"/>
      <c r="F47" s="37"/>
    </row>
    <row r="48" spans="1:28" s="39" customFormat="1" x14ac:dyDescent="0.25">
      <c r="A48" s="37"/>
      <c r="C48" s="37"/>
      <c r="F48" s="32"/>
      <c r="L48" s="37"/>
      <c r="M48" s="37"/>
      <c r="N48" s="37"/>
      <c r="O48" s="37"/>
    </row>
    <row r="49" spans="1:15" s="39" customFormat="1" x14ac:dyDescent="0.25">
      <c r="A49" s="37"/>
      <c r="C49" s="37"/>
      <c r="D49" s="38"/>
      <c r="E49" s="37"/>
      <c r="F49" s="32"/>
      <c r="G49" s="37"/>
      <c r="H49" s="37"/>
      <c r="I49" s="37"/>
      <c r="J49" s="37"/>
      <c r="K49" s="37"/>
      <c r="L49" s="37"/>
      <c r="M49" s="37"/>
      <c r="N49" s="37"/>
      <c r="O49" s="37"/>
    </row>
    <row r="50" spans="1:15" s="39" customFormat="1" x14ac:dyDescent="0.25">
      <c r="A50" s="37"/>
      <c r="C50" s="37"/>
      <c r="D50" s="32"/>
      <c r="E50" s="37"/>
      <c r="F50" s="32"/>
      <c r="G50" s="37"/>
      <c r="H50" s="37"/>
      <c r="I50" s="37"/>
      <c r="J50" s="37"/>
      <c r="K50" s="37"/>
      <c r="L50" s="37"/>
      <c r="M50" s="37"/>
      <c r="N50" s="37"/>
      <c r="O50" s="37"/>
    </row>
    <row r="51" spans="1:15" s="39" customFormat="1" x14ac:dyDescent="0.25">
      <c r="A51" s="37"/>
      <c r="C51" s="37"/>
      <c r="D51" s="37"/>
      <c r="E51" s="37"/>
      <c r="F51" s="32"/>
      <c r="G51" s="37"/>
      <c r="H51" s="37"/>
      <c r="I51" s="37"/>
      <c r="J51" s="37"/>
      <c r="K51" s="37"/>
      <c r="L51" s="37"/>
      <c r="M51" s="37"/>
      <c r="N51" s="37"/>
      <c r="O51" s="37"/>
    </row>
    <row r="52" spans="1:15" s="39" customFormat="1" x14ac:dyDescent="0.25">
      <c r="A52" s="37"/>
      <c r="C52" s="37"/>
      <c r="D52" s="37"/>
      <c r="E52" s="37"/>
      <c r="F52" s="32"/>
      <c r="G52" s="37"/>
      <c r="H52" s="37"/>
      <c r="I52" s="37"/>
      <c r="J52" s="37"/>
      <c r="K52" s="37"/>
      <c r="L52" s="37"/>
      <c r="M52" s="37"/>
      <c r="N52" s="37"/>
      <c r="O52" s="37"/>
    </row>
    <row r="53" spans="1:15" s="39" customFormat="1" ht="15.75" x14ac:dyDescent="0.25">
      <c r="A53" s="71"/>
      <c r="C53" s="37"/>
      <c r="F53" s="37"/>
      <c r="L53" s="37"/>
      <c r="M53" s="37"/>
      <c r="N53" s="37"/>
      <c r="O53" s="37"/>
    </row>
    <row r="54" spans="1:15" s="39" customFormat="1" x14ac:dyDescent="0.25">
      <c r="A54" s="37"/>
      <c r="C54" s="37"/>
      <c r="D54" s="38"/>
      <c r="E54" s="37"/>
      <c r="F54" s="32"/>
      <c r="G54" s="37"/>
      <c r="H54" s="32"/>
      <c r="I54" s="32"/>
      <c r="J54" s="37"/>
      <c r="K54" s="37"/>
      <c r="L54" s="37"/>
      <c r="M54" s="37"/>
      <c r="N54" s="37"/>
      <c r="O54" s="37"/>
    </row>
  </sheetData>
  <mergeCells count="1">
    <mergeCell ref="I1:K1"/>
  </mergeCells>
  <pageMargins left="0.26" right="0.13" top="0.52" bottom="0.46" header="0.3" footer="0.3"/>
  <pageSetup paperSize="9" scale="73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smL'!H9:H9</xm:f>
              <xm:sqref>H11</xm:sqref>
            </x14:sparkline>
            <x14:sparkline>
              <xm:f>'Sz 3 smL'!I9:I9</xm:f>
              <xm:sqref>I11</xm:sqref>
            </x14:sparkline>
            <x14:sparkline>
              <xm:f>'Sz 3 smL'!J9:J9</xm:f>
              <xm:sqref>J11</xm:sqref>
            </x14:sparkline>
            <x14:sparkline>
              <xm:f>'Sz 3 smL'!K9:K9</xm:f>
              <xm:sqref>K11</xm:sqref>
            </x14:sparkline>
            <x14:sparkline>
              <xm:f>'Sz 3 smL'!L9:L9</xm:f>
              <xm:sqref>L11</xm:sqref>
            </x14:sparkline>
            <x14:sparkline>
              <xm:f>'Sz 3 smL'!M9:M9</xm:f>
              <xm:sqref>M11</xm:sqref>
            </x14:sparkline>
            <x14:sparkline>
              <xm:f>'Sz 3 smL'!N9:N9</xm:f>
              <xm:sqref>N11</xm:sqref>
            </x14:sparkline>
            <x14:sparkline>
              <xm:f>'Sz 3 smL'!O9:O9</xm:f>
              <xm:sqref>O11</xm:sqref>
            </x14:sparkline>
            <x14:sparkline>
              <xm:f>'Sz 3 smL'!R9:R9</xm:f>
              <xm:sqref>P11</xm:sqref>
            </x14:sparkline>
            <x14:sparkline>
              <xm:f>'Sz 3 smL'!S9:S9</xm:f>
              <xm:sqref>Q11</xm:sqref>
            </x14:sparkline>
            <x14:sparkline>
              <xm:sqref>R11</xm:sqref>
            </x14:sparkline>
            <x14:sparkline>
              <xm:sqref>S11</xm:sqref>
            </x14:sparkline>
            <x14:sparkline>
              <xm:f>'Sz 3 smL'!T9:T9</xm:f>
              <xm:sqref>T11</xm:sqref>
            </x14:sparkline>
            <x14:sparkline>
              <xm:f>'Sz 3 smL'!U9:U9</xm:f>
              <xm:sqref>U11</xm:sqref>
            </x14:sparkline>
            <x14:sparkline>
              <xm:f>'Sz 3 smL'!V9:V9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smL'!H26:H26</xm:f>
              <xm:sqref>H28</xm:sqref>
            </x14:sparkline>
            <x14:sparkline>
              <xm:f>'Sz 3 smL'!I26:I26</xm:f>
              <xm:sqref>I28</xm:sqref>
            </x14:sparkline>
            <x14:sparkline>
              <xm:f>'Sz 3 smL'!J26:J26</xm:f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f>'Sz 3 smL'!K26:K26</xm:f>
              <xm:sqref>M28</xm:sqref>
            </x14:sparkline>
            <x14:sparkline>
              <xm:f>'Sz 3 smL'!N26:N26</xm:f>
              <xm:sqref>N28</xm:sqref>
            </x14:sparkline>
            <x14:sparkline>
              <xm:f>'Sz 3 smL'!O26:O26</xm:f>
              <xm:sqref>O28</xm:sqref>
            </x14:sparkline>
            <x14:sparkline>
              <xm:f>'Sz 3 smL'!R26:R26</xm:f>
              <xm:sqref>P28</xm:sqref>
            </x14:sparkline>
            <x14:sparkline>
              <xm:f>'Sz 3 smL'!S26:S26</xm:f>
              <xm:sqref>Q28</xm:sqref>
            </x14:sparkline>
            <x14:sparkline>
              <xm:f>'Sz 3 smL'!V26:V26</xm:f>
              <xm:sqref>R28</xm:sqref>
            </x14:sparkline>
            <x14:sparkline>
              <xm:f>'Sz 3 smL'!W26:W26</xm:f>
              <xm:sqref>S28</xm:sqref>
            </x14:sparkline>
            <x14:sparkline>
              <xm:f>'Sz 3 smL'!X26:X26</xm:f>
              <xm:sqref>T28</xm:sqref>
            </x14:sparkline>
            <x14:sparkline>
              <xm:sqref>U28</xm:sqref>
            </x14:sparkline>
            <x14:sparkline>
              <xm:f>'Sz 3 smL'!AA26:AA26</xm:f>
              <xm:sqref>V28</xm:sqref>
            </x14:sparkline>
            <x14:sparkline>
              <xm:f>'Sz 3 smL'!AB26:AB26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smL'!H43:H43</xm:f>
              <xm:sqref>H45</xm:sqref>
            </x14:sparkline>
            <x14:sparkline>
              <xm:f>'Sz 3 smL'!I43:I43</xm:f>
              <xm:sqref>I45</xm:sqref>
            </x14:sparkline>
            <x14:sparkline>
              <xm:f>'Sz 3 smL'!J43:J43</xm:f>
              <xm:sqref>J45</xm:sqref>
            </x14:sparkline>
            <x14:sparkline>
              <xm:f>'Sz 3 smL'!K43:K43</xm:f>
              <xm:sqref>K45</xm:sqref>
            </x14:sparkline>
            <x14:sparkline>
              <xm:f>'Sz 3 smL'!N43:N43</xm:f>
              <xm:sqref>L45</xm:sqref>
            </x14:sparkline>
            <x14:sparkline>
              <xm:f>'Sz 3 smL'!O43:O43</xm:f>
              <xm:sqref>M45</xm:sqref>
            </x14:sparkline>
            <x14:sparkline>
              <xm:f>'Sz 3 smL'!P43:P43</xm:f>
              <xm:sqref>N45</xm:sqref>
            </x14:sparkline>
            <x14:sparkline>
              <xm:f>'Sz 3 smL'!Q43:Q43</xm:f>
              <xm:sqref>O45</xm:sqref>
            </x14:sparkline>
            <x14:sparkline>
              <xm:f>'Sz 3 smL'!T43:T43</xm:f>
              <xm:sqref>P45</xm:sqref>
            </x14:sparkline>
            <x14:sparkline>
              <xm:f>'Sz 3 smL'!U43:U43</xm:f>
              <xm:sqref>Q45</xm:sqref>
            </x14:sparkline>
            <x14:sparkline>
              <xm:f>'Sz 3 smL'!V43:V43</xm:f>
              <xm:sqref>R45</xm:sqref>
            </x14:sparkline>
            <x14:sparkline>
              <xm:f>'Sz 3 smL'!W43:W43</xm:f>
              <xm:sqref>S45</xm:sqref>
            </x14:sparkline>
            <x14:sparkline>
              <xm:f>'Sz 3 smL'!X43:X43</xm:f>
              <xm:sqref>T45</xm:sqref>
            </x14:sparkline>
            <x14:sparkline>
              <xm:sqref>U45</xm:sqref>
            </x14:sparkline>
            <x14:sparkline>
              <xm:f>'Sz 3 smL'!Y43:Y43</xm:f>
              <xm:sqref>V45</xm:sqref>
            </x14:sparkline>
            <x14:sparkline>
              <xm:f>'Sz 3 smL'!Z43:Z43</xm:f>
              <xm:sqref>W45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zoomScaleNormal="100" workbookViewId="0">
      <selection activeCell="K12" sqref="K12"/>
    </sheetView>
  </sheetViews>
  <sheetFormatPr baseColWidth="10" defaultRowHeight="15" x14ac:dyDescent="0.25"/>
  <cols>
    <col min="1" max="1" width="18.7109375" style="10" customWidth="1"/>
    <col min="2" max="2" width="2.85546875" style="73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8.140625" style="73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4.140625" style="10" customWidth="1"/>
    <col min="15" max="16384" width="11.42578125" style="10"/>
  </cols>
  <sheetData>
    <row r="1" spans="1:14" ht="15.75" x14ac:dyDescent="0.25">
      <c r="A1" s="7" t="s">
        <v>196</v>
      </c>
      <c r="B1" s="25"/>
      <c r="I1" s="17"/>
      <c r="M1" s="17" t="str">
        <f>generell!X1</f>
        <v>Stand:</v>
      </c>
      <c r="N1" s="17">
        <f>generell!Y1</f>
        <v>44012.444444444445</v>
      </c>
    </row>
    <row r="2" spans="1:14" x14ac:dyDescent="0.25">
      <c r="M2" s="17" t="str">
        <f>generell!X2</f>
        <v>Korrekturen:</v>
      </c>
      <c r="N2" s="17">
        <f>generell!Y2</f>
        <v>44066.90625</v>
      </c>
    </row>
    <row r="3" spans="1:14" x14ac:dyDescent="0.25">
      <c r="A3" s="6" t="s">
        <v>65</v>
      </c>
      <c r="B3" s="26"/>
      <c r="C3" s="10" t="s">
        <v>249</v>
      </c>
    </row>
    <row r="4" spans="1:14" x14ac:dyDescent="0.25">
      <c r="C4" s="10" t="s">
        <v>250</v>
      </c>
    </row>
    <row r="5" spans="1:14" x14ac:dyDescent="0.25">
      <c r="C5" s="10" t="s">
        <v>248</v>
      </c>
    </row>
    <row r="7" spans="1:14" x14ac:dyDescent="0.25">
      <c r="A7" s="6" t="s">
        <v>66</v>
      </c>
      <c r="B7" s="26" t="s">
        <v>75</v>
      </c>
      <c r="C7" s="26" t="s">
        <v>113</v>
      </c>
      <c r="D7" s="26" t="s">
        <v>263</v>
      </c>
      <c r="E7" s="26" t="s">
        <v>114</v>
      </c>
      <c r="F7" s="26" t="s">
        <v>261</v>
      </c>
      <c r="G7" s="26" t="s">
        <v>115</v>
      </c>
      <c r="H7" s="26" t="s">
        <v>116</v>
      </c>
      <c r="I7" s="26" t="s">
        <v>117</v>
      </c>
      <c r="J7" s="26" t="s">
        <v>264</v>
      </c>
      <c r="K7" s="26" t="s">
        <v>262</v>
      </c>
    </row>
    <row r="8" spans="1:14" x14ac:dyDescent="0.25">
      <c r="B8" s="27">
        <v>1</v>
      </c>
      <c r="C8" s="61" t="s">
        <v>226</v>
      </c>
      <c r="D8" s="61" t="s">
        <v>120</v>
      </c>
      <c r="E8" s="61" t="s">
        <v>235</v>
      </c>
      <c r="F8" s="61" t="s">
        <v>274</v>
      </c>
      <c r="G8" s="106" t="s">
        <v>236</v>
      </c>
      <c r="H8" s="62">
        <v>28.808</v>
      </c>
      <c r="I8" s="61" t="s">
        <v>112</v>
      </c>
      <c r="J8" s="61" t="s">
        <v>260</v>
      </c>
      <c r="K8" s="61" t="s">
        <v>29</v>
      </c>
    </row>
    <row r="9" spans="1:14" x14ac:dyDescent="0.25">
      <c r="A9" s="6"/>
      <c r="B9" s="27">
        <v>2</v>
      </c>
      <c r="C9" s="77" t="s">
        <v>225</v>
      </c>
      <c r="D9" s="77" t="s">
        <v>266</v>
      </c>
      <c r="E9" s="77" t="s">
        <v>235</v>
      </c>
      <c r="F9" s="77" t="s">
        <v>27</v>
      </c>
      <c r="G9" s="77" t="s">
        <v>199</v>
      </c>
      <c r="H9" s="78">
        <f>_15DD</f>
        <v>25.4</v>
      </c>
      <c r="I9" s="77" t="s">
        <v>111</v>
      </c>
      <c r="J9" s="77" t="s">
        <v>260</v>
      </c>
      <c r="K9" s="77" t="s">
        <v>29</v>
      </c>
    </row>
    <row r="11" spans="1:14" ht="30" x14ac:dyDescent="0.25">
      <c r="A11" s="6" t="s">
        <v>67</v>
      </c>
      <c r="B11" s="105"/>
      <c r="C11" s="26" t="s">
        <v>237</v>
      </c>
      <c r="D11" s="104" t="s">
        <v>259</v>
      </c>
      <c r="E11" s="26" t="s">
        <v>238</v>
      </c>
      <c r="F11" s="104" t="s">
        <v>273</v>
      </c>
      <c r="G11" s="26" t="s">
        <v>239</v>
      </c>
      <c r="H11" s="104" t="s">
        <v>240</v>
      </c>
      <c r="I11" s="104" t="s">
        <v>243</v>
      </c>
      <c r="J11" s="104" t="s">
        <v>241</v>
      </c>
      <c r="K11" s="104" t="s">
        <v>242</v>
      </c>
    </row>
    <row r="12" spans="1:14" x14ac:dyDescent="0.25">
      <c r="B12" s="105" t="s">
        <v>75</v>
      </c>
      <c r="C12" s="61">
        <v>1</v>
      </c>
      <c r="D12" s="61">
        <v>6413</v>
      </c>
      <c r="E12" s="61">
        <f>D12</f>
        <v>6413</v>
      </c>
      <c r="F12" s="61" t="s">
        <v>226</v>
      </c>
      <c r="G12" s="61">
        <v>1</v>
      </c>
      <c r="H12" s="61">
        <v>4733</v>
      </c>
      <c r="I12" s="61" t="s">
        <v>276</v>
      </c>
      <c r="J12" s="64" t="s">
        <v>70</v>
      </c>
      <c r="K12" s="65">
        <f xml:space="preserve">  ($H8 - _15CC)*1000</f>
        <v>3408.0000000000014</v>
      </c>
      <c r="L12" s="107"/>
      <c r="M12" s="105"/>
    </row>
    <row r="13" spans="1:14" x14ac:dyDescent="0.25">
      <c r="B13" s="105" t="s">
        <v>75</v>
      </c>
      <c r="C13" s="77">
        <v>2</v>
      </c>
      <c r="D13" s="77">
        <v>1456</v>
      </c>
      <c r="E13" s="77">
        <f>D13</f>
        <v>1456</v>
      </c>
      <c r="F13" s="77" t="s">
        <v>225</v>
      </c>
      <c r="G13" s="77">
        <v>1</v>
      </c>
      <c r="H13" s="77">
        <v>4703</v>
      </c>
      <c r="I13" s="77" t="s">
        <v>200</v>
      </c>
      <c r="J13" s="77" t="s">
        <v>70</v>
      </c>
      <c r="K13" s="77">
        <v>0</v>
      </c>
      <c r="L13" s="107"/>
    </row>
    <row r="14" spans="1:14" x14ac:dyDescent="0.25">
      <c r="B14" s="105"/>
      <c r="C14" s="105"/>
      <c r="D14" s="105"/>
      <c r="E14" s="105"/>
      <c r="F14" s="16"/>
      <c r="G14" s="105"/>
      <c r="H14" s="28"/>
      <c r="I14" s="105"/>
      <c r="J14" s="105"/>
      <c r="K14" s="16"/>
      <c r="L14" s="107"/>
    </row>
    <row r="15" spans="1:14" ht="6" customHeight="1" x14ac:dyDescent="0.25">
      <c r="B15" s="117"/>
      <c r="C15" s="117" t="s">
        <v>132</v>
      </c>
      <c r="I15" s="117"/>
      <c r="L15" s="117"/>
    </row>
    <row r="16" spans="1:14" x14ac:dyDescent="0.25">
      <c r="A16" s="111" t="s">
        <v>320</v>
      </c>
      <c r="B16" s="117"/>
      <c r="I16" s="117"/>
    </row>
    <row r="17" spans="1:12" ht="6" customHeight="1" x14ac:dyDescent="0.25">
      <c r="B17" s="117"/>
      <c r="C17" s="117" t="s">
        <v>132</v>
      </c>
      <c r="I17" s="117"/>
      <c r="L17" s="117"/>
    </row>
    <row r="18" spans="1:12" x14ac:dyDescent="0.25">
      <c r="B18" s="117">
        <v>1</v>
      </c>
      <c r="C18" s="63" t="s">
        <v>324</v>
      </c>
      <c r="D18" s="63"/>
      <c r="E18" s="63"/>
      <c r="F18" s="63"/>
      <c r="G18" s="63"/>
      <c r="H18" s="63"/>
      <c r="I18" s="117"/>
    </row>
    <row r="19" spans="1:12" ht="6" customHeight="1" x14ac:dyDescent="0.25">
      <c r="B19" s="117"/>
      <c r="C19" s="117" t="s">
        <v>132</v>
      </c>
      <c r="I19" s="117"/>
      <c r="L19" s="117"/>
    </row>
    <row r="20" spans="1:12" x14ac:dyDescent="0.25">
      <c r="A20" s="6" t="s">
        <v>153</v>
      </c>
      <c r="C20" s="29"/>
      <c r="D20" s="73"/>
      <c r="E20" s="73"/>
      <c r="F20" s="16"/>
      <c r="G20" s="73"/>
      <c r="H20" s="28"/>
      <c r="J20" s="16"/>
      <c r="K20" s="73"/>
    </row>
    <row r="21" spans="1:12" ht="6" customHeight="1" x14ac:dyDescent="0.25">
      <c r="C21" s="73" t="s">
        <v>132</v>
      </c>
      <c r="L21" s="107"/>
    </row>
    <row r="22" spans="1:12" x14ac:dyDescent="0.25">
      <c r="A22" s="1" t="s">
        <v>134</v>
      </c>
      <c r="B22" s="73">
        <v>1</v>
      </c>
      <c r="C22" s="63" t="s">
        <v>323</v>
      </c>
      <c r="D22" s="61"/>
      <c r="E22" s="61"/>
      <c r="F22" s="61"/>
      <c r="G22" s="61"/>
      <c r="H22" s="61"/>
      <c r="J22" s="16"/>
      <c r="K22" s="73"/>
      <c r="L22" s="107"/>
    </row>
    <row r="23" spans="1:12" x14ac:dyDescent="0.25">
      <c r="A23" s="1" t="s">
        <v>135</v>
      </c>
      <c r="B23" s="73">
        <v>1</v>
      </c>
      <c r="C23" s="63" t="s">
        <v>311</v>
      </c>
      <c r="D23" s="61"/>
      <c r="E23" s="61"/>
      <c r="F23" s="61"/>
      <c r="G23" s="61"/>
      <c r="H23" s="61"/>
      <c r="J23" s="16"/>
      <c r="K23" s="73"/>
    </row>
    <row r="24" spans="1:12" ht="6" customHeight="1" x14ac:dyDescent="0.25">
      <c r="B24" s="10"/>
      <c r="L24" s="107"/>
    </row>
    <row r="25" spans="1:12" x14ac:dyDescent="0.25">
      <c r="A25" s="1" t="s">
        <v>134</v>
      </c>
      <c r="B25" s="73">
        <v>2</v>
      </c>
      <c r="C25" s="81" t="s">
        <v>312</v>
      </c>
      <c r="D25" s="81"/>
      <c r="E25" s="81"/>
      <c r="F25" s="81"/>
      <c r="G25" s="81"/>
      <c r="H25" s="81"/>
      <c r="J25" s="16"/>
      <c r="K25" s="73"/>
      <c r="L25" s="107"/>
    </row>
    <row r="26" spans="1:12" x14ac:dyDescent="0.25">
      <c r="A26" s="1" t="s">
        <v>135</v>
      </c>
      <c r="B26" s="73">
        <v>2</v>
      </c>
      <c r="C26" s="81" t="s">
        <v>344</v>
      </c>
      <c r="D26" s="81"/>
      <c r="E26" s="81"/>
      <c r="F26" s="81"/>
      <c r="G26" s="81"/>
      <c r="H26" s="81"/>
      <c r="J26" s="16"/>
      <c r="K26" s="73"/>
    </row>
  </sheetData>
  <pageMargins left="0.7" right="0.7" top="0.78740157499999996" bottom="0.78740157499999996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20</vt:i4>
      </vt:variant>
    </vt:vector>
  </HeadingPairs>
  <TitlesOfParts>
    <vt:vector size="31" baseType="lpstr">
      <vt:lpstr>generell</vt:lpstr>
      <vt:lpstr>Tabelle1</vt:lpstr>
      <vt:lpstr>Sz 1</vt:lpstr>
      <vt:lpstr>Sz 1 smL</vt:lpstr>
      <vt:lpstr>Sz 2</vt:lpstr>
      <vt:lpstr>Sz 2 smL</vt:lpstr>
      <vt:lpstr>Sz 3</vt:lpstr>
      <vt:lpstr>Sz 3 smL</vt:lpstr>
      <vt:lpstr>Sz 4</vt:lpstr>
      <vt:lpstr>Sz 4 smL</vt:lpstr>
      <vt:lpstr>Tabelle2</vt:lpstr>
      <vt:lpstr>_10A</vt:lpstr>
      <vt:lpstr>_10AA</vt:lpstr>
      <vt:lpstr>_15C</vt:lpstr>
      <vt:lpstr>_15CC</vt:lpstr>
      <vt:lpstr>_15D</vt:lpstr>
      <vt:lpstr>_15DD</vt:lpstr>
      <vt:lpstr>_27Y</vt:lpstr>
      <vt:lpstr>_27Y___215</vt:lpstr>
      <vt:lpstr>_31C2</vt:lpstr>
      <vt:lpstr>_33Y</vt:lpstr>
      <vt:lpstr>_33Y___205</vt:lpstr>
      <vt:lpstr>generell!Druckbereich</vt:lpstr>
      <vt:lpstr>'Sz 1'!Druckbereich</vt:lpstr>
      <vt:lpstr>'Sz 1 smL'!Druckbereich</vt:lpstr>
      <vt:lpstr>'Sz 2'!Druckbereich</vt:lpstr>
      <vt:lpstr>'Sz 2 smL'!Druckbereich</vt:lpstr>
      <vt:lpstr>'Sz 3'!Druckbereich</vt:lpstr>
      <vt:lpstr>'Sz 3 smL'!Druckbereich</vt:lpstr>
      <vt:lpstr>'Sz 4'!Druckbereich</vt:lpstr>
      <vt:lpstr>'Sz 4 smL'!Druckbereich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F. Bolz</dc:creator>
  <cp:lastModifiedBy>Werner Iberl</cp:lastModifiedBy>
  <cp:lastPrinted>2020-06-29T12:06:25Z</cp:lastPrinted>
  <dcterms:created xsi:type="dcterms:W3CDTF">2020-06-22T15:00:57Z</dcterms:created>
  <dcterms:modified xsi:type="dcterms:W3CDTF">2020-08-24T12:47:40Z</dcterms:modified>
</cp:coreProperties>
</file>