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  <Override PartName="/xl/drawings/drawing8.xml" ContentType="application/vnd.openxmlformats-officedocument.drawing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threadedComments/threadedComment2.xml" ContentType="application/vnd.ms-excel.threadedcomments+xml"/>
  <Override PartName="/xl/threadedComments/threadedComment1.xml" ContentType="application/vnd.ms-excel.threadedcomments+xml"/>
  <Override PartName="/xl/worksheets/sheet12.xml" ContentType="application/vnd.openxmlformats-officedocument.spreadsheetml.worksheet+xml"/>
  <Override PartName="/xl/charts/style11.xml" ContentType="application/vnd.ms-office.chartstyle+xml"/>
  <Override PartName="/xl/charts/colors10.xml" ContentType="application/vnd.ms-office.chartcolorstyle+xml"/>
  <Override PartName="/xl/charts/chart40.xml" ContentType="application/vnd.openxmlformats-officedocument.drawingml.chart+xml"/>
  <Override PartName="/xl/workbook.xml" ContentType="application/vnd.openxmlformats-officedocument.spreadsheetml.sheet.main+xml"/>
  <Override PartName="/xl/charts/chart38.xml" ContentType="application/vnd.openxmlformats-officedocument.drawingml.chart+xml"/>
  <Override PartName="/xl/drawings/drawing6.xml" ContentType="application/vnd.openxmlformats-officedocument.drawingml.chartshapes+xml"/>
  <Override PartName="/xl/worksheets/sheet13.xml" ContentType="application/vnd.openxmlformats-officedocument.spreadsheetml.worksheet+xml"/>
  <Override PartName="/xl/charts/style10.xml" ContentType="application/vnd.ms-office.chartstyle+xml"/>
  <Override PartName="/xl/charts/chart30.xml" ContentType="application/vnd.openxmlformats-officedocument.drawingml.chart+xml"/>
  <Override PartName="/xl/drawings/drawing5.xml" ContentType="application/vnd.openxmlformats-officedocument.drawingml.chartshapes+xml"/>
  <Override PartName="/xl/charts/chart29.xml" ContentType="application/vnd.openxmlformats-officedocument.drawingml.chart+xml"/>
  <Override PartName="/xl/drawings/drawing4.xml" ContentType="application/vnd.openxmlformats-officedocument.drawingml.chartshapes+xml"/>
  <Override PartName="/xl/charts/chart28.xml" ContentType="application/vnd.openxmlformats-officedocument.drawingml.chart+xml"/>
  <Override PartName="/xl/persons/person.xml" ContentType="application/vnd.ms-excel.person+xml"/>
  <Override PartName="/xl/charts/style9.xml" ContentType="application/vnd.ms-office.chartstyle+xml"/>
  <Override PartName="/xl/charts/colors9.xml" ContentType="application/vnd.ms-office.chartcolorstyle+xml"/>
  <Override PartName="/xl/charts/style8.xml" ContentType="application/vnd.ms-office.chartstyle+xml"/>
  <Override PartName="/xl/charts/style7.xml" ContentType="application/vnd.ms-office.chartstyle+xml"/>
  <Override PartName="/xl/charts/chart31.xml" ContentType="application/vnd.openxmlformats-officedocument.drawingml.chart+xml"/>
  <Override PartName="/xl/charts/colors7.xml" ContentType="application/vnd.ms-office.chartcolorstyle+xml"/>
  <Override PartName="/xl/charts/colors6.xml" ContentType="application/vnd.ms-office.chartcolorstyle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harts/chart21.xml" ContentType="application/vnd.openxmlformats-officedocument.drawingml.chart+xml"/>
  <Override PartName="/xl/charts/chart24.xml" ContentType="application/vnd.openxmlformats-officedocument.drawingml.chart+xml"/>
  <Override PartName="/xl/charts/style6.xml" ContentType="application/vnd.ms-office.chartstyle+xml"/>
  <Override PartName="/xl/charts/chart16.xml" ContentType="application/vnd.openxmlformats-officedocument.drawingml.chart+xml"/>
  <Override PartName="/xl/charts/chart2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style5.xml" ContentType="application/vnd.ms-office.chartstyle+xml"/>
  <Override PartName="/xl/charts/chart41.xml" ContentType="application/vnd.openxmlformats-officedocument.drawingml.chart+xml"/>
  <Override PartName="/xl/styles.xml" ContentType="application/vnd.openxmlformats-officedocument.spreadsheetml.styles+xml"/>
  <Override PartName="/xl/charts/chart20.xml" ContentType="application/vnd.openxmlformats-officedocument.drawingml.chart+xml"/>
  <Override PartName="/xl/charts/colors8.xml" ContentType="application/vnd.ms-office.chartcolorstyle+xml"/>
  <Override PartName="/xl/charts/chart12.xml" ContentType="application/vnd.openxmlformats-officedocument.drawingml.chart+xml"/>
  <Override PartName="/xl/charts/chart32.xml" ContentType="application/vnd.openxmlformats-officedocument.drawingml.chart+xml"/>
  <Override PartName="/xl/comments1.xml" ContentType="application/vnd.openxmlformats-officedocument.spreadsheetml.comments+xml"/>
  <Override PartName="/xl/charts/chart18.xml" ContentType="application/vnd.openxmlformats-officedocument.drawingml.chart+xml"/>
  <Override PartName="/xl/charts/chart9.xml" ContentType="application/vnd.openxmlformats-officedocument.drawingml.chart+xml"/>
  <Override PartName="/xl/drawings/drawing7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8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ml.chartshapes+xml"/>
  <Override PartName="/xl/charts/chart17.xml" ContentType="application/vnd.openxmlformats-officedocument.drawingml.chart+xml"/>
  <Override PartName="/xl/charts/chart7.xml" ContentType="application/vnd.openxmlformats-officedocument.drawingml.chart+xml"/>
  <Override PartName="/xl/worksheets/sheet2.xml" ContentType="application/vnd.openxmlformats-officedocument.spreadsheetml.worksheet+xml"/>
  <Override PartName="/xl/drawings/drawing1.xml" ContentType="application/vnd.openxmlformats-officedocument.drawingml.chartshapes+xml"/>
  <Override PartName="/xl/charts/chart25.xml" ContentType="application/vnd.openxmlformats-officedocument.drawingml.chart+xml"/>
  <Override PartName="/xl/charts/style3.xml" ContentType="application/vnd.ms-office.chartstyle+xml"/>
  <Override PartName="/xl/charts/chart39.xml" ContentType="application/vnd.openxmlformats-officedocument.drawingml.chart+xml"/>
  <Override PartName="/xl/charts/chart13.xml" ContentType="application/vnd.openxmlformats-officedocument.drawingml.chart+xml"/>
  <Override PartName="/xl/charts/chart42.xml" ContentType="application/vnd.openxmlformats-officedocument.drawingml.chart+xml"/>
  <Override PartName="/xl/charts/chart33.xml" ContentType="application/vnd.openxmlformats-officedocument.drawingml.chart+xml"/>
  <Override PartName="/xl/charts/colors3.xml" ContentType="application/vnd.ms-office.chartcolorstyle+xml"/>
  <Override PartName="/xl/charts/chart3.xml" ContentType="application/vnd.openxmlformats-officedocument.drawingml.chart+xml"/>
  <Override PartName="/xl/charts/chart11.xml" ContentType="application/vnd.openxmlformats-officedocument.drawingml.chart+xml"/>
  <Override PartName="/xl/charts/colors1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0.xml" ContentType="application/vnd.openxmlformats-officedocument.drawingml.chart+xml"/>
  <Override PartName="/xl/charts/colors4.xml" ContentType="application/vnd.ms-office.chartcolorstyle+xml"/>
  <Override PartName="/xl/charts/chart37.xml" ContentType="application/vnd.openxmlformats-officedocument.drawingml.chart+xml"/>
  <Override PartName="/xl/charts/style4.xml" ContentType="application/vnd.ms-office.chartstyle+xml"/>
  <Override PartName="/xl/charts/chart2.xml" ContentType="application/vnd.openxmlformats-officedocument.drawingml.chart+xml"/>
  <Override PartName="/xl/charts/chart27.xml" ContentType="application/vnd.openxmlformats-officedocument.drawingml.chart+xml"/>
  <Override PartName="/xl/charts/style1.xml" ContentType="application/vnd.ms-office.chartstyle+xml"/>
  <Override PartName="/xl/charts/chart23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22.xml" ContentType="application/vnd.openxmlformats-officedocument.drawingml.chart+xml"/>
  <Override PartName="/xl/charts/chart19.xml" ContentType="application/vnd.openxmlformats-officedocument.drawingml.chart+xml"/>
  <Override PartName="/xl/charts/chart34.xml" ContentType="application/vnd.openxmlformats-officedocument.drawingml.chart+xml"/>
  <Override PartName="/xl/worksheets/sheet10.xml" ContentType="application/vnd.openxmlformats-officedocument.spreadsheetml.workshee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5.xml" ContentType="application/vnd.ms-office.chartcolorstyle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1"/>
  <bookViews>
    <workbookView xWindow="360" yWindow="15" windowWidth="20955" windowHeight="9720" activeTab="1"/>
  </bookViews>
  <sheets>
    <sheet name="assumptions" sheetId="1" state="visible" r:id="rId2"/>
    <sheet name="values" sheetId="2" state="visible" r:id="rId3"/>
    <sheet name="References" sheetId="3" state="visible" r:id="rId4"/>
    <sheet name="Elektrolyser" sheetId="4" state="visible" r:id="rId5"/>
    <sheet name="Water" sheetId="5" state="visible" r:id="rId6"/>
    <sheet name="Conversion" sheetId="6" state="visible" r:id="rId7"/>
    <sheet name="Liquefaction" sheetId="7" state="visible" r:id="rId8"/>
    <sheet name="Storage 1" sheetId="8" state="visible" r:id="rId9"/>
    <sheet name="Shipping" sheetId="9" state="visible" r:id="rId10"/>
    <sheet name="Storage 2" sheetId="10" state="visible" r:id="rId11"/>
    <sheet name="Reconversion" sheetId="11" state="visible" r:id="rId12"/>
    <sheet name="Utilization" sheetId="12" state="visible" r:id="rId13"/>
    <sheet name="Combined" sheetId="13" state="visible" r:id="rId14"/>
    <sheet name="Plots" sheetId="14" state="visible" r:id="rId15"/>
    <sheet name="TransportStorage" sheetId="15" state="visible" r:id="rId16"/>
    <sheet name="Sensitiv" sheetId="16" state="visible" r:id="rId17"/>
  </sheets>
  <definedNames>
    <definedName name="_xlchart.v1.0" hidden="1">Combined!$R$173:$R$179</definedName>
    <definedName name="_xlchart.v1.1" hidden="1">Combined!$S$173:$S$179</definedName>
    <definedName name="_xlchart.v1.2" hidden="1">Combined!$T$173:$T$179</definedName>
    <definedName name="_xlchart.v1.3" hidden="1">Combined!$U$173:$U$179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tc={937D2CFD-AAED-48D3-BC04-4DEE0B44B67D}</author>
  </authors>
  <commentList>
    <comment ref="A62" authorId="0" xr:uid="{937D2CFD-AAED-48D3-BC04-4DEE0B44B67D}">
      <text>
        <r>
          <rPr>
            <b/>
            <sz val="9"/>
            <rFont val="Tahoma"/>
          </rPr>
          <t xml:space="preserve">fritz s:</t>
        </r>
        <r>
          <rPr>
            <sz val="9"/>
            <rFont val="Tahoma"/>
          </rPr>
          <t xml:space="preserve">
Methanation in best case more efficient therefore less heat energy produced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tc={5B09BAD0-43EF-4428-9804-AC6104B9195C}</author>
    <author>tc={F60563B4-D8F8-46A1-8477-71F9DCDBD2A4}</author>
    <author>tc={909879EE-283F-4F17-9BE6-EBD65D755BA3}</author>
  </authors>
  <commentList>
    <comment ref="P71" authorId="0" xr:uid="{5B09BAD0-43EF-4428-9804-AC6104B9195C}">
      <text>
        <r>
          <rPr>
            <b/>
            <sz val="9"/>
            <rFont val="Tahoma"/>
          </rPr>
          <t xml:space="preserve">Fritz Stierhof:</t>
        </r>
        <r>
          <rPr>
            <sz val="9"/>
            <rFont val="Tahoma"/>
          </rPr>
          <t xml:space="preserve">
860 Dollar für 170000 Tonnen?
</t>
        </r>
      </text>
    </comment>
    <comment ref="W71" authorId="1" xr:uid="{F60563B4-D8F8-46A1-8477-71F9DCDBD2A4}">
      <text>
        <r>
          <rPr>
            <b/>
            <sz val="9"/>
            <rFont val="Tahoma"/>
          </rPr>
          <t xml:space="preserve">Fritz Stierhof:</t>
        </r>
        <r>
          <rPr>
            <sz val="9"/>
            <rFont val="Tahoma"/>
          </rPr>
          <t xml:space="preserve">
860 Dollar für 170000 Tonnen?
</t>
        </r>
      </text>
    </comment>
    <comment ref="I71" authorId="2" xr:uid="{909879EE-283F-4F17-9BE6-EBD65D755BA3}">
      <text>
        <r>
          <rPr>
            <b/>
            <sz val="9"/>
            <rFont val="Tahoma"/>
          </rPr>
          <t xml:space="preserve">Fritz Stierhof:</t>
        </r>
        <r>
          <rPr>
            <sz val="9"/>
            <rFont val="Tahoma"/>
          </rPr>
          <t xml:space="preserve">
860 Dollar für 170000 Tonnen?
</t>
        </r>
      </text>
    </comment>
  </commentList>
</comments>
</file>

<file path=xl/sharedStrings.xml><?xml version="1.0" encoding="utf-8"?>
<sst xmlns="http://schemas.openxmlformats.org/spreadsheetml/2006/main" count="823" uniqueCount="823">
  <si>
    <t>Unit</t>
  </si>
  <si>
    <t xml:space="preserve">Best Value</t>
  </si>
  <si>
    <t>mean</t>
  </si>
  <si>
    <t xml:space="preserve">Worst Value</t>
  </si>
  <si>
    <t xml:space="preserve">Ref Value 0</t>
  </si>
  <si>
    <t xml:space="preserve">Ref Value 1</t>
  </si>
  <si>
    <t xml:space="preserve">Ref Value 2</t>
  </si>
  <si>
    <t xml:space="preserve">Ref Value 3</t>
  </si>
  <si>
    <t xml:space="preserve">Ref Value 4</t>
  </si>
  <si>
    <t xml:space="preserve">Ref Value 5</t>
  </si>
  <si>
    <t xml:space="preserve">Ref Value 6</t>
  </si>
  <si>
    <t xml:space="preserve">Ref Value 7</t>
  </si>
  <si>
    <t xml:space="preserve">Ref Value 8</t>
  </si>
  <si>
    <t xml:space="preserve">Ref Value 9</t>
  </si>
  <si>
    <t xml:space="preserve">Ref Value 10</t>
  </si>
  <si>
    <t xml:space="preserve">Ref. 1</t>
  </si>
  <si>
    <t xml:space="preserve">Ref. 2</t>
  </si>
  <si>
    <t xml:space="preserve">Ref. 3</t>
  </si>
  <si>
    <t xml:space="preserve">Ref. 4</t>
  </si>
  <si>
    <t xml:space="preserve">Ref. 5</t>
  </si>
  <si>
    <t xml:space="preserve">Ref. 6</t>
  </si>
  <si>
    <t xml:space="preserve">Ref. 7</t>
  </si>
  <si>
    <t xml:space="preserve">Ref. 8</t>
  </si>
  <si>
    <t xml:space="preserve">Ref. 9</t>
  </si>
  <si>
    <t xml:space="preserve">Ref. 10</t>
  </si>
  <si>
    <t xml:space="preserve">Port costs LNG</t>
  </si>
  <si>
    <t>[USD/day]</t>
  </si>
  <si>
    <t>[13]</t>
  </si>
  <si>
    <t xml:space="preserve">Suez Canal costs</t>
  </si>
  <si>
    <t xml:space="preserve">[USD/LNG ship]</t>
  </si>
  <si>
    <t xml:space="preserve">[13] 160000m3</t>
  </si>
  <si>
    <t xml:space="preserve">clean electricity cost</t>
  </si>
  <si>
    <t>[USD/kWh]</t>
  </si>
  <si>
    <t xml:space="preserve">electricity cost end country</t>
  </si>
  <si>
    <t>[64]</t>
  </si>
  <si>
    <t xml:space="preserve">[65] 2030</t>
  </si>
  <si>
    <t xml:space="preserve">[65] 2040</t>
  </si>
  <si>
    <t xml:space="preserve">conversion Eur/USD</t>
  </si>
  <si>
    <t>[EUR/USD]</t>
  </si>
  <si>
    <t xml:space="preserve">(water price) not used</t>
  </si>
  <si>
    <t>[USD/m^3]</t>
  </si>
  <si>
    <t xml:space="preserve">[14] 2015</t>
  </si>
  <si>
    <t xml:space="preserve">[14] 2050</t>
  </si>
  <si>
    <t xml:space="preserve">Elektrolyzer hours per year</t>
  </si>
  <si>
    <t>[h/year]</t>
  </si>
  <si>
    <t>[16]</t>
  </si>
  <si>
    <t xml:space="preserve">Conversion hours per year</t>
  </si>
  <si>
    <t xml:space="preserve">Load hours per year</t>
  </si>
  <si>
    <t>[5000]</t>
  </si>
  <si>
    <t>[800]</t>
  </si>
  <si>
    <t>[6000]</t>
  </si>
  <si>
    <t xml:space="preserve">[44] (solid) biomass</t>
  </si>
  <si>
    <t>[96]</t>
  </si>
  <si>
    <t xml:space="preserve">Stack Lifetime</t>
  </si>
  <si>
    <t>[h]</t>
  </si>
  <si>
    <t>[1]</t>
  </si>
  <si>
    <t xml:space="preserve">[2] (PEM 2020)</t>
  </si>
  <si>
    <t>Availability</t>
  </si>
  <si>
    <t>-</t>
  </si>
  <si>
    <t xml:space="preserve">WACC / discount rate</t>
  </si>
  <si>
    <t>[%]</t>
  </si>
  <si>
    <t xml:space="preserve">Storage Time 1</t>
  </si>
  <si>
    <t>[days]</t>
  </si>
  <si>
    <t xml:space="preserve">Storage Time 2 </t>
  </si>
  <si>
    <t>[10]</t>
  </si>
  <si>
    <t>[42]</t>
  </si>
  <si>
    <t xml:space="preserve">Lifetime NH3 Sythese </t>
  </si>
  <si>
    <t>[years]</t>
  </si>
  <si>
    <t>[20]</t>
  </si>
  <si>
    <t xml:space="preserve">Lifetime </t>
  </si>
  <si>
    <t xml:space="preserve">iron ship operational day per year</t>
  </si>
  <si>
    <t>[days/year]</t>
  </si>
  <si>
    <t xml:space="preserve">Toluene lost per cycle</t>
  </si>
  <si>
    <t>[9]</t>
  </si>
  <si>
    <t xml:space="preserve">hydrogenation efficiency</t>
  </si>
  <si>
    <t xml:space="preserve">LOHC store in same tank</t>
  </si>
  <si>
    <t>yes</t>
  </si>
  <si>
    <t xml:space="preserve">[52] page 60</t>
  </si>
  <si>
    <t xml:space="preserve">ship size</t>
  </si>
  <si>
    <t>[m^3]</t>
  </si>
  <si>
    <t xml:space="preserve">CO2 price</t>
  </si>
  <si>
    <r>
      <rPr>
        <b/>
        <sz val="11"/>
        <color theme="1"/>
        <rFont val="Calibri"/>
        <scheme val="minor"/>
      </rPr>
      <t xml:space="preserve">Utilization H2:</t>
    </r>
    <r>
      <rPr>
        <sz val="11"/>
        <color theme="1"/>
        <rFont val="Calibri"/>
        <scheme val="minor"/>
      </rPr>
      <t xml:space="preserve"> factor of CC CH4 CCGT PP</t>
    </r>
  </si>
  <si>
    <t>[-]</t>
  </si>
  <si>
    <t>[43]</t>
  </si>
  <si>
    <t>[95]</t>
  </si>
  <si>
    <r>
      <rPr>
        <b/>
        <sz val="11"/>
        <color theme="1"/>
        <rFont val="Calibri"/>
        <scheme val="minor"/>
      </rPr>
      <t xml:space="preserve">Utilization NH3:</t>
    </r>
    <r>
      <rPr>
        <sz val="11"/>
        <color theme="1"/>
        <rFont val="Calibri"/>
        <scheme val="minor"/>
      </rPr>
      <t xml:space="preserve"> factor of CC CH4 CCGT PP (like H2)</t>
    </r>
  </si>
  <si>
    <t xml:space="preserve">[43] same H2</t>
  </si>
  <si>
    <t xml:space="preserve">[43]  same H2</t>
  </si>
  <si>
    <t xml:space="preserve">[95]  same H2</t>
  </si>
  <si>
    <t xml:space="preserve">Utilization Iron: factor of CC Coal power plant</t>
  </si>
  <si>
    <t xml:space="preserve">efficiency CCGT CH4</t>
  </si>
  <si>
    <t>[0,7]</t>
  </si>
  <si>
    <t>[99]</t>
  </si>
  <si>
    <t xml:space="preserve">[99] future</t>
  </si>
  <si>
    <t xml:space="preserve">[100] future</t>
  </si>
  <si>
    <t xml:space="preserve">efficiency CCGT H2</t>
  </si>
  <si>
    <t xml:space="preserve">efficiency iron power plant (coal)</t>
  </si>
  <si>
    <t xml:space="preserve">efficiency Ammonia only GT </t>
  </si>
  <si>
    <t>OPEX</t>
  </si>
  <si>
    <r>
      <rPr>
        <b/>
        <sz val="11"/>
        <color theme="1"/>
        <rFont val="Calibri"/>
        <scheme val="minor"/>
      </rPr>
      <t>Utilization:</t>
    </r>
    <r>
      <rPr>
        <sz val="11"/>
        <color theme="1"/>
        <rFont val="Calibri"/>
        <scheme val="minor"/>
      </rPr>
      <t xml:space="preserve"> OPEX fix of CH4 CCGT Power Plant</t>
    </r>
  </si>
  <si>
    <t>[USD/kWel/year]</t>
  </si>
  <si>
    <t>[=0,005*values!G73]</t>
  </si>
  <si>
    <t>[=0,016*values!H73]</t>
  </si>
  <si>
    <t>[44]</t>
  </si>
  <si>
    <t xml:space="preserve">OPEX factor</t>
  </si>
  <si>
    <t xml:space="preserve">[% of CC]</t>
  </si>
  <si>
    <t xml:space="preserve">OPEX factor PEM Elektrolyzer</t>
  </si>
  <si>
    <t>[17]</t>
  </si>
  <si>
    <t>[27]</t>
  </si>
  <si>
    <t>[102]</t>
  </si>
  <si>
    <t xml:space="preserve">OPEX factor NH3 Storage</t>
  </si>
  <si>
    <t xml:space="preserve">OPEX factor NH3 Synthesis</t>
  </si>
  <si>
    <t xml:space="preserve">OPEX H2 Liquefaction</t>
  </si>
  <si>
    <t xml:space="preserve">H2 Storage Opex</t>
  </si>
  <si>
    <t>[36]</t>
  </si>
  <si>
    <t>[37]</t>
  </si>
  <si>
    <t>[31]</t>
  </si>
  <si>
    <t xml:space="preserve">OPEX factor Regasification</t>
  </si>
  <si>
    <t xml:space="preserve">OPEX Cracking NH3</t>
  </si>
  <si>
    <t xml:space="preserve">OPEX Water</t>
  </si>
  <si>
    <t>[22]</t>
  </si>
  <si>
    <t xml:space="preserve">OPEX storage LOHC</t>
  </si>
  <si>
    <t xml:space="preserve">OPEX Hydrogenation (TOL)</t>
  </si>
  <si>
    <t xml:space="preserve">OPEX Dehydrogenation (TOL)</t>
  </si>
  <si>
    <t xml:space="preserve">OPEX Methanation</t>
  </si>
  <si>
    <t xml:space="preserve">OPEX DAC</t>
  </si>
  <si>
    <t>[60]</t>
  </si>
  <si>
    <t>[86]</t>
  </si>
  <si>
    <t xml:space="preserve">CH4 Opex Storage</t>
  </si>
  <si>
    <t xml:space="preserve">CH4 Opex liquefication</t>
  </si>
  <si>
    <t xml:space="preserve">OPEX methane cracking</t>
  </si>
  <si>
    <t xml:space="preserve">OPEX iron storage</t>
  </si>
  <si>
    <t xml:space="preserve">OPEX iron ship</t>
  </si>
  <si>
    <t xml:space="preserve">OPEX DRI + EAF</t>
  </si>
  <si>
    <t>[USD/t]</t>
  </si>
  <si>
    <t>[67]</t>
  </si>
  <si>
    <t>[68]</t>
  </si>
  <si>
    <t xml:space="preserve">Ref Value 11</t>
  </si>
  <si>
    <t xml:space="preserve">Ref Value 12</t>
  </si>
  <si>
    <t xml:space="preserve">Ref Value 13</t>
  </si>
  <si>
    <t xml:space="preserve">Ref Value 14</t>
  </si>
  <si>
    <t xml:space="preserve">Ref Value 15</t>
  </si>
  <si>
    <t xml:space="preserve">Ref. 11</t>
  </si>
  <si>
    <t xml:space="preserve">Ref. 12</t>
  </si>
  <si>
    <t xml:space="preserve">Ref. 13 </t>
  </si>
  <si>
    <t xml:space="preserve">Ref. 14</t>
  </si>
  <si>
    <t xml:space="preserve">Ref. 15</t>
  </si>
  <si>
    <t>H2</t>
  </si>
  <si>
    <t xml:space="preserve">H2 LHV</t>
  </si>
  <si>
    <t>[kWh/kg_H2]</t>
  </si>
  <si>
    <t xml:space="preserve">H2 density</t>
  </si>
  <si>
    <t xml:space="preserve">Electrolyser Capital Costs</t>
  </si>
  <si>
    <t>[USD/kWel]</t>
  </si>
  <si>
    <t xml:space="preserve">[16] elektrisch</t>
  </si>
  <si>
    <t>[2]</t>
  </si>
  <si>
    <t>[47]</t>
  </si>
  <si>
    <t xml:space="preserve">[17] elektrisch</t>
  </si>
  <si>
    <t xml:space="preserve">electrolyser efficiency </t>
  </si>
  <si>
    <t xml:space="preserve">[16] 2020</t>
  </si>
  <si>
    <t xml:space="preserve">[16] 2030</t>
  </si>
  <si>
    <t xml:space="preserve">[16] long</t>
  </si>
  <si>
    <t>[3]</t>
  </si>
  <si>
    <t>[46]</t>
  </si>
  <si>
    <t>[4]</t>
  </si>
  <si>
    <t xml:space="preserve">CC  Hydrogen Liquefier costs</t>
  </si>
  <si>
    <t>[USD/kW_H2]</t>
  </si>
  <si>
    <t>[80]</t>
  </si>
  <si>
    <t xml:space="preserve">H2 Liquefier energy demand</t>
  </si>
  <si>
    <t>[kWh_el/kg_H2]</t>
  </si>
  <si>
    <t xml:space="preserve">[7] today</t>
  </si>
  <si>
    <t xml:space="preserve">[7] future</t>
  </si>
  <si>
    <t>[40]</t>
  </si>
  <si>
    <t xml:space="preserve">H2 BOG Transport</t>
  </si>
  <si>
    <t>[%/day]</t>
  </si>
  <si>
    <t xml:space="preserve">H2 BOG Storage</t>
  </si>
  <si>
    <t xml:space="preserve">H2 Capital Cost Storage</t>
  </si>
  <si>
    <t>[USD/kg_H2]</t>
  </si>
  <si>
    <t>[41]</t>
  </si>
  <si>
    <t>[50]</t>
  </si>
  <si>
    <t>[51]</t>
  </si>
  <si>
    <t>[7]</t>
  </si>
  <si>
    <t>[18]</t>
  </si>
  <si>
    <t xml:space="preserve">Reliquefaction H2 energy demand</t>
  </si>
  <si>
    <t>[kWh/kgBOG]</t>
  </si>
  <si>
    <t xml:space="preserve">[39] theoretical</t>
  </si>
  <si>
    <t>[38]</t>
  </si>
  <si>
    <t xml:space="preserve">Regasifiction H2 energy demand</t>
  </si>
  <si>
    <t xml:space="preserve">Recovering efficiency</t>
  </si>
  <si>
    <t xml:space="preserve">Regasifiction H2 CC</t>
  </si>
  <si>
    <r>
      <rPr>
        <b/>
        <sz val="11"/>
        <color theme="1"/>
        <rFont val="Calibri"/>
        <scheme val="minor"/>
      </rPr>
      <t xml:space="preserve">Utilization H2:</t>
    </r>
    <r>
      <rPr>
        <sz val="11"/>
        <color theme="1"/>
        <rFont val="Calibri"/>
        <scheme val="minor"/>
      </rPr>
      <t xml:space="preserve"> CC of CH4 CCGT Power Plant</t>
    </r>
  </si>
  <si>
    <t>[45]</t>
  </si>
  <si>
    <t>LOHC</t>
  </si>
  <si>
    <t xml:space="preserve">Toluene density</t>
  </si>
  <si>
    <t>[kg/m^3]</t>
  </si>
  <si>
    <t xml:space="preserve">Toluene LHV</t>
  </si>
  <si>
    <t xml:space="preserve">Toluene Storage density</t>
  </si>
  <si>
    <t>[kgH2/kgLOHC]</t>
  </si>
  <si>
    <t xml:space="preserve">Loss per cycle</t>
  </si>
  <si>
    <t xml:space="preserve">Toluene Price</t>
  </si>
  <si>
    <t>[USD/kg_TOL]</t>
  </si>
  <si>
    <t>[72]</t>
  </si>
  <si>
    <t xml:space="preserve">LOHC Storage CC</t>
  </si>
  <si>
    <t xml:space="preserve">CC Hydrogenation (TOL)</t>
  </si>
  <si>
    <t xml:space="preserve">heat demand Hydrogenation (TOL)</t>
  </si>
  <si>
    <t>[79]</t>
  </si>
  <si>
    <t xml:space="preserve">electricity demand Hydrogenation (TOL)</t>
  </si>
  <si>
    <t>[0,12]</t>
  </si>
  <si>
    <t xml:space="preserve">CC Dehydrogenation (TOL)</t>
  </si>
  <si>
    <t xml:space="preserve">electricity demand Dehydrogenation (TOL)</t>
  </si>
  <si>
    <t xml:space="preserve">heat demand Dehydrogenation (TOL)</t>
  </si>
  <si>
    <t>[=(70/2,016)/3,6]</t>
  </si>
  <si>
    <t>[=(65,4/2,016)/3,6]</t>
  </si>
  <si>
    <t xml:space="preserve">[78] of reaction</t>
  </si>
  <si>
    <t xml:space="preserve">[72] of reaction</t>
  </si>
  <si>
    <t>[78]</t>
  </si>
  <si>
    <t>NH3</t>
  </si>
  <si>
    <t xml:space="preserve">NH3 LHV</t>
  </si>
  <si>
    <t>[kWh/kg_NH3]</t>
  </si>
  <si>
    <t xml:space="preserve">energy demand N2 (ASU)</t>
  </si>
  <si>
    <t>[kWh/kg_N2]</t>
  </si>
  <si>
    <t xml:space="preserve">[6] page 49,130</t>
  </si>
  <si>
    <t xml:space="preserve">[9] 33</t>
  </si>
  <si>
    <t>[48]</t>
  </si>
  <si>
    <t xml:space="preserve">H2 demand NH3 </t>
  </si>
  <si>
    <t>[kg_H2/kg_NH3]</t>
  </si>
  <si>
    <t xml:space="preserve">N2 demand NH3</t>
  </si>
  <si>
    <t>[kg_N2/kg_NH3]</t>
  </si>
  <si>
    <t xml:space="preserve">energy demand NH3 systhesis</t>
  </si>
  <si>
    <t xml:space="preserve">NH3 Sythese CC including ASU</t>
  </si>
  <si>
    <t>[USD/kW_EC]</t>
  </si>
  <si>
    <t xml:space="preserve">[9] 2030</t>
  </si>
  <si>
    <t xml:space="preserve">[9] 2040</t>
  </si>
  <si>
    <t xml:space="preserve">NH3 CC Storage</t>
  </si>
  <si>
    <t>[USD/kg_NH3]</t>
  </si>
  <si>
    <t>[23]</t>
  </si>
  <si>
    <t xml:space="preserve">[9] 60Mt</t>
  </si>
  <si>
    <t xml:space="preserve">[9] 5Mt</t>
  </si>
  <si>
    <t xml:space="preserve">Boil off rate NH3 shipping</t>
  </si>
  <si>
    <t>[55]</t>
  </si>
  <si>
    <t xml:space="preserve">Boil off rate NH3</t>
  </si>
  <si>
    <t>[28]</t>
  </si>
  <si>
    <t>[25]</t>
  </si>
  <si>
    <t xml:space="preserve">Reliquefaction NH3 energy demand</t>
  </si>
  <si>
    <t>[kWh/kg_BOG]</t>
  </si>
  <si>
    <t>[35]</t>
  </si>
  <si>
    <t xml:space="preserve">NH3 tank capacity</t>
  </si>
  <si>
    <t>[tonns]</t>
  </si>
  <si>
    <t xml:space="preserve">CC cracking NH3</t>
  </si>
  <si>
    <t xml:space="preserve">Cracking NH3 Electricity demand</t>
  </si>
  <si>
    <t>[kwh/kg_H2]</t>
  </si>
  <si>
    <t xml:space="preserve">Cracking NH3 Heat-energy demand</t>
  </si>
  <si>
    <t>[81]</t>
  </si>
  <si>
    <t xml:space="preserve">Cracking NH3 H2 Recovering efficiency</t>
  </si>
  <si>
    <t xml:space="preserve">Cracking NH3 Purification efficiency</t>
  </si>
  <si>
    <r>
      <rPr>
        <b/>
        <sz val="11"/>
        <color theme="1"/>
        <rFont val="Calibri"/>
        <scheme val="minor"/>
      </rPr>
      <t xml:space="preserve">Utilization NH3:</t>
    </r>
    <r>
      <rPr>
        <sz val="11"/>
        <color theme="1"/>
        <rFont val="Calibri"/>
        <scheme val="minor"/>
      </rPr>
      <t xml:space="preserve"> CC of NH3 CCGT Power Plant</t>
    </r>
  </si>
  <si>
    <t>CH4</t>
  </si>
  <si>
    <t xml:space="preserve">CH4 LHV</t>
  </si>
  <si>
    <t>[kWh/kg_CH4]</t>
  </si>
  <si>
    <t>[53]</t>
  </si>
  <si>
    <t xml:space="preserve">CH4 desitiy</t>
  </si>
  <si>
    <t xml:space="preserve">Efficiency Methanation LHV</t>
  </si>
  <si>
    <t>[90]</t>
  </si>
  <si>
    <t xml:space="preserve">CC Methanation</t>
  </si>
  <si>
    <t>[USD/kW_CH4]</t>
  </si>
  <si>
    <t>[62]</t>
  </si>
  <si>
    <t>[85]</t>
  </si>
  <si>
    <t>[89]</t>
  </si>
  <si>
    <t xml:space="preserve">CC Direct Air Capture</t>
  </si>
  <si>
    <t>[USD/(kg_CO2/year)]</t>
  </si>
  <si>
    <t xml:space="preserve">[60] 2015</t>
  </si>
  <si>
    <t xml:space="preserve">[60] 2030 conv</t>
  </si>
  <si>
    <t xml:space="preserve">[60] 2030 base</t>
  </si>
  <si>
    <t xml:space="preserve">[60] 2040 conv</t>
  </si>
  <si>
    <t xml:space="preserve">[60] 2040 base</t>
  </si>
  <si>
    <t xml:space="preserve">electricity demand Direct Air Capture</t>
  </si>
  <si>
    <t>[kWh/kg_CO2]</t>
  </si>
  <si>
    <t>[0,65]</t>
  </si>
  <si>
    <t>[59]</t>
  </si>
  <si>
    <t>[61]</t>
  </si>
  <si>
    <t xml:space="preserve">heat demand Direct Air Capture</t>
  </si>
  <si>
    <t xml:space="preserve">heat provided by Methanation</t>
  </si>
  <si>
    <t xml:space="preserve">Methanation excess heat for DAC</t>
  </si>
  <si>
    <t xml:space="preserve">electricity demand CO2 Methanation pressure</t>
  </si>
  <si>
    <t xml:space="preserve">CO2 needed</t>
  </si>
  <si>
    <t>[kg_CO2/kg_CH4]</t>
  </si>
  <si>
    <t>[103]</t>
  </si>
  <si>
    <t xml:space="preserve">H2 needed not used</t>
  </si>
  <si>
    <t>[kg_H2/kg_CH4]</t>
  </si>
  <si>
    <t>[0,5]</t>
  </si>
  <si>
    <t xml:space="preserve">[85] reaction</t>
  </si>
  <si>
    <t xml:space="preserve">H2O produced</t>
  </si>
  <si>
    <t>[kg_H2O/kg_CH4]</t>
  </si>
  <si>
    <t xml:space="preserve">CC CH4 Liquefier</t>
  </si>
  <si>
    <t>[USD/kW]</t>
  </si>
  <si>
    <t>[87]</t>
  </si>
  <si>
    <t>[88]</t>
  </si>
  <si>
    <t xml:space="preserve">[17] 2025</t>
  </si>
  <si>
    <t xml:space="preserve">CH4 BOG Transport</t>
  </si>
  <si>
    <t>[29]</t>
  </si>
  <si>
    <t>[30]</t>
  </si>
  <si>
    <t>[32]</t>
  </si>
  <si>
    <t xml:space="preserve">CH4 BOG Storage</t>
  </si>
  <si>
    <t>0.02792</t>
  </si>
  <si>
    <t>0.02669</t>
  </si>
  <si>
    <t>[54]</t>
  </si>
  <si>
    <t xml:space="preserve">CH4 Capital Cost Storage</t>
  </si>
  <si>
    <t>[USD/kg]</t>
  </si>
  <si>
    <t>{33]</t>
  </si>
  <si>
    <t>[75]</t>
  </si>
  <si>
    <t>[76]</t>
  </si>
  <si>
    <t>[77]</t>
  </si>
  <si>
    <t xml:space="preserve">Reliquefaction CH4 energy demand</t>
  </si>
  <si>
    <t>[kWh/kgBOG_CH4]</t>
  </si>
  <si>
    <t>[34]</t>
  </si>
  <si>
    <t xml:space="preserve">CH4 Liquefier energy demand</t>
  </si>
  <si>
    <t>[kWh_el/kg_CH4]</t>
  </si>
  <si>
    <r>
      <rPr>
        <b/>
        <sz val="11"/>
        <color theme="1"/>
        <rFont val="Calibri"/>
        <scheme val="minor"/>
      </rPr>
      <t>Utilization:</t>
    </r>
    <r>
      <rPr>
        <sz val="11"/>
        <color theme="1"/>
        <rFont val="Calibri"/>
        <scheme val="minor"/>
      </rPr>
      <t xml:space="preserve"> CC of CH4 CCGT Power Plant</t>
    </r>
  </si>
  <si>
    <t>[66]</t>
  </si>
  <si>
    <t xml:space="preserve">Utilization: efficiency CCGT power plant</t>
  </si>
  <si>
    <t xml:space="preserve">electricity demand methane cracking</t>
  </si>
  <si>
    <t>[101]</t>
  </si>
  <si>
    <t xml:space="preserve">heat demand methane cracking</t>
  </si>
  <si>
    <t>[=21,4/3,6]</t>
  </si>
  <si>
    <t>[=14,8/3,6]</t>
  </si>
  <si>
    <t>[=7,8/3,6]</t>
  </si>
  <si>
    <t>[=(((74,85/2)/2,01588)/3600)*1000]</t>
  </si>
  <si>
    <t>[56]</t>
  </si>
  <si>
    <t xml:space="preserve">[57] thermal</t>
  </si>
  <si>
    <t xml:space="preserve">[57] thermocatalitic</t>
  </si>
  <si>
    <t xml:space="preserve">[57] plasma</t>
  </si>
  <si>
    <t xml:space="preserve">[82] [83]</t>
  </si>
  <si>
    <t xml:space="preserve">[82] reaction enthalpy</t>
  </si>
  <si>
    <t>[83]</t>
  </si>
  <si>
    <t xml:space="preserve">[91] als Gesamtbedarf angegeben</t>
  </si>
  <si>
    <t>[92]</t>
  </si>
  <si>
    <t>[93]</t>
  </si>
  <si>
    <t xml:space="preserve">CC Methane Cracking</t>
  </si>
  <si>
    <t>[=415400000/(9000*C3)]</t>
  </si>
  <si>
    <t>[=1021800000/(9000*C3)]</t>
  </si>
  <si>
    <t xml:space="preserve">[17] low</t>
  </si>
  <si>
    <t>[17]typical</t>
  </si>
  <si>
    <t>[17]high</t>
  </si>
  <si>
    <t xml:space="preserve">Black Carbon from Methane cracking</t>
  </si>
  <si>
    <t>[kg_C/kg_CH4]</t>
  </si>
  <si>
    <t xml:space="preserve">[58] auch terra preta</t>
  </si>
  <si>
    <t xml:space="preserve">carbon black price</t>
  </si>
  <si>
    <t>[USD/kg_C]</t>
  </si>
  <si>
    <t>[63]</t>
  </si>
  <si>
    <t>[73]</t>
  </si>
  <si>
    <t xml:space="preserve">methane pyrolysis LHV efficiency (Methane Cracking)</t>
  </si>
  <si>
    <t>[82]</t>
  </si>
  <si>
    <t xml:space="preserve">kg methane per kg hydrogen</t>
  </si>
  <si>
    <t>IRON</t>
  </si>
  <si>
    <t xml:space="preserve">IRON LHV</t>
  </si>
  <si>
    <t>[kWh/kg_Fe]</t>
  </si>
  <si>
    <t xml:space="preserve">IRON: DR shaft furnace</t>
  </si>
  <si>
    <t>[69]</t>
  </si>
  <si>
    <t xml:space="preserve">[67] 2010</t>
  </si>
  <si>
    <t xml:space="preserve">[68] 2000</t>
  </si>
  <si>
    <t>[71]</t>
  </si>
  <si>
    <t xml:space="preserve">IRON: EAF</t>
  </si>
  <si>
    <t>[70]</t>
  </si>
  <si>
    <t xml:space="preserve">energy demand conversion</t>
  </si>
  <si>
    <t>[74+++V86:W87</t>
  </si>
  <si>
    <t>[74]</t>
  </si>
  <si>
    <t xml:space="preserve">CC iron ship</t>
  </si>
  <si>
    <t>[USD]</t>
  </si>
  <si>
    <t xml:space="preserve">net capacity iron ship</t>
  </si>
  <si>
    <t>[kg]</t>
  </si>
  <si>
    <t xml:space="preserve">CC iron storage</t>
  </si>
  <si>
    <t>[USD/kg_EC/life]</t>
  </si>
  <si>
    <r>
      <rPr>
        <b/>
        <sz val="11"/>
        <color theme="1"/>
        <rFont val="Calibri"/>
        <scheme val="minor"/>
      </rPr>
      <t>Utilization:</t>
    </r>
    <r>
      <rPr>
        <sz val="11"/>
        <color theme="1"/>
        <rFont val="Calibri"/>
        <scheme val="minor"/>
      </rPr>
      <t xml:space="preserve"> CC of Coal Power Plant</t>
    </r>
  </si>
  <si>
    <t>[84]</t>
  </si>
  <si>
    <r>
      <rPr>
        <b/>
        <sz val="11"/>
        <color theme="1"/>
        <rFont val="Calibri"/>
        <scheme val="minor"/>
      </rPr>
      <t xml:space="preserve">Utilization: </t>
    </r>
    <r>
      <rPr>
        <sz val="11"/>
        <color theme="1"/>
        <rFont val="Calibri"/>
        <scheme val="minor"/>
      </rPr>
      <t xml:space="preserve">OPEX fix of Coal Power Plant</t>
    </r>
  </si>
  <si>
    <r>
      <rPr>
        <b/>
        <sz val="11"/>
        <color theme="1"/>
        <rFont val="Calibri"/>
        <scheme val="minor"/>
      </rPr>
      <t>Utilization:</t>
    </r>
    <r>
      <rPr>
        <sz val="11"/>
        <color theme="1"/>
        <rFont val="Calibri"/>
        <scheme val="minor"/>
      </rPr>
      <t xml:space="preserve"> OPEX fuel?? of Coal Power Plant</t>
    </r>
  </si>
  <si>
    <t xml:space="preserve">Utilization: efficiency Coal fired power plant</t>
  </si>
  <si>
    <t>[94]</t>
  </si>
  <si>
    <t>Water</t>
  </si>
  <si>
    <t xml:space="preserve">Water purification energy demand [desalination]</t>
  </si>
  <si>
    <t>[kWh/m^3]</t>
  </si>
  <si>
    <t>[5]</t>
  </si>
  <si>
    <t>[15]</t>
  </si>
  <si>
    <t xml:space="preserve">Water deionisation energy demand</t>
  </si>
  <si>
    <t xml:space="preserve">Water demand electrolyser</t>
  </si>
  <si>
    <t>[liter_H2O/kg_H2]</t>
  </si>
  <si>
    <t>[8]</t>
  </si>
  <si>
    <t xml:space="preserve">Total annualized cost for desalination</t>
  </si>
  <si>
    <t xml:space="preserve">CAPEX desalination</t>
  </si>
  <si>
    <t>[USD/(m3/d)]</t>
  </si>
  <si>
    <t>[21]</t>
  </si>
  <si>
    <t xml:space="preserve">Desalination plant lifetime</t>
  </si>
  <si>
    <t xml:space="preserve">182 days storage price per kg H2</t>
  </si>
  <si>
    <t>[$/kg_H2]</t>
  </si>
  <si>
    <t xml:space="preserve">182 days storage price NH3 per H2 equivalent</t>
  </si>
  <si>
    <t>[$/eq_kg_H2]</t>
  </si>
  <si>
    <t xml:space="preserve">15 days storage price per kg H2</t>
  </si>
  <si>
    <t xml:space="preserve">15 days storage price NH3 per H2 equivalent</t>
  </si>
  <si>
    <t xml:space="preserve">charter rate NH3</t>
  </si>
  <si>
    <t>[$/day]</t>
  </si>
  <si>
    <t>[12]</t>
  </si>
  <si>
    <t>#</t>
  </si>
  <si>
    <t>Citation</t>
  </si>
  <si>
    <t>URL</t>
  </si>
  <si>
    <t>Observations</t>
  </si>
  <si>
    <t xml:space="preserve">J. Neumann et al.</t>
  </si>
  <si>
    <t xml:space="preserve">The International Renewable Energy Agency (IRENA) (2020): Green hydrogen cost reduction. Scaling up electrolysers to meet the 1.5C climate goal. Online verfügbar unter https://irena.org/-/media/Files/IRENA/Agency/Publication/2020/Dec/IRENA_Green_hydrogen_cost_2020.pdf, zuletzt geprüft am 14.06.2021.</t>
  </si>
  <si>
    <t xml:space="preserve">Siemens Energy, Silyzer 300: Die nachste Dimension der PEM- ¨ Elektrolyse, Munchen, 2020.</t>
  </si>
  <si>
    <t xml:space="preserve">Cummins HyLYZER® WATER ELECTROLYZERS - 1000 specsheet</t>
  </si>
  <si>
    <t xml:space="preserve">Ecoinvent Centre – Swiss Centre for Life Cycle Inventories, ecoinvent database: Process “Water Production, Deionised, from tap Water, at User [RoW]”, ecoinvent, Zurich, ¨ Switzerland, 2008.</t>
  </si>
  <si>
    <t>[6]</t>
  </si>
  <si>
    <t xml:space="preserve">Althaus, Hans-Joerg, 08_Life Cycle Inventories of Chemicals</t>
  </si>
  <si>
    <t xml:space="preserve">Hank, Sternberg et al. 2020 - Energy efficiency and economic assessment of imported energy carriers based on renewable electricity</t>
  </si>
  <si>
    <t xml:space="preserve">Water for the Hydrogen Economy Rain Saulnier, BSc, MASc WaterSMART Solutions Ltd.</t>
  </si>
  <si>
    <t>IRENA_Global_Hydrogen_Trade_Costs_2022</t>
  </si>
  <si>
    <t xml:space="preserve">A feasibility study of implementing an Ammonia Economy</t>
  </si>
  <si>
    <t>[11]</t>
  </si>
  <si>
    <t xml:space="preserve"> Barriers to Effective Climate Change Adaption</t>
  </si>
  <si>
    <t xml:space="preserve">Green ammonia as a spatial energy vector</t>
  </si>
  <si>
    <t>The-LNG-Shipping-Forecast-costs-rebounding-outlook-uncertain-Insight-27</t>
  </si>
  <si>
    <t>[14]</t>
  </si>
  <si>
    <t>https://www.energymonitor.ai/tech/can-desalination-save-a-drying-world/</t>
  </si>
  <si>
    <t xml:space="preserve">A Review of the Water Desalination Systems Integrated with Renewable Energy</t>
  </si>
  <si>
    <t xml:space="preserve">International Energy Agency - IEA (2019): The Future of Hydrogen. Online verfügbar unter https://iea.blob.core.windows.net/assets/9e3a3493-b9a6-4b7d-b499-7ca48e357561/The_Future_of_Hydrogen.pdf, zuletzt geprüft am 14.06.2021.</t>
  </si>
  <si>
    <t xml:space="preserve">Vos, Maurice: Study on the Import of Liquid Renewable Energy: Technology Cost Assessment. Online verfügbar unter https://www.gie.eu/wp-content/uploads/filr/2598/DNV-GL_Study-GLE-Technologies-and-costs-analysis-on-imports-of-liquid-renewable-energy.pdf, zuletzt geprüft am 11.07.2022.</t>
  </si>
  <si>
    <t xml:space="preserve">NCE Maritime CleanTech (2016): Norwegfian future value chains for liquid hydrogen. Online verfügbar unter https://maritimecleantech.no/wp-content/uploads/2016/11/Report-liquid-hydrogen.pdf, zuletzt geprüft am 18.06.2022.</t>
  </si>
  <si>
    <t>[19]</t>
  </si>
  <si>
    <t xml:space="preserve">U.S. Departement of Energy (DOE) (2019): Current Status of Hydrogen Liquefaction Costs./pdfs/19001_hydrogen_liquefaction_costs.pdf, zuletzt geprüft am 09.05.2022.</t>
  </si>
  <si>
    <t xml:space="preserve">Power-to-ammonia in future North European 100 % renewable power and heat system, Jussi Ikäheimo</t>
  </si>
  <si>
    <t xml:space="preserve">Learning Curve for Seawater Reverse Osmosis Desalination Plants: Capital Cost Trend of the Past, Present, and Future Caldera &amp; Breyer </t>
  </si>
  <si>
    <t xml:space="preserve">Role of Seawater Desalination in the Management of an Integrated Water and 100% Renewable Energy Based Power Sector in Saudi Arabia</t>
  </si>
  <si>
    <t xml:space="preserve">Techno-E echno-Economic F conomic Feasibility Study of Ammonia Plants P easibility Study of Ammonia Plants Powered by Offshore Wind</t>
  </si>
  <si>
    <t>[24]</t>
  </si>
  <si>
    <t xml:space="preserve">Olson N. NH3eThe World's optimal energy solution. 2017. Rotterdam</t>
  </si>
  <si>
    <t xml:space="preserve">The economics of global green ammonia trade</t>
  </si>
  <si>
    <t>[26]</t>
  </si>
  <si>
    <t xml:space="preserve">Comparative cost assessment of sustainable energy carriers produced from natural gas accounting for boil-off gas and social cost of carbon</t>
  </si>
  <si>
    <t>Techno_economic_assessment_of_zero_carbon_fuels</t>
  </si>
  <si>
    <t xml:space="preserve">Conversion of LNG Terminals for Liquid Hydrogen or Ammonia</t>
  </si>
  <si>
    <t xml:space="preserve">Kim, Kyunghwa; Park, Kido; Roh, Gilltae; Chun, Kangwoo (2019): Case Study on Boil-Off Gas (BOG) Minimization for LNG Bunkering Vessel Using Energy Storage System (ESS). In: JMSE 7 (5), S. 130. DOI: 10.3390/jmse7050130.</t>
  </si>
  <si>
    <t xml:space="preserve">Al-Breiki, Mohammed; Bicer, Yusuf (2020): Technical assessment of liquefied natural gas, ammonia and methanol for overseas energy transport based on energy and exergy analyses. In: International Journal of Hydrogen Energy 45 (60), S. 34927–34937. DOI: 10.1016/j.ijhydene.2020.04.181.</t>
  </si>
  <si>
    <t xml:space="preserve">Johnston, Charles; Ali Khan, Muhammad Haider; Amal, Rose; Daiyan, Rahman; MacGill, Iain (2022): Shipping the sunshine: An open-source model for costing renewable hydrogen transport from Australia. In: International Journal of Hydrogen Energy 47 (47), S. 20362–20377. </t>
  </si>
  <si>
    <t xml:space="preserve">Pospíšil, Jiří; Charvát, Pavel; Arsenyeva, Olga; Klimeš, Lubomír; Špiláček, Michal; Klemeš, Jiří Jaromír (2019): Energy demand of liquefaction and regasification of natural gas and the potential of LNG for operative thermal energy storage. In: Renewable and Sustainable Energy Reviews 99, S. 1–15. DOI: 10.1016/j.rser.2018.09.027.</t>
  </si>
  <si>
    <t>[33]</t>
  </si>
  <si>
    <t xml:space="preserve">Hank, Christoph; Sternberg, André; Köppel, Nikolas; Holst, Marius; Smolinka, Tom; Schaadt, Achim et al. (2020): Energy efficiency and economic assessment of imported energy carriers based on renewable electricity. In: Sustainable Energy Fuels 4 (5), S. 2256–2273. DOI: 10.1039/D0SE00067A.</t>
  </si>
  <si>
    <t xml:space="preserve">Air Liquide (2016): Boil-Off Gas Reliquefaction. Online verfügbar unter https://www.engineering-airliquide.com/boil-gas-reliquefaction, zuletzt aktualisiert am 14.09.2018, zuletzt geprüft am 26.06.2022.</t>
  </si>
  <si>
    <t>http://www.polar-refrigeration.de/en/references/bog-application-ammonia-storage/</t>
  </si>
  <si>
    <t xml:space="preserve">Guidehouse: EUROPEAN HYDROGEN BACKBONE. Analysing future demand, supply, and transport of hydrogen 2021. Online verfügbar unter https://gasforclimate2050.eu/wp-content/uploads/2021/06/EHB_Analysing-the-future-demand-supply-and-transport-of-hydrogen_June-2021.pdf, zuletzt geprüft am 12.07.2022.</t>
  </si>
  <si>
    <t xml:space="preserve">Boil-off losses along LH2 pathway G. Petitpas May 2, 2018</t>
  </si>
  <si>
    <t>[39]</t>
  </si>
  <si>
    <t xml:space="preserve">Boil-off gas handling from liquefied hydrogen storage</t>
  </si>
  <si>
    <t>plug-lx-15t-and-lx-30t-liquefaction-products</t>
  </si>
  <si>
    <t xml:space="preserve">Economics of Hydrogen</t>
  </si>
  <si>
    <t>20220608-entwurf-eines-gesetzes-zur-bereithaltung-von-ersatzkraftwerken-zur-reduzierung-des-gasverbrauchs-im-stromsektor</t>
  </si>
  <si>
    <t xml:space="preserve">Exploring the competitiveness of hydrogen-fueled gas turbines in future energy systems</t>
  </si>
  <si>
    <t xml:space="preserve">ISE, Fraunhofer (2021): Study: Levelized Cost of Electricity- Renewable Energy Technologies.</t>
  </si>
  <si>
    <t xml:space="preserve">IEA, International Energy Agency: World Energy Outlook 2021. Online verfügbar unter https://iea.blob.core.windows.net/assets/4ed140c1-c3f3-4fd9-acae-789a4e14a23c/WorldEnergyOutlook2021.pdf, zuletzt geprüft am 17.07.2022.</t>
  </si>
  <si>
    <t xml:space="preserve">Ammonia to Power: Forecasting the Levelized Cost of Electricity from Green Ammonia in Large-scale Power Plants</t>
  </si>
  <si>
    <t xml:space="preserve">IRENA 2020 Global Renewables Outlook</t>
  </si>
  <si>
    <t xml:space="preserve">R. Nayak-Luke, R. Banares-Alcantara and I. Wilkinson, "“Green” Ammonia: Impact of Renewable Energy Intermittency on Plant Sizing and Levelized Cost of Ammonia," Industrial and Engineering Chemistry Research, no. 57, p. 14607−14616, 2018.</t>
  </si>
  <si>
    <t xml:space="preserve">https://www.biancahoegel.de/material/werkstoffe/basen/ammoniak.html#:~:text=Der%20Massenanteil%20von%20Wasserstoff%20im,%2C7%20kWh%2Fl). Zuletzt geprüft 24.08.23</t>
  </si>
  <si>
    <t xml:space="preserve">DOE (2015): DOE Technical Targets for Hydrogen Delivery. Online verfügbar unter https://www.energy.gov/eere/fuelcells/doe-technical-targets-hydrogen-delivery, zuletzt aktualisiert am 19.07.2022, zuletzt geprüft am 19.07.2022.</t>
  </si>
  <si>
    <t xml:space="preserve">Abrahamse, Noor (2021): Hydrogen Import Supply Chains: A study on the influence of various supply chain configurations on the cost price of hydrogen for different hydrogen carriers, considering the entire supply chain from export terminal to end-user. Online verfügbar unter https://repository.tudelft.nl/islandora/object/uuid:07a9a474-bed3-42ea-84f1-70423b627d9e/datastream/OBJ/download, zuletzt geprüft am 12.07.2022.</t>
  </si>
  <si>
    <t xml:space="preserve">Hydrogen-Feasibility-Study-MariGreen Perspectives for the Use of Hydrogen as Fuel in Inland Shipping</t>
  </si>
  <si>
    <t xml:space="preserve">Energy Economics, Winter Semester 2021-2 Lecture 2: Energy Balances</t>
  </si>
  <si>
    <t xml:space="preserve">Analysis of boil-off rate problem in Liquefied Natural Gas (LNG) receiving terminals</t>
  </si>
  <si>
    <t xml:space="preserve">Technical assessment of liquefied natural gas, ammonia and methanol for overseas energy transport based on energy and exergy analyses</t>
  </si>
  <si>
    <t>https://thebulletin.org/2022/01/whether-green-blue-or-turquoise-hydrogen-needs-to-be-clean-and-cheap/</t>
  </si>
  <si>
    <t>ceew-research-on-natural-gas-pyrolysis-for-low-carbon-and-clean-green-hydrogen-production-india.pdf</t>
  </si>
  <si>
    <t>https://www.transparencymarketresearch.com/turquoise-hydrogen-market.html</t>
  </si>
  <si>
    <t xml:space="preserve">Process-informed adsorbent design guidelines for direct air capture</t>
  </si>
  <si>
    <t xml:space="preserve">Techno-economic assessment of CO2 direct air capture plants</t>
  </si>
  <si>
    <t>hydrogen-and-direct-air-capture-of-co2-for-synthetic-fuels,-gasworld-july-2021.pdf</t>
  </si>
  <si>
    <t xml:space="preserve">Robust integration of direct air capture in power-to-methane systems: techno-economic feasibility study under uncertainty</t>
  </si>
  <si>
    <t xml:space="preserve">Methane Pyrolysis for Zero-Emission Hydrogen Production: A Potential Bridge Technology from Fossil Fuels to a Renewable and Sustainable Hydrogen Economy</t>
  </si>
  <si>
    <t>https://www.dw.com/en/germany-considers-electricity-price-cap-to-support-industry/a-65531798</t>
  </si>
  <si>
    <t>https://www.cleanenergywire.org/news/german-wholesale-power-prices-rise-steeply-falling-2024-report#:~:text=By%202030%20the%20price%20is,the%20level%20of%20electricity%20prices.</t>
  </si>
  <si>
    <t xml:space="preserve">Capital Costs and Performance Characteristics for Utility Scale Power Gen</t>
  </si>
  <si>
    <t xml:space="preserve">Wörtler Martin, Felix Schuler, Nicole Voigt, Torben Schmidt (2013): Steel's contribution to a low-carbon Europe 2050.</t>
  </si>
  <si>
    <t xml:space="preserve">IEA – ETSAP (2010): Microsoft Word - I02-Iron&amp;Steel-GS-AD-gct.doc.</t>
  </si>
  <si>
    <t>https://iea-etsap.org/E-TechDS/PDF/I02-Iron&amp;Steel-GS-AD-gct.pdf</t>
  </si>
  <si>
    <t xml:space="preserve">Facchini, Francesco; Mossa, Giorgio; Mummolo, Giovanni; Vitti, Micaela (2021): An Economic Model to Assess Profitable Scenarios of EAF-Based Steelmaking Plants under Uncertain Conditions. In: Energies 14 (21), S. 7395. </t>
  </si>
  <si>
    <t xml:space="preserve">DOI: 10.3390/en14217395.</t>
  </si>
  <si>
    <t xml:space="preserve">Krüger, Andries; Andersson, Joakim; Grönkvist, Stefan; Cornell, Ann (2020): Integration of water electrolysis for fossil-free steel production. In: International Journal of Hydrogen Energy 45 (55), S. 29966–29977. DOI: 10.1016/j.ijhydene.2020.08.116.</t>
  </si>
  <si>
    <t xml:space="preserve">Techno-economic feasibility of road transport of hydrogen using liquid organic hydrogen carriers</t>
  </si>
  <si>
    <t xml:space="preserve">Co-production of hydrogen and carbon black from solar thermal methane splitting in a tubular reactor prototype</t>
  </si>
  <si>
    <t xml:space="preserve">Assessment of hydrogen direct reduction for fossil-free steelmaking</t>
  </si>
  <si>
    <t>https://www.container-xchange.com/blog/lng-iso-tank/#market_overview_of_lng_iso_tank_containers</t>
  </si>
  <si>
    <t xml:space="preserve">Investment in LNG Supply Chain Infrastructure Estimation</t>
  </si>
  <si>
    <t xml:space="preserve">Costs and benefits of LNG as ship fuel for container vessels</t>
  </si>
  <si>
    <t xml:space="preserve">Development of dehydrogenation catalyst for hydrogen generation in organic chemical hydride method</t>
  </si>
  <si>
    <t xml:space="preserve">Maritime transportation of LOHCs A greenhouse gas footprint and economic assessment of importing renewable H2 from Portugal to the Netherlands, using liquid organic hydrogen carriers</t>
  </si>
  <si>
    <t>EHB_Analysing-the-future-demand-supply-and-transport-of-hydrogen_June-2021</t>
  </si>
  <si>
    <t xml:space="preserve">Using Local Green Energy and Ammonia to Power Gas Turbine Generators</t>
  </si>
  <si>
    <t xml:space="preserve">Thermal cracking of methane into Hydrogen for a CO2-free utilization of natural gas</t>
  </si>
  <si>
    <t xml:space="preserve">Methane Pyrolysis for CO2-Free H2 Production: A Green Process to Overcome Renewable Energies Unsteadiness</t>
  </si>
  <si>
    <t>https://onlinelibrary.wiley.com/doi/full/10.1002/cite.202000029</t>
  </si>
  <si>
    <t xml:space="preserve">Power Generation from Coal, Oil, Gas, and Biofuels</t>
  </si>
  <si>
    <t xml:space="preserve">Liquefied synthetic methane from ambient CO2 and renewable H2 - A technoeconomic study</t>
  </si>
  <si>
    <t xml:space="preserve">Availability and costs of liquefied bio- and synthetic methane</t>
  </si>
  <si>
    <t xml:space="preserve">Techno-economic analysis of biomethane liquefaction processes</t>
  </si>
  <si>
    <t xml:space="preserve">Report Part Title Cost of Liquefaction Plant Projects</t>
  </si>
  <si>
    <t xml:space="preserve">Production costs for synthetic methane in 2030 and 2050 of an optimized Power-to-Gas plant with intermediate hydrogen storage</t>
  </si>
  <si>
    <t xml:space="preserve">Potential of Power-to-Methane in the EU energy transition to a low carbon system using cost optimization</t>
  </si>
  <si>
    <t>https://bericht.basf.com/2021/de/aktionaere/basf-am-kapitalmarkt/methanpyrolyse.html#:~:text=Methanpyrolyse%3A%20Bei%20der%20Methanpyrolyse%20wird,als%201.000%20Grad%20Celsius%20ben%C3%B6tigt.</t>
  </si>
  <si>
    <t>https://www.energie-lexikon.info/methanpyrolyse.html</t>
  </si>
  <si>
    <t xml:space="preserve">H2BWissen: Wasserstoffbereitstellung aus Biomasse in Baden-Württemberg</t>
  </si>
  <si>
    <t>https://www.ctc-n.org/technologies/pulverised-coal-combustion-higher-efficiency</t>
  </si>
  <si>
    <t>H2-Ready-GT_Factsheet_en-final</t>
  </si>
  <si>
    <t>H2-deployment-in-centralised-power-generation-techno-economic-study-April2022.pdf</t>
  </si>
  <si>
    <t>https://power.mhi.com/products/gasturbines/lineup/m501j</t>
  </si>
  <si>
    <t xml:space="preserve">Current picture of co-firing and future prospects for hydrogen-rich fuels</t>
  </si>
  <si>
    <t>https://iea.blob.core.windows.net/assets/a76b2cc9-f7e3-459e-945e-91b8ff54d0fc/210318_Mitsubishi_E_Kakaras.pdf</t>
  </si>
  <si>
    <t xml:space="preserve">Life Cycle Assessment of Greenhouse Gas (GHG) and NOx Emissions of Power-to-H2-to-Power Technology Integrated </t>
  </si>
  <si>
    <t xml:space="preserve">Advanced Technologies for Gas Turbines</t>
  </si>
  <si>
    <t xml:space="preserve">Ökonomisch/Ö kologische Betrachtung zur Herstellung von Wasserstoff in Großanlagen</t>
  </si>
  <si>
    <t xml:space="preserve">Global GIS-based potential analysis and cost assessment of Power-to-X fuels in 2050</t>
  </si>
  <si>
    <t xml:space="preserve">Energiespeicherung als Element einer sicheren Energieversorgung</t>
  </si>
  <si>
    <t xml:space="preserve">Best Case:</t>
  </si>
  <si>
    <t xml:space="preserve">Worst Case:</t>
  </si>
  <si>
    <t>mean:</t>
  </si>
  <si>
    <t xml:space="preserve">H2 for NH3</t>
  </si>
  <si>
    <t xml:space="preserve">H2 for LOHC</t>
  </si>
  <si>
    <t xml:space="preserve">H2 for CH4</t>
  </si>
  <si>
    <t>Iron</t>
  </si>
  <si>
    <t>Reference</t>
  </si>
  <si>
    <t>IEA</t>
  </si>
  <si>
    <t>IRENA</t>
  </si>
  <si>
    <t>EC_density</t>
  </si>
  <si>
    <t>kg/m^3</t>
  </si>
  <si>
    <t xml:space="preserve">LHV_EC </t>
  </si>
  <si>
    <t>kWh/kg]</t>
  </si>
  <si>
    <t>Lifetime</t>
  </si>
  <si>
    <t>years</t>
  </si>
  <si>
    <t>h</t>
  </si>
  <si>
    <t>Efficiency</t>
  </si>
  <si>
    <t xml:space="preserve">Energy demand EC</t>
  </si>
  <si>
    <t>[kWh/kg_EC]</t>
  </si>
  <si>
    <t xml:space="preserve">fraction OPEX</t>
  </si>
  <si>
    <t>CRF</t>
  </si>
  <si>
    <t>h/year</t>
  </si>
  <si>
    <t xml:space="preserve">Relative CC</t>
  </si>
  <si>
    <t xml:space="preserve"> [USD /kW_EC] </t>
  </si>
  <si>
    <t xml:space="preserve">Total CAPEX </t>
  </si>
  <si>
    <t xml:space="preserve"> [USD /kg_EC] </t>
  </si>
  <si>
    <t xml:space="preserve">Total OPEX </t>
  </si>
  <si>
    <t xml:space="preserve">Feedstock cost </t>
  </si>
  <si>
    <t xml:space="preserve">Total cost </t>
  </si>
  <si>
    <t xml:space="preserve">Total cost per kWh produced</t>
  </si>
  <si>
    <t xml:space="preserve"> [USD /kWh] </t>
  </si>
  <si>
    <t xml:space="preserve">m_prod H2</t>
  </si>
  <si>
    <t>HAM</t>
  </si>
  <si>
    <t>CAS-HAM</t>
  </si>
  <si>
    <t>YAN-HAM</t>
  </si>
  <si>
    <t>HED-HAM</t>
  </si>
  <si>
    <t xml:space="preserve">PE_EC output</t>
  </si>
  <si>
    <t>[kWh]</t>
  </si>
  <si>
    <t xml:space="preserve">W_prod input</t>
  </si>
  <si>
    <t>Costs</t>
  </si>
  <si>
    <t>iron</t>
  </si>
  <si>
    <t xml:space="preserve">Complex Calc</t>
  </si>
  <si>
    <t xml:space="preserve">of CAPEX/a</t>
  </si>
  <si>
    <t xml:space="preserve">Production hours per year</t>
  </si>
  <si>
    <t xml:space="preserve">Operating days </t>
  </si>
  <si>
    <t xml:space="preserve">CAPEX per m^3</t>
  </si>
  <si>
    <t>[USD/m3]</t>
  </si>
  <si>
    <t xml:space="preserve">OPEX per m^3</t>
  </si>
  <si>
    <t>Feedstock</t>
  </si>
  <si>
    <t xml:space="preserve">Water demand</t>
  </si>
  <si>
    <t>[liter_H2O/kg_EC]</t>
  </si>
  <si>
    <t>LCOW</t>
  </si>
  <si>
    <t xml:space="preserve">LCOW per Kwh</t>
  </si>
  <si>
    <t>[kg_H2]</t>
  </si>
  <si>
    <t xml:space="preserve">Water demand </t>
  </si>
  <si>
    <t>[l]</t>
  </si>
  <si>
    <t xml:space="preserve">2,25l/kg Water from Methanation</t>
  </si>
  <si>
    <t xml:space="preserve">Water Energy demand</t>
  </si>
  <si>
    <t xml:space="preserve">Water costs</t>
  </si>
  <si>
    <t xml:space="preserve">Simple Calc</t>
  </si>
  <si>
    <t xml:space="preserve">Total annualized cost for desalination (CAPEX +OPEX)</t>
  </si>
  <si>
    <t>LHV_H2</t>
  </si>
  <si>
    <t>kWh/kg_H2]</t>
  </si>
  <si>
    <t xml:space="preserve">Efficiency main process</t>
  </si>
  <si>
    <t xml:space="preserve">fraction OPEX Process</t>
  </si>
  <si>
    <t xml:space="preserve">[- of CC]</t>
  </si>
  <si>
    <t xml:space="preserve">fraction OPEX H2 Carrier</t>
  </si>
  <si>
    <t xml:space="preserve">Relative CC Process</t>
  </si>
  <si>
    <t xml:space="preserve"> [USD /kW_EC or /t_iron] </t>
  </si>
  <si>
    <t xml:space="preserve">CAPEX Process</t>
  </si>
  <si>
    <t xml:space="preserve">OPEX Process</t>
  </si>
  <si>
    <t xml:space="preserve">Relative CC H2 Carrier</t>
  </si>
  <si>
    <t xml:space="preserve"> [USD /kg_CO2*year] </t>
  </si>
  <si>
    <t xml:space="preserve">CAPEX  H2 Carrier</t>
  </si>
  <si>
    <t xml:space="preserve"> [USD /kg_CO2] </t>
  </si>
  <si>
    <t xml:space="preserve">OPEX  H2 Carrier</t>
  </si>
  <si>
    <t xml:space="preserve">Toluene price per cycle</t>
  </si>
  <si>
    <t xml:space="preserve">Total cost per kWh converted</t>
  </si>
  <si>
    <t xml:space="preserve">m_H2 needed</t>
  </si>
  <si>
    <t xml:space="preserve">Carrier needed</t>
  </si>
  <si>
    <t>[kg_N2]</t>
  </si>
  <si>
    <t>N2</t>
  </si>
  <si>
    <t>CO2</t>
  </si>
  <si>
    <t xml:space="preserve">m_prod EC</t>
  </si>
  <si>
    <t>[kg_EC]</t>
  </si>
  <si>
    <t xml:space="preserve">Conv_EC output</t>
  </si>
  <si>
    <t>W_conversion_input</t>
  </si>
  <si>
    <t xml:space="preserve">CC Liquefier costs</t>
  </si>
  <si>
    <t>[kWh/kg]</t>
  </si>
  <si>
    <t xml:space="preserve">Liquefier costs per kg</t>
  </si>
  <si>
    <t xml:space="preserve">CAPEX </t>
  </si>
  <si>
    <t xml:space="preserve">OPEX </t>
  </si>
  <si>
    <t xml:space="preserve">Total cost</t>
  </si>
  <si>
    <t xml:space="preserve">LCOlq per Kg</t>
  </si>
  <si>
    <t xml:space="preserve">LCOlq per Kwh</t>
  </si>
  <si>
    <t>m_liq</t>
  </si>
  <si>
    <t>W_liq</t>
  </si>
  <si>
    <t xml:space="preserve">tank capacity source:</t>
  </si>
  <si>
    <t xml:space="preserve">EC LHV</t>
  </si>
  <si>
    <t xml:space="preserve">Days per year</t>
  </si>
  <si>
    <t xml:space="preserve">Boil-off </t>
  </si>
  <si>
    <t xml:space="preserve">Re-liquefaction Energy</t>
  </si>
  <si>
    <t>kWh/kg_BOG</t>
  </si>
  <si>
    <t xml:space="preserve"> [USD /kg_EC/life] </t>
  </si>
  <si>
    <t xml:space="preserve"> [USD /kg_EC/day] </t>
  </si>
  <si>
    <t xml:space="preserve">storage time</t>
  </si>
  <si>
    <t xml:space="preserve">no storage time for HAM</t>
  </si>
  <si>
    <t xml:space="preserve">EC stored</t>
  </si>
  <si>
    <t xml:space="preserve">H2 content</t>
  </si>
  <si>
    <t>BOG</t>
  </si>
  <si>
    <t xml:space="preserve">energy reliquefication</t>
  </si>
  <si>
    <t>[KWh]</t>
  </si>
  <si>
    <t xml:space="preserve">energy reliquefication per kg EC</t>
  </si>
  <si>
    <t>[KWh/kg_EC]</t>
  </si>
  <si>
    <t xml:space="preserve">Costs per kg for storage time</t>
  </si>
  <si>
    <t>[USD/kg_EC]</t>
  </si>
  <si>
    <t xml:space="preserve">Total Costs</t>
  </si>
  <si>
    <t xml:space="preserve">Costs per kWh ???</t>
  </si>
  <si>
    <t xml:space="preserve">Cost for EC stored</t>
  </si>
  <si>
    <t xml:space="preserve">W for EC stored</t>
  </si>
  <si>
    <t xml:space="preserve">tank capacity</t>
  </si>
  <si>
    <t>[KWh_el/kg]</t>
  </si>
  <si>
    <t>[KWh_el/KWh]</t>
  </si>
  <si>
    <t xml:space="preserve">Total cost for storage time per kg_EC</t>
  </si>
  <si>
    <t xml:space="preserve">Total cost for storage time per KWh</t>
  </si>
  <si>
    <t>[USD/KWh]</t>
  </si>
  <si>
    <t xml:space="preserve">literature Total cost 182 days per KWh</t>
  </si>
  <si>
    <t xml:space="preserve">literature Total cost 15 days per KWh</t>
  </si>
  <si>
    <t xml:space="preserve">H2 easy</t>
  </si>
  <si>
    <t xml:space="preserve">NH3 easy</t>
  </si>
  <si>
    <t xml:space="preserve">LOHC easy</t>
  </si>
  <si>
    <t xml:space="preserve">CH4 easy</t>
  </si>
  <si>
    <t xml:space="preserve">Storage density</t>
  </si>
  <si>
    <t>[MJ/kg]</t>
  </si>
  <si>
    <t xml:space="preserve">charter rate</t>
  </si>
  <si>
    <t xml:space="preserve">CRF iron</t>
  </si>
  <si>
    <t xml:space="preserve">ship capacity VLGC</t>
  </si>
  <si>
    <t xml:space="preserve">EC possible on board</t>
  </si>
  <si>
    <t xml:space="preserve">Temperature of EC</t>
  </si>
  <si>
    <t>[°C]</t>
  </si>
  <si>
    <t xml:space="preserve">Pressure </t>
  </si>
  <si>
    <t>[bar]</t>
  </si>
  <si>
    <t xml:space="preserve">Boil off rate</t>
  </si>
  <si>
    <t xml:space="preserve">Engine power</t>
  </si>
  <si>
    <t>[kW]</t>
  </si>
  <si>
    <t xml:space="preserve">days per Year</t>
  </si>
  <si>
    <t>CC</t>
  </si>
  <si>
    <t>CAPEX</t>
  </si>
  <si>
    <t xml:space="preserve">Engine efficiency</t>
  </si>
  <si>
    <t>Speed</t>
  </si>
  <si>
    <t>[km/h]</t>
  </si>
  <si>
    <t xml:space="preserve">Suez canal cost</t>
  </si>
  <si>
    <t xml:space="preserve">[USD /way] </t>
  </si>
  <si>
    <t xml:space="preserve">Port costs (for LNG ships)</t>
  </si>
  <si>
    <t xml:space="preserve">ship fuel requirement </t>
  </si>
  <si>
    <t>[kWh/km]</t>
  </si>
  <si>
    <t xml:space="preserve">transport cost per km</t>
  </si>
  <si>
    <t>[(Eur/MWh)/km]</t>
  </si>
  <si>
    <t xml:space="preserve">transit time per port</t>
  </si>
  <si>
    <t xml:space="preserve">Netto Tank volume (due to used LOHC)</t>
  </si>
  <si>
    <t>Route</t>
  </si>
  <si>
    <t xml:space="preserve">seperate tank volume is only needed for one way fuel as the used LOHC can be put in the other tank when EC is delivered in the country</t>
  </si>
  <si>
    <t xml:space="preserve">EC space</t>
  </si>
  <si>
    <t xml:space="preserve">Distance (nm)</t>
  </si>
  <si>
    <t xml:space="preserve">Distance (km)</t>
  </si>
  <si>
    <t xml:space="preserve">EC start</t>
  </si>
  <si>
    <t xml:space="preserve">Hydrogen on board</t>
  </si>
  <si>
    <t xml:space="preserve">t_ship [days]</t>
  </si>
  <si>
    <t xml:space="preserve">Way to and back</t>
  </si>
  <si>
    <t xml:space="preserve">W_fuel [kWh]</t>
  </si>
  <si>
    <t xml:space="preserve">kg_fuel [kg]</t>
  </si>
  <si>
    <t xml:space="preserve">fuel price</t>
  </si>
  <si>
    <t>USD/kg_fuel</t>
  </si>
  <si>
    <t>USD/MWh_fuel</t>
  </si>
  <si>
    <t xml:space="preserve">fuel cost for transportet EC</t>
  </si>
  <si>
    <t>USD/kg_EC</t>
  </si>
  <si>
    <t xml:space="preserve">fuel cost for transported KWh</t>
  </si>
  <si>
    <t>USD/Kwh</t>
  </si>
  <si>
    <t xml:space="preserve">at delivered port not electricity</t>
  </si>
  <si>
    <t xml:space="preserve">seperate tank volume needed</t>
  </si>
  <si>
    <t>kg_carrier</t>
  </si>
  <si>
    <t xml:space="preserve">for one way dehydro LOHC</t>
  </si>
  <si>
    <t xml:space="preserve">Boil off only one way</t>
  </si>
  <si>
    <t xml:space="preserve">m_BOG [kg]</t>
  </si>
  <si>
    <t xml:space="preserve">Boil off bigger than fuel consumption?</t>
  </si>
  <si>
    <t>no</t>
  </si>
  <si>
    <t xml:space="preserve">EC delivered</t>
  </si>
  <si>
    <t>m_netto</t>
  </si>
  <si>
    <t xml:space="preserve">cost per kWh</t>
  </si>
  <si>
    <t xml:space="preserve">Costs [$]</t>
  </si>
  <si>
    <t xml:space="preserve">without EC fuel</t>
  </si>
  <si>
    <t xml:space="preserve">cost for EC input</t>
  </si>
  <si>
    <t xml:space="preserve">fuel cost for transported KWh per km</t>
  </si>
  <si>
    <t>USD/(Kwh*km)</t>
  </si>
  <si>
    <r>
      <t>H</t>
    </r>
    <r>
      <rPr>
        <vertAlign val="subscript"/>
        <sz val="11"/>
        <color theme="1"/>
        <rFont val="Calibri"/>
        <scheme val="minor"/>
      </rPr>
      <t>2</t>
    </r>
  </si>
  <si>
    <r>
      <t>NH</t>
    </r>
    <r>
      <rPr>
        <vertAlign val="subscript"/>
        <sz val="11"/>
        <color theme="1"/>
        <rFont val="Calibri"/>
        <scheme val="minor"/>
      </rPr>
      <t>3</t>
    </r>
  </si>
  <si>
    <r>
      <t>CH</t>
    </r>
    <r>
      <rPr>
        <vertAlign val="subscript"/>
        <sz val="11"/>
        <color theme="1"/>
        <rFont val="Calibri"/>
        <scheme val="minor"/>
      </rPr>
      <t>4</t>
    </r>
  </si>
  <si>
    <t>Fe</t>
  </si>
  <si>
    <t xml:space="preserve">at import port</t>
  </si>
  <si>
    <t xml:space="preserve">transport cost per kWh and km (without fuel)</t>
  </si>
  <si>
    <t xml:space="preserve">kwh fuel per kWh delivered and km (without fuel)</t>
  </si>
  <si>
    <t>kwh_fuel/(kwh*km)</t>
  </si>
  <si>
    <t xml:space="preserve">(same as kg/kg)</t>
  </si>
  <si>
    <t>Factor</t>
  </si>
  <si>
    <t xml:space="preserve">NH3 H2Plant</t>
  </si>
  <si>
    <t xml:space="preserve">H2 from CH4</t>
  </si>
  <si>
    <t xml:space="preserve">Storage feedstock costs</t>
  </si>
  <si>
    <t xml:space="preserve">Overall daily costs</t>
  </si>
  <si>
    <t xml:space="preserve">Overall daily costs MWh</t>
  </si>
  <si>
    <t xml:space="preserve"> [USD /MWh/day] </t>
  </si>
  <si>
    <t xml:space="preserve">electricity price after utilization</t>
  </si>
  <si>
    <t xml:space="preserve">Costs per kWh</t>
  </si>
  <si>
    <t xml:space="preserve">H2 liquid</t>
  </si>
  <si>
    <t xml:space="preserve">H2 from NH3</t>
  </si>
  <si>
    <t xml:space="preserve">H2 from LOHC</t>
  </si>
  <si>
    <t xml:space="preserve">CH4 regas</t>
  </si>
  <si>
    <t xml:space="preserve">load hours per year</t>
  </si>
  <si>
    <t>[h/a]</t>
  </si>
  <si>
    <t>Capacity</t>
  </si>
  <si>
    <t xml:space="preserve">[10^6 kg_EC/year] </t>
  </si>
  <si>
    <t xml:space="preserve">[USD/KW_H2] </t>
  </si>
  <si>
    <t xml:space="preserve"> [USD /kg_H2] </t>
  </si>
  <si>
    <t xml:space="preserve">Electricity demand</t>
  </si>
  <si>
    <t xml:space="preserve">Heat-energy demand</t>
  </si>
  <si>
    <t xml:space="preserve">Purification efficiency</t>
  </si>
  <si>
    <t>R_reconv</t>
  </si>
  <si>
    <t xml:space="preserve">EC delivered LHV</t>
  </si>
  <si>
    <t xml:space="preserve">H2 reconverted </t>
  </si>
  <si>
    <t xml:space="preserve">H2 gross</t>
  </si>
  <si>
    <t xml:space="preserve">H2 heat</t>
  </si>
  <si>
    <t xml:space="preserve">W_elec and W_heat grid electricity</t>
  </si>
  <si>
    <t>AUX</t>
  </si>
  <si>
    <t xml:space="preserve">H2 electricity</t>
  </si>
  <si>
    <t xml:space="preserve">H2 net</t>
  </si>
  <si>
    <t xml:space="preserve">Total Cost</t>
  </si>
  <si>
    <t xml:space="preserve">Total Cost per kg H2</t>
  </si>
  <si>
    <t xml:space="preserve">Total Cost per kWh</t>
  </si>
  <si>
    <t xml:space="preserve">carbon black produced </t>
  </si>
  <si>
    <t>kg_C/kg_CH4</t>
  </si>
  <si>
    <t xml:space="preserve">carbon black</t>
  </si>
  <si>
    <t>kg</t>
  </si>
  <si>
    <t xml:space="preserve">H2 from LOHC </t>
  </si>
  <si>
    <t xml:space="preserve">CH4 H2 Plant</t>
  </si>
  <si>
    <t xml:space="preserve">[10^6 kW] </t>
  </si>
  <si>
    <t xml:space="preserve">[USD/kWh_el ]</t>
  </si>
  <si>
    <t xml:space="preserve">rel OPEX (fix)</t>
  </si>
  <si>
    <t xml:space="preserve">rel OPEX (var)</t>
  </si>
  <si>
    <t>[USD/kWh_el]</t>
  </si>
  <si>
    <t xml:space="preserve">Cost Utilization (CAPEX + OPEX)</t>
  </si>
  <si>
    <t xml:space="preserve">Efficiency [keine Quelle]</t>
  </si>
  <si>
    <t xml:space="preserve">EC to utilize</t>
  </si>
  <si>
    <t xml:space="preserve">Energy in EC</t>
  </si>
  <si>
    <t xml:space="preserve">Electricity W out</t>
  </si>
  <si>
    <t xml:space="preserve">Cost Utilization</t>
  </si>
  <si>
    <t xml:space="preserve">carbon black </t>
  </si>
  <si>
    <t>kg/kWh_out</t>
  </si>
  <si>
    <t xml:space="preserve">carbon black gain</t>
  </si>
  <si>
    <t>USD/kWh_out</t>
  </si>
  <si>
    <t xml:space="preserve">CO2 captured </t>
  </si>
  <si>
    <t xml:space="preserve">Potential CO2-Price gain</t>
  </si>
  <si>
    <t>USD/kwh_out</t>
  </si>
  <si>
    <t xml:space="preserve">NH3 H2 Plant</t>
  </si>
  <si>
    <t>Elektrolzer</t>
  </si>
  <si>
    <t>Input</t>
  </si>
  <si>
    <t>Aux</t>
  </si>
  <si>
    <t>Output</t>
  </si>
  <si>
    <t>Cost</t>
  </si>
  <si>
    <t xml:space="preserve"> [USD] </t>
  </si>
  <si>
    <t>Conversion</t>
  </si>
  <si>
    <t>Liquefaction</t>
  </si>
  <si>
    <t xml:space="preserve">Storage 1</t>
  </si>
  <si>
    <t>Shipping</t>
  </si>
  <si>
    <t xml:space="preserve">Storage 2</t>
  </si>
  <si>
    <t>Reconversion</t>
  </si>
  <si>
    <t xml:space="preserve">Grid electricity</t>
  </si>
  <si>
    <t>Utilization</t>
  </si>
  <si>
    <t>electricity</t>
  </si>
  <si>
    <t>E_tot</t>
  </si>
  <si>
    <t xml:space="preserve">kWh_fuel/kWh electricity</t>
  </si>
  <si>
    <t xml:space="preserve">production costs</t>
  </si>
  <si>
    <t>USD/kWh</t>
  </si>
  <si>
    <t xml:space="preserve">after liquefication</t>
  </si>
  <si>
    <t>Mean</t>
  </si>
  <si>
    <t>Min</t>
  </si>
  <si>
    <t>Max</t>
  </si>
  <si>
    <t>E_loss/E_tot</t>
  </si>
  <si>
    <t>Elektrolyser</t>
  </si>
  <si>
    <t xml:space="preserve">Storage production</t>
  </si>
  <si>
    <t>Transport</t>
  </si>
  <si>
    <t xml:space="preserve">Storage utilization</t>
  </si>
  <si>
    <t xml:space="preserve">Usable electricity (system efficiency)</t>
  </si>
  <si>
    <t xml:space="preserve">H2 form CH4</t>
  </si>
  <si>
    <t xml:space="preserve">min  </t>
  </si>
  <si>
    <t xml:space="preserve">  max</t>
  </si>
  <si>
    <t xml:space="preserve">Total Price</t>
  </si>
  <si>
    <t xml:space="preserve">Daily storage costs in import country [USD/day]</t>
  </si>
  <si>
    <t xml:space="preserve">Specific shippings costs [(USD/MWh)/1000km]</t>
  </si>
  <si>
    <t>factor</t>
  </si>
  <si>
    <t xml:space="preserve">CC </t>
  </si>
  <si>
    <t xml:space="preserve">electrolyzer hours</t>
  </si>
  <si>
    <t xml:space="preserve">load hours utilization</t>
  </si>
  <si>
    <t xml:space="preserve">storage 2 time</t>
  </si>
  <si>
    <t>WACC</t>
  </si>
  <si>
    <t xml:space="preserve">efficiency utilization</t>
  </si>
  <si>
    <t xml:space="preserve">prduction clean electricity cost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</si>
</sst>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1.000000"/>
      <color indexed="2"/>
      <name val="Calibri"/>
      <scheme val="minor"/>
    </font>
    <font>
      <b/>
      <sz val="11.000000"/>
      <color theme="1"/>
      <name val="Calibri"/>
      <scheme val="minor"/>
    </font>
    <font>
      <sz val="11.000000"/>
      <name val="Calibri"/>
      <scheme val="minor"/>
    </font>
    <font>
      <sz val="11.000000"/>
      <color theme="5"/>
      <name val="Calibri"/>
      <scheme val="minor"/>
    </font>
    <font>
      <sz val="11.000000"/>
      <color theme="0" tint="-0.499984740745262"/>
      <name val="Calibri"/>
      <scheme val="minor"/>
    </font>
    <font>
      <sz val="11.000000"/>
      <color theme="5" tint="-0.249977111117893"/>
      <name val="Calibri"/>
      <scheme val="minor"/>
    </font>
    <font>
      <sz val="10.000000"/>
      <color theme="1"/>
      <name val="Arial"/>
    </font>
    <font>
      <b/>
      <sz val="11.000000"/>
      <name val="Calibri"/>
      <scheme val="minor"/>
    </font>
    <font>
      <sz val="12.000000"/>
      <color theme="1"/>
      <name val="Calibri"/>
    </font>
    <font>
      <sz val="11.000000"/>
      <color theme="0" tint="-0.34998626667073579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indexed="2"/>
        <bgColor indexed="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00B050"/>
        <bgColor rgb="FFA4C2F4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59999389629810485"/>
        <bgColor theme="6" tint="0.59999389629810485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0" borderId="0" numFmtId="0" applyNumberFormat="1" applyFont="1" applyFill="1" applyBorder="1"/>
  </cellStyleXfs>
  <cellXfs count="82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2" fillId="0" borderId="0" numFmtId="0" xfId="0" applyFont="1"/>
    <xf fontId="2" fillId="2" borderId="0" numFmtId="0" xfId="0" applyFont="1" applyFill="1"/>
    <xf fontId="3" fillId="0" borderId="0" numFmtId="0" xfId="0" applyFont="1"/>
    <xf fontId="4" fillId="4" borderId="0" numFmtId="0" xfId="0" applyFont="1" applyFill="1"/>
    <xf fontId="4" fillId="2" borderId="0" numFmtId="0" xfId="0" applyFont="1" applyFill="1"/>
    <xf fontId="0" fillId="0" borderId="0" numFmtId="3" xfId="0" applyNumberFormat="1"/>
    <xf fontId="0" fillId="5" borderId="0" numFmtId="0" xfId="0" applyFill="1"/>
    <xf fontId="5" fillId="2" borderId="0" numFmtId="0" xfId="0" applyFont="1" applyFill="1"/>
    <xf fontId="4" fillId="0" borderId="0" numFmtId="0" xfId="0" applyFont="1"/>
    <xf fontId="6" fillId="0" borderId="0" numFmtId="0" xfId="0" applyFont="1"/>
    <xf fontId="6" fillId="2" borderId="0" numFmtId="0" xfId="0" applyFont="1" applyFill="1"/>
    <xf fontId="6" fillId="3" borderId="0" numFmtId="0" xfId="0" applyFont="1" applyFill="1"/>
    <xf fontId="6" fillId="4" borderId="0" numFmtId="0" xfId="0" applyFont="1" applyFill="1"/>
    <xf fontId="0" fillId="0" borderId="0" numFmtId="11" xfId="0" applyNumberFormat="1"/>
    <xf fontId="7" fillId="2" borderId="0" numFmtId="0" xfId="0" applyFont="1" applyFill="1"/>
    <xf fontId="0" fillId="2" borderId="0" numFmtId="11" xfId="0" applyNumberFormat="1" applyFill="1"/>
    <xf fontId="0" fillId="6" borderId="0" numFmtId="0" xfId="0" applyFill="1"/>
    <xf fontId="8" fillId="0" borderId="0" numFmtId="0" xfId="0" applyFont="1"/>
    <xf fontId="0" fillId="0" borderId="0" numFmtId="0" xfId="0" applyAlignment="1">
      <alignment wrapText="1"/>
    </xf>
    <xf fontId="4" fillId="5" borderId="0" numFmtId="0" xfId="0" applyFont="1" applyFill="1"/>
    <xf fontId="0" fillId="0" borderId="0" numFmtId="14" xfId="0" applyNumberFormat="1"/>
    <xf fontId="8" fillId="0" borderId="1" numFmtId="0" xfId="0" applyFont="1" applyBorder="1"/>
    <xf fontId="1" fillId="0" borderId="0" numFmtId="0" xfId="1" applyFont="1"/>
    <xf fontId="3" fillId="2" borderId="0" numFmtId="0" xfId="0" applyFont="1" applyFill="1" applyAlignment="1">
      <alignment horizontal="center"/>
    </xf>
    <xf fontId="3" fillId="4" borderId="0" numFmtId="0" xfId="0" applyFont="1" applyFill="1" applyAlignment="1">
      <alignment horizontal="center"/>
    </xf>
    <xf fontId="3" fillId="3" borderId="0" numFmtId="0" xfId="0" applyFont="1" applyFill="1" applyAlignment="1">
      <alignment horizontal="center"/>
    </xf>
    <xf fontId="0" fillId="7" borderId="0" numFmtId="0" xfId="0" applyFill="1"/>
    <xf fontId="9" fillId="0" borderId="0" numFmtId="0" xfId="0" applyFont="1"/>
    <xf fontId="3" fillId="4" borderId="2" numFmtId="0" xfId="0" applyFont="1" applyFill="1" applyBorder="1" applyAlignment="1">
      <alignment horizontal="center"/>
    </xf>
    <xf fontId="3" fillId="4" borderId="3" numFmtId="0" xfId="0" applyFont="1" applyFill="1" applyBorder="1" applyAlignment="1">
      <alignment horizontal="center"/>
    </xf>
    <xf fontId="0" fillId="4" borderId="2" numFmtId="0" xfId="0" applyFill="1" applyBorder="1"/>
    <xf fontId="0" fillId="4" borderId="3" numFmtId="0" xfId="0" applyFill="1" applyBorder="1"/>
    <xf fontId="4" fillId="3" borderId="0" numFmtId="0" xfId="0" applyFont="1" applyFill="1"/>
    <xf fontId="0" fillId="0" borderId="2" numFmtId="0" xfId="0" applyBorder="1"/>
    <xf fontId="0" fillId="0" borderId="3" numFmtId="0" xfId="0" applyBorder="1"/>
    <xf fontId="0" fillId="7" borderId="2" numFmtId="0" xfId="0" applyFill="1" applyBorder="1"/>
    <xf fontId="0" fillId="7" borderId="3" numFmtId="0" xfId="0" applyFill="1" applyBorder="1"/>
    <xf fontId="4" fillId="4" borderId="2" numFmtId="0" xfId="0" applyFont="1" applyFill="1" applyBorder="1"/>
    <xf fontId="0" fillId="3" borderId="2" numFmtId="0" xfId="0" applyFill="1" applyBorder="1"/>
    <xf fontId="4" fillId="3" borderId="2" numFmtId="0" xfId="0" applyFont="1" applyFill="1" applyBorder="1"/>
    <xf fontId="0" fillId="8" borderId="0" numFmtId="0" xfId="0" applyFill="1"/>
    <xf fontId="0" fillId="8" borderId="2" numFmtId="0" xfId="0" applyFill="1" applyBorder="1"/>
    <xf fontId="2" fillId="0" borderId="2" numFmtId="0" xfId="0" applyFont="1" applyBorder="1"/>
    <xf fontId="0" fillId="9" borderId="0" numFmtId="0" xfId="0" applyFill="1"/>
    <xf fontId="4" fillId="0" borderId="2" numFmtId="0" xfId="0" applyFont="1" applyBorder="1"/>
    <xf fontId="10" fillId="10" borderId="1" numFmtId="0" xfId="0" applyFont="1" applyFill="1" applyBorder="1"/>
    <xf fontId="10" fillId="10" borderId="1" numFmtId="0" xfId="0" applyFont="1" applyFill="1" applyBorder="1" applyAlignment="1">
      <alignment horizontal="right"/>
    </xf>
    <xf fontId="11" fillId="0" borderId="0" numFmtId="0" xfId="0" applyFont="1"/>
    <xf fontId="0" fillId="11" borderId="0" numFmtId="0" xfId="0" applyFill="1"/>
    <xf fontId="0" fillId="11" borderId="2" numFmtId="0" xfId="0" applyFill="1" applyBorder="1"/>
    <xf fontId="3" fillId="7" borderId="0" numFmtId="0" xfId="0" applyFont="1" applyFill="1"/>
    <xf fontId="0" fillId="12" borderId="0" numFmtId="0" xfId="0" applyFill="1"/>
    <xf fontId="3" fillId="12" borderId="0" numFmtId="0" xfId="0" applyFont="1" applyFill="1"/>
    <xf fontId="0" fillId="12" borderId="2" numFmtId="0" xfId="0" applyFill="1" applyBorder="1"/>
    <xf fontId="0" fillId="3" borderId="3" numFmtId="0" xfId="0" applyFill="1" applyBorder="1"/>
    <xf fontId="0" fillId="13" borderId="0" numFmtId="0" xfId="0" applyFill="1"/>
    <xf fontId="4" fillId="7" borderId="0" numFmtId="0" xfId="0" applyFont="1" applyFill="1"/>
    <xf fontId="4" fillId="7" borderId="3" numFmtId="0" xfId="0" applyFont="1" applyFill="1" applyBorder="1"/>
    <xf fontId="0" fillId="14" borderId="0" numFmtId="0" xfId="0" applyFill="1"/>
    <xf fontId="2" fillId="4" borderId="0" numFmtId="0" xfId="0" applyFont="1" applyFill="1"/>
    <xf fontId="2" fillId="3" borderId="0" numFmtId="0" xfId="0" applyFont="1" applyFill="1"/>
    <xf fontId="0" fillId="0" borderId="0" numFmtId="0" xfId="2"/>
    <xf fontId="0" fillId="2" borderId="0" numFmtId="0" xfId="2" applyFill="1"/>
    <xf fontId="0" fillId="4" borderId="0" numFmtId="0" xfId="2" applyFill="1"/>
    <xf fontId="0" fillId="3" borderId="0" numFmtId="0" xfId="2" applyFill="1"/>
    <xf fontId="0" fillId="0" borderId="4" numFmtId="0" xfId="2" applyBorder="1"/>
    <xf fontId="0" fillId="0" borderId="5" numFmtId="0" xfId="2" applyBorder="1"/>
    <xf fontId="0" fillId="2" borderId="5" numFmtId="0" xfId="2" applyFill="1" applyBorder="1"/>
    <xf fontId="0" fillId="4" borderId="5" numFmtId="0" xfId="2" applyFill="1" applyBorder="1"/>
    <xf fontId="0" fillId="3" borderId="5" numFmtId="0" xfId="2" applyFill="1" applyBorder="1"/>
    <xf fontId="0" fillId="3" borderId="6" numFmtId="0" xfId="2" applyFill="1" applyBorder="1"/>
    <xf fontId="0" fillId="0" borderId="2" numFmtId="0" xfId="2" applyBorder="1"/>
    <xf fontId="0" fillId="3" borderId="3" numFmtId="0" xfId="2" applyFill="1" applyBorder="1"/>
    <xf fontId="0" fillId="0" borderId="7" numFmtId="0" xfId="2" applyBorder="1"/>
    <xf fontId="0" fillId="0" borderId="8" numFmtId="0" xfId="2" applyBorder="1"/>
    <xf fontId="0" fillId="2" borderId="7" numFmtId="0" xfId="2" applyFill="1" applyBorder="1"/>
    <xf fontId="0" fillId="4" borderId="7" numFmtId="0" xfId="2" applyFill="1" applyBorder="1"/>
    <xf fontId="0" fillId="3" borderId="7" numFmtId="0" xfId="2" applyFill="1" applyBorder="1"/>
  </cellXfs>
  <cellStyles count="3">
    <cellStyle name="Link" xfId="1" builtinId="8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2.xml"/><Relationship  Id="rId11" Type="http://schemas.openxmlformats.org/officeDocument/2006/relationships/worksheet" Target="worksheets/sheet10.xml"/><Relationship  Id="rId18" Type="http://schemas.openxmlformats.org/officeDocument/2006/relationships/theme" Target="theme/theme1.xml"/><Relationship  Id="rId17" Type="http://schemas.openxmlformats.org/officeDocument/2006/relationships/worksheet" Target="worksheets/sheet16.xml"/><Relationship  Id="rId10" Type="http://schemas.openxmlformats.org/officeDocument/2006/relationships/worksheet" Target="worksheets/sheet9.xml"/><Relationship  Id="rId15" Type="http://schemas.openxmlformats.org/officeDocument/2006/relationships/worksheet" Target="worksheets/sheet14.xml"/><Relationship  Id="rId9" Type="http://schemas.openxmlformats.org/officeDocument/2006/relationships/worksheet" Target="worksheets/sheet8.xml"/><Relationship  Id="rId20" Type="http://schemas.openxmlformats.org/officeDocument/2006/relationships/styles" Target="styles.xml"/><Relationship  Id="rId19" Type="http://schemas.openxmlformats.org/officeDocument/2006/relationships/sharedStrings" Target="sharedStrings.xml"/><Relationship  Id="rId8" Type="http://schemas.openxmlformats.org/officeDocument/2006/relationships/worksheet" Target="worksheets/sheet7.xml"/><Relationship  Id="rId7" Type="http://schemas.openxmlformats.org/officeDocument/2006/relationships/worksheet" Target="worksheets/sheet6.xml"/><Relationship  Id="rId14" Type="http://schemas.openxmlformats.org/officeDocument/2006/relationships/worksheet" Target="worksheets/sheet13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16" Type="http://schemas.openxmlformats.org/officeDocument/2006/relationships/worksheet" Target="worksheets/sheet15.xml"/><Relationship  Id="rId12" Type="http://schemas.openxmlformats.org/officeDocument/2006/relationships/worksheet" Target="worksheets/sheet1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.xml" /><Relationship Id="rId2" Type="http://schemas.microsoft.com/office/2011/relationships/chartStyle" Target="style4.xml" /><Relationship Id="rId3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3.xml" /></Relationships>
</file>

<file path=xl/charts/_rels/chart6.xml.rels><?xml version="1.0" encoding="UTF-8" standalone="yes"?><Relationships xmlns="http://schemas.openxmlformats.org/package/2006/relationships"></Relationships>
</file>

<file path=xl/charts/_rels/chart7.xml.rels><?xml version="1.0" encoding="UTF-8" standalone="yes"?><Relationships xmlns="http://schemas.openxmlformats.org/package/2006/relationships"></Relationships>
</file>

<file path=xl/charts/_rels/chart8.xml.rels><?xml version="1.0" encoding="UTF-8" standalone="yes"?><Relationships xmlns="http://schemas.openxmlformats.org/package/2006/relationships"></Relationships>
</file>

<file path=xl/charts/_rels/chart9.xml.rels><?xml version="1.0" encoding="UTF-8" standalone="yes"?><Relationships xmlns="http://schemas.openxmlformats.org/package/2006/relationships"></Relationships>
</file>

<file path=xl/charts/_rels/chart10.xml.rels><?xml version="1.0" encoding="UTF-8" standalone="yes"?><Relationships xmlns="http://schemas.openxmlformats.org/package/2006/relationships"></Relationships>
</file>

<file path=xl/charts/_rels/chart11.xml.rels><?xml version="1.0" encoding="UTF-8" standalone="yes"?><Relationships xmlns="http://schemas.openxmlformats.org/package/2006/relationships"></Relationships>
</file>

<file path=xl/charts/_rels/chart12.xml.rels><?xml version="1.0" encoding="UTF-8" standalone="yes"?><Relationships xmlns="http://schemas.openxmlformats.org/package/2006/relationships"></Relationships>
</file>

<file path=xl/charts/_rels/chart13.xml.rels><?xml version="1.0" encoding="UTF-8" standalone="yes"?><Relationships xmlns="http://schemas.openxmlformats.org/package/2006/relationships"></Relationships>
</file>

<file path=xl/charts/_rels/chart14.xml.rels><?xml version="1.0" encoding="UTF-8" standalone="yes"?><Relationships xmlns="http://schemas.openxmlformats.org/package/2006/relationships"></Relationships>
</file>

<file path=xl/charts/_rels/chart15.xml.rels><?xml version="1.0" encoding="UTF-8" standalone="yes"?><Relationships xmlns="http://schemas.openxmlformats.org/package/2006/relationships"></Relationships>
</file>

<file path=xl/charts/_rels/chart16.xml.rels><?xml version="1.0" encoding="UTF-8" standalone="yes"?><Relationships xmlns="http://schemas.openxmlformats.org/package/2006/relationships"></Relationships>
</file>

<file path=xl/charts/_rels/chart17.xml.rels><?xml version="1.0" encoding="UTF-8" standalone="yes"?><Relationships xmlns="http://schemas.openxmlformats.org/package/2006/relationships"></Relationships>
</file>

<file path=xl/charts/_rels/chart18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19.xml.rels><?xml version="1.0" encoding="UTF-8" standalone="yes"?><Relationships xmlns="http://schemas.openxmlformats.org/package/2006/relationships"></Relationships>
</file>

<file path=xl/charts/_rels/chart20.xml.rels><?xml version="1.0" encoding="UTF-8" standalone="yes"?><Relationships xmlns="http://schemas.openxmlformats.org/package/2006/relationships"></Relationships>
</file>

<file path=xl/charts/_rels/chart21.xml.rels><?xml version="1.0" encoding="UTF-8" standalone="yes"?><Relationships xmlns="http://schemas.openxmlformats.org/package/2006/relationships"></Relationships>
</file>

<file path=xl/charts/_rels/chart22.xml.rels><?xml version="1.0" encoding="UTF-8" standalone="yes"?><Relationships xmlns="http://schemas.openxmlformats.org/package/2006/relationships"></Relationships>
</file>

<file path=xl/charts/_rels/chart23.xml.rels><?xml version="1.0" encoding="UTF-8" standalone="yes"?><Relationships xmlns="http://schemas.openxmlformats.org/package/2006/relationships"></Relationships>
</file>

<file path=xl/charts/_rels/chart24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25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26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27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28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4.xml" /></Relationships>
</file>

<file path=xl/charts/_rels/chart29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5.xml" /></Relationships>
</file>

<file path=xl/charts/_rels/chart30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6.xml" /></Relationships>
</file>

<file path=xl/charts/_rels/chart31.xml.rels><?xml version="1.0" encoding="UTF-8" standalone="yes"?><Relationships xmlns="http://schemas.openxmlformats.org/package/2006/relationships"></Relationships>
</file>

<file path=xl/charts/_rels/chart32.xml.rels><?xml version="1.0" encoding="UTF-8" standalone="yes"?><Relationships xmlns="http://schemas.openxmlformats.org/package/2006/relationships"></Relationships>
</file>

<file path=xl/charts/_rels/chart33.xml.rels><?xml version="1.0" encoding="UTF-8" standalone="yes"?><Relationships xmlns="http://schemas.openxmlformats.org/package/2006/relationships"></Relationships>
</file>

<file path=xl/charts/_rels/chart34.xml.rels><?xml version="1.0" encoding="UTF-8" standalone="yes"?><Relationships xmlns="http://schemas.openxmlformats.org/package/2006/relationships"></Relationships>
</file>

<file path=xl/charts/_rels/chart35.xml.rels><?xml version="1.0" encoding="UTF-8" standalone="yes"?><Relationships xmlns="http://schemas.openxmlformats.org/package/2006/relationships"></Relationships>
</file>

<file path=xl/charts/_rels/chart36.xml.rels><?xml version="1.0" encoding="UTF-8" standalone="yes"?><Relationships xmlns="http://schemas.openxmlformats.org/package/2006/relationships"></Relationships>
</file>

<file path=xl/charts/_rels/chart37.xml.rels><?xml version="1.0" encoding="UTF-8" standalone="yes"?><Relationships xmlns="http://schemas.openxmlformats.org/package/2006/relationships"></Relationships>
</file>

<file path=xl/charts/_rels/chart38.xml.rels><?xml version="1.0" encoding="UTF-8" standalone="yes"?><Relationships xmlns="http://schemas.openxmlformats.org/package/2006/relationships"></Relationships>
</file>

<file path=xl/charts/_rels/chart39.xml.rels><?xml version="1.0" encoding="UTF-8" standalone="yes"?><Relationships xmlns="http://schemas.openxmlformats.org/package/2006/relationships"></Relationships>
</file>

<file path=xl/charts/_rels/chart40.xml.rels><?xml version="1.0" encoding="UTF-8" standalone="yes"?><Relationships xmlns="http://schemas.openxmlformats.org/package/2006/relationships"></Relationships>
</file>

<file path=xl/charts/_rels/chart41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42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Shipping!$B$146</c:f>
              <c:strCache>
                <c:ptCount val="1"/>
                <c:pt idx="0">
                  <c:v>CAS-HAM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Shipping!$N$123:$R$123</c:f>
              <c:strCache>
                <c:ptCount val="5"/>
                <c:pt idx="0">
                  <c:v>H2</c:v>
                </c:pt>
                <c:pt idx="1">
                  <c:v>NH3</c:v>
                </c:pt>
                <c:pt idx="2">
                  <c:v>LOHC</c:v>
                </c:pt>
                <c:pt idx="3">
                  <c:v>CH4</c:v>
                </c:pt>
                <c:pt idx="4">
                  <c:v>Fe</c:v>
                </c:pt>
              </c:strCache>
            </c:strRef>
          </c:cat>
          <c:val>
            <c:numRef>
              <c:f>Shipping!$N$146:$R$146</c:f>
              <c:numCache>
                <c:formatCode>General</c:formatCode>
                <c:ptCount val="5"/>
                <c:pt idx="0">
                  <c:v>1.571004242852813</c:v>
                </c:pt>
                <c:pt idx="1">
                  <c:v>0.9515933626541646</c:v>
                </c:pt>
                <c:pt idx="2">
                  <c:v>1.4807450571907548</c:v>
                </c:pt>
                <c:pt idx="3">
                  <c:v>0.8124035591711245</c:v>
                </c:pt>
                <c:pt idx="4">
                  <c:v>1.158863907659206</c:v>
                </c:pt>
              </c:numCache>
            </c:numRef>
          </c:val>
        </c:ser>
        <c:ser>
          <c:idx val="1"/>
          <c:order val="1"/>
          <c:tx>
            <c:strRef>
              <c:f>Shipping!$B$147</c:f>
              <c:strCache>
                <c:ptCount val="1"/>
                <c:pt idx="0">
                  <c:v>YAN-HAM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Shipping!$N$123:$R$123</c:f>
              <c:strCache>
                <c:ptCount val="5"/>
                <c:pt idx="0">
                  <c:v>H2</c:v>
                </c:pt>
                <c:pt idx="1">
                  <c:v>NH3</c:v>
                </c:pt>
                <c:pt idx="2">
                  <c:v>LOHC</c:v>
                </c:pt>
                <c:pt idx="3">
                  <c:v>CH4</c:v>
                </c:pt>
                <c:pt idx="4">
                  <c:v>Fe</c:v>
                </c:pt>
              </c:strCache>
            </c:strRef>
          </c:cat>
          <c:val>
            <c:numRef>
              <c:f>Shipping!$N$147:$R$147</c:f>
              <c:numCache>
                <c:formatCode>General</c:formatCode>
                <c:ptCount val="5"/>
                <c:pt idx="0">
                  <c:v>1.6508102229344037</c:v>
                </c:pt>
                <c:pt idx="1">
                  <c:v>0.9847459711242609</c:v>
                </c:pt>
                <c:pt idx="2">
                  <c:v>1.6467782428021376</c:v>
                </c:pt>
                <c:pt idx="3">
                  <c:v>0.8293365858747088</c:v>
                </c:pt>
                <c:pt idx="4">
                  <c:v>1.2035094333414667</c:v>
                </c:pt>
              </c:numCache>
            </c:numRef>
          </c:val>
        </c:ser>
        <c:ser>
          <c:idx val="2"/>
          <c:order val="2"/>
          <c:tx>
            <c:strRef>
              <c:f>Shipping!$B$148</c:f>
              <c:strCache>
                <c:ptCount val="1"/>
                <c:pt idx="0">
                  <c:v>HED-HAM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Shipping!$N$123:$R$123</c:f>
              <c:strCache>
                <c:ptCount val="5"/>
                <c:pt idx="0">
                  <c:v>H2</c:v>
                </c:pt>
                <c:pt idx="1">
                  <c:v>NH3</c:v>
                </c:pt>
                <c:pt idx="2">
                  <c:v>LOHC</c:v>
                </c:pt>
                <c:pt idx="3">
                  <c:v>CH4</c:v>
                </c:pt>
                <c:pt idx="4">
                  <c:v>Fe</c:v>
                </c:pt>
              </c:strCache>
            </c:strRef>
          </c:cat>
          <c:val>
            <c:numRef>
              <c:f>Shipping!$N$148:$R$148</c:f>
              <c:numCache>
                <c:formatCode>General</c:formatCode>
                <c:ptCount val="5"/>
                <c:pt idx="0">
                  <c:v>1.867683034492678</c:v>
                </c:pt>
                <c:pt idx="1">
                  <c:v>1.069952880147401</c:v>
                </c:pt>
                <c:pt idx="2">
                  <c:v>2.293582604071567</c:v>
                </c:pt>
                <c:pt idx="3">
                  <c:v>0.8708260721551425</c:v>
                </c:pt>
                <c:pt idx="4">
                  <c:v>1.319727494789926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axId val="391250047"/>
        <c:axId val="391266655"/>
      </c:barChart>
      <c:catAx>
        <c:axId val="39125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391266655"/>
        <c:crosses val="autoZero"/>
        <c:auto val="1"/>
        <c:lblAlgn val="ctr"/>
        <c:lblOffset val="100"/>
        <c:noMultiLvlLbl val="0"/>
      </c:catAx>
      <c:valAx>
        <c:axId val="39126665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Fuel costs [(USD/MWh</a:t>
                </a:r>
                <a:r>
                  <a:rPr lang="de-DE" sz="1000" b="1" i="0" u="none" strike="noStrike" spc="0" baseline="-25000">
                    <a:solidFill>
                      <a:schemeClr val="tx1"/>
                    </a:solidFill>
                    <a:latin typeface="Charter"/>
                  </a:rPr>
                  <a:t>trans</a:t>
                </a: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)/1000km]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39125004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>
              <a:solidFill>
                <a:schemeClr val="tx1"/>
              </a:solidFill>
              <a:latin typeface="Charter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420"/>
          <c:y val="0.086416"/>
          <c:w val="0.837571"/>
          <c:h val="0.7190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Shipping!$B$150</c:f>
              <c:strCache>
                <c:ptCount val="1"/>
                <c:pt idx="0">
                  <c:v>CAS-HAM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Shipping!$N$123:$R$123</c:f>
              <c:strCache>
                <c:ptCount val="5"/>
                <c:pt idx="0">
                  <c:v>H2</c:v>
                </c:pt>
                <c:pt idx="1">
                  <c:v>NH3</c:v>
                </c:pt>
                <c:pt idx="2">
                  <c:v>LOHC</c:v>
                </c:pt>
                <c:pt idx="3">
                  <c:v>CH4</c:v>
                </c:pt>
                <c:pt idx="4">
                  <c:v>Fe</c:v>
                </c:pt>
              </c:strCache>
            </c:strRef>
          </c:cat>
          <c:val>
            <c:numRef>
              <c:f>Shipping!$N$150:$R$150</c:f>
              <c:numCache>
                <c:formatCode>General</c:formatCode>
                <c:ptCount val="5"/>
                <c:pt idx="0">
                  <c:v>1.7720334252289716</c:v>
                </c:pt>
                <c:pt idx="1">
                  <c:v>0.7338174401453512</c:v>
                </c:pt>
                <c:pt idx="2">
                  <c:v>1.1265252332483469</c:v>
                </c:pt>
                <c:pt idx="3">
                  <c:v>0.5248147201930399</c:v>
                </c:pt>
                <c:pt idx="4">
                  <c:v>0.3373247510291651</c:v>
                </c:pt>
              </c:numCache>
            </c:numRef>
          </c:val>
        </c:ser>
        <c:ser>
          <c:idx val="1"/>
          <c:order val="1"/>
          <c:tx>
            <c:strRef>
              <c:f>Shipping!$B$151</c:f>
              <c:strCache>
                <c:ptCount val="1"/>
                <c:pt idx="0">
                  <c:v>YAN-HAM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Shipping!$N$123:$R$123</c:f>
              <c:strCache>
                <c:ptCount val="5"/>
                <c:pt idx="0">
                  <c:v>H2</c:v>
                </c:pt>
                <c:pt idx="1">
                  <c:v>NH3</c:v>
                </c:pt>
                <c:pt idx="2">
                  <c:v>LOHC</c:v>
                </c:pt>
                <c:pt idx="3">
                  <c:v>CH4</c:v>
                </c:pt>
                <c:pt idx="4">
                  <c:v>Fe</c:v>
                </c:pt>
              </c:strCache>
            </c:strRef>
          </c:cat>
          <c:val>
            <c:numRef>
              <c:f>Shipping!$N$151:$R$151</c:f>
              <c:numCache>
                <c:formatCode>General</c:formatCode>
                <c:ptCount val="5"/>
                <c:pt idx="0">
                  <c:v>1.7303089477527775</c:v>
                </c:pt>
                <c:pt idx="1">
                  <c:v>0.67680491738564</c:v>
                </c:pt>
                <c:pt idx="2">
                  <c:v>1.0891043610128213</c:v>
                </c:pt>
                <c:pt idx="3">
                  <c:v>0.4020595040425476</c:v>
                </c:pt>
                <c:pt idx="4">
                  <c:v>0.30357363521534575</c:v>
                </c:pt>
              </c:numCache>
            </c:numRef>
          </c:val>
        </c:ser>
        <c:ser>
          <c:idx val="2"/>
          <c:order val="2"/>
          <c:tx>
            <c:strRef>
              <c:f>Shipping!$B$152</c:f>
              <c:strCache>
                <c:ptCount val="1"/>
                <c:pt idx="0">
                  <c:v>HED-HAM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Shipping!$N$123:$R$123</c:f>
              <c:strCache>
                <c:ptCount val="5"/>
                <c:pt idx="0">
                  <c:v>H2</c:v>
                </c:pt>
                <c:pt idx="1">
                  <c:v>NH3</c:v>
                </c:pt>
                <c:pt idx="2">
                  <c:v>LOHC</c:v>
                </c:pt>
                <c:pt idx="3">
                  <c:v>CH4</c:v>
                </c:pt>
                <c:pt idx="4">
                  <c:v>Fe</c:v>
                </c:pt>
              </c:strCache>
            </c:strRef>
          </c:cat>
          <c:val>
            <c:numRef>
              <c:f>Shipping!$N$152:$R$152</c:f>
              <c:numCache>
                <c:formatCode>General</c:formatCode>
                <c:ptCount val="5"/>
                <c:pt idx="0">
                  <c:v>1.7140469773425058</c:v>
                </c:pt>
                <c:pt idx="1">
                  <c:v>0.6545844843397775</c:v>
                </c:pt>
                <c:pt idx="2">
                  <c:v>1.0745197058216833</c:v>
                </c:pt>
                <c:pt idx="3">
                  <c:v>0.3542160842205786</c:v>
                </c:pt>
                <c:pt idx="4">
                  <c:v>0.29041925486412035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axId val="391250047"/>
        <c:axId val="391266655"/>
      </c:barChart>
      <c:catAx>
        <c:axId val="39125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391266655"/>
        <c:crosses val="autoZero"/>
        <c:auto val="1"/>
        <c:lblAlgn val="ctr"/>
        <c:lblOffset val="100"/>
        <c:noMultiLvlLbl val="0"/>
      </c:catAx>
      <c:valAx>
        <c:axId val="391266655"/>
        <c:scaling>
          <c:orientation val="minMax"/>
          <c:max val="2.500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sz="1000" b="0" i="0" u="none" strike="noStrike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Base shipping costs</a:t>
                </a:r>
                <a:endParaRPr/>
              </a:p>
              <a:p>
                <a:pPr marL="0" marR="0" lvl="0" indent="0" algn="ctr" defTabSz="91440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 [(USD/MWh</a:t>
                </a:r>
                <a:r>
                  <a:rPr lang="de-DE" sz="1000" b="1" i="0" u="none" strike="noStrike" spc="0" baseline="-25000">
                    <a:solidFill>
                      <a:schemeClr val="tx1"/>
                    </a:solidFill>
                    <a:latin typeface="Charter"/>
                  </a:rPr>
                  <a:t>trans</a:t>
                </a: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)/1000km]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sz="1000" b="0" i="0" u="none" strike="noStrike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391250047"/>
        <c:crosses val="autoZero"/>
        <c:crossBetween val="between"/>
        <c:majorUnit val="0.500000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>
              <a:solidFill>
                <a:schemeClr val="tx1"/>
              </a:solidFill>
              <a:latin typeface="Charter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420"/>
          <c:y val="0.081629"/>
          <c:w val="0.834793"/>
          <c:h val="0.719310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Shipping!$B$154</c:f>
              <c:strCache>
                <c:ptCount val="1"/>
                <c:pt idx="0">
                  <c:v>CAS-HAM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Shipping!$N$123:$R$123</c:f>
              <c:strCache>
                <c:ptCount val="5"/>
                <c:pt idx="0">
                  <c:v>H2</c:v>
                </c:pt>
                <c:pt idx="1">
                  <c:v>NH3</c:v>
                </c:pt>
                <c:pt idx="2">
                  <c:v>LOHC</c:v>
                </c:pt>
                <c:pt idx="3">
                  <c:v>CH4</c:v>
                </c:pt>
                <c:pt idx="4">
                  <c:v>Fe</c:v>
                </c:pt>
              </c:strCache>
            </c:strRef>
          </c:cat>
          <c:val>
            <c:numRef>
              <c:f>Shipping!$N$154:$R$154</c:f>
              <c:numCache>
                <c:formatCode>General</c:formatCode>
                <c:ptCount val="5"/>
                <c:pt idx="0">
                  <c:v>0.010538317935234954</c:v>
                </c:pt>
                <c:pt idx="1">
                  <c:v>0.007338824515818851</c:v>
                </c:pt>
                <c:pt idx="2">
                  <c:v>0.014924569784387212</c:v>
                </c:pt>
                <c:pt idx="3">
                  <c:v>0.004450786681392347</c:v>
                </c:pt>
                <c:pt idx="4">
                  <c:v>0.00808651605852587</c:v>
                </c:pt>
              </c:numCache>
            </c:numRef>
          </c:val>
        </c:ser>
        <c:ser>
          <c:idx val="1"/>
          <c:order val="1"/>
          <c:tx>
            <c:strRef>
              <c:f>Shipping!$B$155</c:f>
              <c:strCache>
                <c:ptCount val="1"/>
                <c:pt idx="0">
                  <c:v>YAN-HAM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Shipping!$N$123:$R$123</c:f>
              <c:strCache>
                <c:ptCount val="5"/>
                <c:pt idx="0">
                  <c:v>H2</c:v>
                </c:pt>
                <c:pt idx="1">
                  <c:v>NH3</c:v>
                </c:pt>
                <c:pt idx="2">
                  <c:v>LOHC</c:v>
                </c:pt>
                <c:pt idx="3">
                  <c:v>CH4</c:v>
                </c:pt>
                <c:pt idx="4">
                  <c:v>Fe</c:v>
                </c:pt>
              </c:strCache>
            </c:strRef>
          </c:cat>
          <c:val>
            <c:numRef>
              <c:f>Shipping!$N$155:$R$155</c:f>
              <c:numCache>
                <c:formatCode>General</c:formatCode>
                <c:ptCount val="5"/>
                <c:pt idx="0">
                  <c:v>0.011073657540496367</c:v>
                </c:pt>
                <c:pt idx="1">
                  <c:v>0.0075945021879760795</c:v>
                </c:pt>
                <c:pt idx="2">
                  <c:v>0.016598033999680538</c:v>
                </c:pt>
                <c:pt idx="3">
                  <c:v>0.0045435549723201575</c:v>
                </c:pt>
                <c:pt idx="4">
                  <c:v>0.008398051138689138</c:v>
                </c:pt>
              </c:numCache>
            </c:numRef>
          </c:val>
        </c:ser>
        <c:ser>
          <c:idx val="2"/>
          <c:order val="2"/>
          <c:tx>
            <c:strRef>
              <c:f>Shipping!$B$156</c:f>
              <c:strCache>
                <c:ptCount val="1"/>
                <c:pt idx="0">
                  <c:v>HED-HAM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Shipping!$N$123:$R$123</c:f>
              <c:strCache>
                <c:ptCount val="5"/>
                <c:pt idx="0">
                  <c:v>H2</c:v>
                </c:pt>
                <c:pt idx="1">
                  <c:v>NH3</c:v>
                </c:pt>
                <c:pt idx="2">
                  <c:v>LOHC</c:v>
                </c:pt>
                <c:pt idx="3">
                  <c:v>CH4</c:v>
                </c:pt>
                <c:pt idx="4">
                  <c:v>Fe</c:v>
                </c:pt>
              </c:strCache>
            </c:strRef>
          </c:cat>
          <c:val>
            <c:numRef>
              <c:f>Shipping!$N$156:$R$156</c:f>
              <c:numCache>
                <c:formatCode>General</c:formatCode>
                <c:ptCount val="5"/>
                <c:pt idx="0">
                  <c:v>0.012528443324880477</c:v>
                </c:pt>
                <c:pt idx="1">
                  <c:v>0.008251630093021618</c:v>
                </c:pt>
                <c:pt idx="2">
                  <c:v>0.02311723646450297</c:v>
                </c:pt>
                <c:pt idx="3">
                  <c:v>0.004770856848179944</c:v>
                </c:pt>
                <c:pt idx="4">
                  <c:v>0.009209017132178416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axId val="391250047"/>
        <c:axId val="391266655"/>
      </c:barChart>
      <c:catAx>
        <c:axId val="39125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391266655"/>
        <c:crosses val="autoZero"/>
        <c:auto val="1"/>
        <c:lblAlgn val="ctr"/>
        <c:lblOffset val="100"/>
        <c:noMultiLvlLbl val="0"/>
      </c:catAx>
      <c:valAx>
        <c:axId val="391266655"/>
        <c:scaling>
          <c:orientation val="minMax"/>
          <c:max val="0.025000"/>
          <c:min val="0.000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 sz="1000" b="0" i="0" u="none" strike="noStrike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Fuel demand</a:t>
                </a:r>
                <a:endParaRPr/>
              </a:p>
              <a:p>
                <a:pPr marL="0" marR="0" lvl="0" indent="0" algn="ctr" defTabSz="91440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 [(MWh</a:t>
                </a:r>
                <a:r>
                  <a:rPr lang="de-DE" sz="1000" b="1" i="0" u="none" strike="noStrike" spc="0" baseline="-25000">
                    <a:solidFill>
                      <a:schemeClr val="tx1"/>
                    </a:solidFill>
                    <a:latin typeface="Charter"/>
                  </a:rPr>
                  <a:t>fuel</a:t>
                </a: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/MWh</a:t>
                </a:r>
                <a:r>
                  <a:rPr lang="de-DE" sz="1000" b="1" i="0" u="none" strike="noStrike" spc="0" baseline="-25000">
                    <a:solidFill>
                      <a:schemeClr val="tx1"/>
                    </a:solidFill>
                    <a:latin typeface="Charter"/>
                  </a:rPr>
                  <a:t>trans</a:t>
                </a: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)/1000km]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 sz="1000" b="0" i="0" u="none" strike="noStrike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391250047"/>
        <c:crosses val="autoZero"/>
        <c:crossBetween val="between"/>
        <c:majorUnit val="0.005000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>
              <a:solidFill>
                <a:schemeClr val="tx1"/>
              </a:solidFill>
              <a:latin typeface="Charter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Shipping!$N$165</c:f>
              <c:strCache>
                <c:ptCount val="1"/>
                <c:pt idx="0">
                  <c:v>H2</c:v>
                </c:pt>
              </c:strCache>
            </c:strRef>
          </c:tx>
          <c:spPr bwMode="auto">
            <a:prstGeom prst="rect">
              <a:avLst/>
            </a:prstGeom>
            <a:ln w="19050" cap="sq" cmpd="sng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Shipping!$M$166:$M$169</c:f>
              <c:numCache>
                <c:formatCode>General</c:formatCode>
                <c:ptCount val="4"/>
                <c:pt idx="0">
                  <c:v>0</c:v>
                </c:pt>
                <c:pt idx="1">
                  <c:v>3098.396</c:v>
                </c:pt>
                <c:pt idx="2">
                  <c:v>7685.8</c:v>
                </c:pt>
                <c:pt idx="3">
                  <c:v>18171.824</c:v>
                </c:pt>
              </c:numCache>
            </c:numRef>
          </c:xVal>
          <c:yVal>
            <c:numRef>
              <c:f>Shipping!$N$166:$N$169</c:f>
              <c:numCache>
                <c:formatCode>General</c:formatCode>
                <c:ptCount val="4"/>
                <c:pt idx="0">
                  <c:v>0</c:v>
                </c:pt>
                <c:pt idx="1">
                  <c:v>10.35805453863393</c:v>
                </c:pt>
                <c:pt idx="2">
                  <c:v>25.98660572206754</c:v>
                </c:pt>
                <c:pt idx="3">
                  <c:v>65.08656739058688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Shipping!$O$165</c:f>
              <c:strCache>
                <c:ptCount val="1"/>
                <c:pt idx="0">
                  <c:v>NH3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A2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Shipping!$M$166:$M$169</c:f>
              <c:numCache>
                <c:formatCode>General</c:formatCode>
                <c:ptCount val="4"/>
                <c:pt idx="0">
                  <c:v>0</c:v>
                </c:pt>
                <c:pt idx="1">
                  <c:v>3098.396</c:v>
                </c:pt>
                <c:pt idx="2">
                  <c:v>7685.8</c:v>
                </c:pt>
                <c:pt idx="3">
                  <c:v>18171.824</c:v>
                </c:pt>
              </c:numCache>
            </c:numRef>
          </c:xVal>
          <c:yVal>
            <c:numRef>
              <c:f>Shipping!$O$166:$O$169</c:f>
              <c:numCache>
                <c:formatCode>General</c:formatCode>
                <c:ptCount val="4"/>
                <c:pt idx="0">
                  <c:v>0</c:v>
                </c:pt>
                <c:pt idx="1">
                  <c:v>5.222070089750809</c:v>
                </c:pt>
                <c:pt idx="2">
                  <c:v>12.770347818909396</c:v>
                </c:pt>
                <c:pt idx="3">
                  <c:v>31.337989468884857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Shipping!$P$165</c:f>
              <c:strCache>
                <c:ptCount val="1"/>
                <c:pt idx="0">
                  <c:v>LOHC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rgbClr val="604A7B">
                  <a:alpha val="96863"/>
                </a:srgbClr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604A7B"/>
              </a:solidFill>
              <a:ln w="9525">
                <a:solidFill>
                  <a:srgbClr val="604A7B"/>
                </a:solidFill>
              </a:ln>
              <a:effectLst/>
            </c:spPr>
          </c:marker>
          <c:xVal>
            <c:numRef>
              <c:f>Shipping!$M$166:$M$169</c:f>
              <c:numCache>
                <c:formatCode>General</c:formatCode>
                <c:ptCount val="4"/>
                <c:pt idx="0">
                  <c:v>0</c:v>
                </c:pt>
                <c:pt idx="1">
                  <c:v>3098.396</c:v>
                </c:pt>
                <c:pt idx="2">
                  <c:v>7685.8</c:v>
                </c:pt>
                <c:pt idx="3">
                  <c:v>18171.824</c:v>
                </c:pt>
              </c:numCache>
            </c:numRef>
          </c:xVal>
          <c:yVal>
            <c:numRef>
              <c:f>Shipping!$P$166:$P$169</c:f>
              <c:numCache>
                <c:formatCode>General</c:formatCode>
                <c:ptCount val="4"/>
                <c:pt idx="0">
                  <c:v>0</c:v>
                </c:pt>
                <c:pt idx="1">
                  <c:v>8.078355838815352</c:v>
                </c:pt>
                <c:pt idx="2">
                  <c:v>21.027446516401014</c:v>
                </c:pt>
                <c:pt idx="3">
                  <c:v>61.20456238937361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Shipping!$Q$165</c:f>
              <c:strCache>
                <c:ptCount val="1"/>
                <c:pt idx="0">
                  <c:v>CH4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Shipping!$M$166:$M$169</c:f>
              <c:numCache>
                <c:formatCode>General</c:formatCode>
                <c:ptCount val="4"/>
                <c:pt idx="0">
                  <c:v>0</c:v>
                </c:pt>
                <c:pt idx="1">
                  <c:v>3098.396</c:v>
                </c:pt>
                <c:pt idx="2">
                  <c:v>7685.8</c:v>
                </c:pt>
                <c:pt idx="3">
                  <c:v>18171.824</c:v>
                </c:pt>
              </c:numCache>
            </c:numRef>
          </c:xVal>
          <c:yVal>
            <c:numRef>
              <c:f>Shipping!$Q$166:$Q$169</c:f>
              <c:numCache>
                <c:formatCode>General</c:formatCode>
                <c:ptCount val="4"/>
                <c:pt idx="0">
                  <c:v>0</c:v>
                </c:pt>
                <c:pt idx="1">
                  <c:v>4.1432317679088095</c:v>
                </c:pt>
                <c:pt idx="2">
                  <c:v>9.46426406788605</c:v>
                </c:pt>
                <c:pt idx="3">
                  <c:v>22.26125045824008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Shipping!$R$165</c:f>
              <c:strCache>
                <c:ptCount val="1"/>
                <c:pt idx="0">
                  <c:v>Fe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rgbClr val="DC690A">
                  <a:alpha val="99000"/>
                </a:srgbClr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DC690A"/>
              </a:solidFill>
              <a:ln w="9525">
                <a:solidFill>
                  <a:srgbClr val="DC690A"/>
                </a:solidFill>
              </a:ln>
              <a:effectLst/>
            </c:spPr>
          </c:marker>
          <c:xVal>
            <c:numRef>
              <c:f>Shipping!$M$166:$M$169</c:f>
              <c:numCache>
                <c:formatCode>General</c:formatCode>
                <c:ptCount val="4"/>
                <c:pt idx="0">
                  <c:v>0</c:v>
                </c:pt>
                <c:pt idx="1">
                  <c:v>3098.396</c:v>
                </c:pt>
                <c:pt idx="2">
                  <c:v>7685.8</c:v>
                </c:pt>
                <c:pt idx="3">
                  <c:v>18171.824</c:v>
                </c:pt>
              </c:numCache>
            </c:numRef>
          </c:xVal>
          <c:yVal>
            <c:numRef>
              <c:f>Shipping!$R$166:$R$169</c:f>
              <c:numCache>
                <c:formatCode>General</c:formatCode>
                <c:ptCount val="4"/>
                <c:pt idx="0">
                  <c:v>0</c:v>
                </c:pt>
                <c:pt idx="1">
                  <c:v>4.6357849553254145</c:v>
                </c:pt>
                <c:pt idx="2">
                  <c:v>11.58313904831395</c:v>
                </c:pt>
                <c:pt idx="3">
                  <c:v>29.25930334888539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273398703"/>
        <c:axId val="1374875103"/>
      </c:scatterChart>
      <c:valAx>
        <c:axId val="127339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b="1">
                    <a:solidFill>
                      <a:schemeClr val="tx1"/>
                    </a:solidFill>
                  </a:rPr>
                  <a:t>Transport distance [km]</a:t>
                </a:r>
                <a:endParaRPr/>
              </a:p>
            </c:rich>
          </c:tx>
          <c:layout>
            <c:manualLayout>
              <c:xMode val="edge"/>
              <c:yMode val="edge"/>
              <c:x val="0.370646"/>
              <c:y val="0.838410"/>
            </c:manualLayout>
          </c:layout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1374875103"/>
        <c:crosses val="autoZero"/>
        <c:crossBetween val="midCat"/>
      </c:valAx>
      <c:valAx>
        <c:axId val="137487510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Total shipping costs [USD/MWh</a:t>
                </a:r>
                <a:r>
                  <a:rPr lang="de-DE" sz="1000" b="1" i="0" u="none" strike="noStrike" spc="0" baseline="-25000">
                    <a:solidFill>
                      <a:schemeClr val="tx1"/>
                    </a:solidFill>
                    <a:latin typeface="Charter"/>
                  </a:rPr>
                  <a:t>trans</a:t>
                </a: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1273398703"/>
        <c:crosses val="autoZero"/>
        <c:crossBetween val="midCat"/>
        <c:majorUnit val="20.000000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6750"/>
          <c:y val="0.937390"/>
          <c:w val="0.666500"/>
          <c:h val="0.062610"/>
        </c:manualLayout>
      </c:layout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/>
              </a:solidFill>
              <a:latin typeface="Charter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  <c:userShapes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1708"/>
          <c:y val="0.079610"/>
          <c:w val="0.921784"/>
          <c:h val="0.74091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Plots!$C$47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Plots!$AA$47:$BA$47</c:f>
              <c:numCache>
                <c:formatCode>General</c:formatCode>
                <c:ptCount val="27"/>
                <c:pt idx="0">
                  <c:v>0.04348733735888444</c:v>
                </c:pt>
                <c:pt idx="1">
                  <c:v>0.15898072092827722</c:v>
                </c:pt>
                <c:pt idx="2">
                  <c:v>0.4341445954901877</c:v>
                </c:pt>
                <c:pt idx="4">
                  <c:v>0.050172679182863715</c:v>
                </c:pt>
                <c:pt idx="5">
                  <c:v>0.1815867399549491</c:v>
                </c:pt>
                <c:pt idx="6">
                  <c:v>0.49086825855002997</c:v>
                </c:pt>
                <c:pt idx="8">
                  <c:v>0.05119661141108542</c:v>
                </c:pt>
                <c:pt idx="9">
                  <c:v>0.18529259179076438</c:v>
                </c:pt>
                <c:pt idx="10">
                  <c:v>0.5008859781122755</c:v>
                </c:pt>
                <c:pt idx="12">
                  <c:v>0.04392660339281256</c:v>
                </c:pt>
                <c:pt idx="13">
                  <c:v>0.16696112542855948</c:v>
                </c:pt>
                <c:pt idx="14">
                  <c:v>0.47273522620042663</c:v>
                </c:pt>
                <c:pt idx="16">
                  <c:v>0.05401071546976834</c:v>
                </c:pt>
                <c:pt idx="17">
                  <c:v>0.19852554119335736</c:v>
                </c:pt>
                <c:pt idx="18">
                  <c:v>0.5466538252063116</c:v>
                </c:pt>
                <c:pt idx="20">
                  <c:v>0.09292166102325737</c:v>
                </c:pt>
                <c:pt idx="21">
                  <c:v>0.3559985482460293</c:v>
                </c:pt>
                <c:pt idx="22">
                  <c:v>1.0314223117100219</c:v>
                </c:pt>
                <c:pt idx="24">
                  <c:v>0.04382034223237681</c:v>
                </c:pt>
                <c:pt idx="25">
                  <c:v>0.15799029413998145</c:v>
                </c:pt>
                <c:pt idx="26">
                  <c:v>0.4072068667244939</c:v>
                </c:pt>
              </c:numCache>
            </c:numRef>
          </c:val>
        </c:ser>
        <c:ser>
          <c:idx val="1"/>
          <c:order val="1"/>
          <c:tx>
            <c:strRef>
              <c:f>Plots!$C$48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Plots!$AA$48:$BA$48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0.010874496327375813</c:v>
                </c:pt>
                <c:pt idx="5">
                  <c:v>0.035408282325537055</c:v>
                </c:pt>
                <c:pt idx="6">
                  <c:v>0.09307848124836536</c:v>
                </c:pt>
                <c:pt idx="8">
                  <c:v>0.01109642482385287</c:v>
                </c:pt>
                <c:pt idx="9">
                  <c:v>0.036130900332180665</c:v>
                </c:pt>
                <c:pt idx="10">
                  <c:v>0.09497804209016875</c:v>
                </c:pt>
                <c:pt idx="12">
                  <c:v>0.0015568224126815144</c:v>
                </c:pt>
                <c:pt idx="13">
                  <c:v>0.006620372939270233</c:v>
                </c:pt>
                <c:pt idx="14">
                  <c:v>0.01964043083088087</c:v>
                </c:pt>
                <c:pt idx="16">
                  <c:v>0.008901766212012257</c:v>
                </c:pt>
                <c:pt idx="17">
                  <c:v>0.06467717011867909</c:v>
                </c:pt>
                <c:pt idx="18">
                  <c:v>0.19863675863021557</c:v>
                </c:pt>
                <c:pt idx="20">
                  <c:v>0.015314866601311412</c:v>
                </c:pt>
                <c:pt idx="21">
                  <c:v>0.11597993149146309</c:v>
                </c:pt>
                <c:pt idx="22">
                  <c:v>0.37478633703814257</c:v>
                </c:pt>
                <c:pt idx="24">
                  <c:v>0.07557832730597139</c:v>
                </c:pt>
                <c:pt idx="25">
                  <c:v>0.14292818325285397</c:v>
                </c:pt>
                <c:pt idx="26">
                  <c:v>0.21298718983937148</c:v>
                </c:pt>
              </c:numCache>
            </c:numRef>
          </c:val>
        </c:ser>
        <c:ser>
          <c:idx val="2"/>
          <c:order val="2"/>
          <c:tx>
            <c:strRef>
              <c:f>Plots!$C$49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Plots!$AA$49:$BA$49</c:f>
              <c:numCache>
                <c:formatCode>General</c:formatCode>
                <c:ptCount val="27"/>
                <c:pt idx="0">
                  <c:v>0.00034072329284106056</c:v>
                </c:pt>
                <c:pt idx="1">
                  <c:v>0.0007848611974637228</c:v>
                </c:pt>
                <c:pt idx="2">
                  <c:v>0.0018485996924671915</c:v>
                </c:pt>
                <c:pt idx="4">
                  <c:v>0.00039310294674435744</c:v>
                </c:pt>
                <c:pt idx="5">
                  <c:v>0.0008964633279583115</c:v>
                </c:pt>
                <c:pt idx="6">
                  <c:v>0.0020901306182861375</c:v>
                </c:pt>
                <c:pt idx="8">
                  <c:v>0.00040112545586158926</c:v>
                </c:pt>
                <c:pt idx="9">
                  <c:v>0.0009147584979166442</c:v>
                </c:pt>
                <c:pt idx="10">
                  <c:v>0.0021327863451899363</c:v>
                </c:pt>
                <c:pt idx="12">
                  <c:v>0.00034416494226369745</c:v>
                </c:pt>
                <c:pt idx="13">
                  <c:v>0.0008242591181409232</c:v>
                </c:pt>
                <c:pt idx="14">
                  <c:v>0.002012919665130942</c:v>
                </c:pt>
                <c:pt idx="16">
                  <c:v>0.00032142087562654886</c:v>
                </c:pt>
                <c:pt idx="17">
                  <c:v>0.0007686943028818057</c:v>
                </c:pt>
                <c:pt idx="18">
                  <c:v>0.0018738623391346728</c:v>
                </c:pt>
                <c:pt idx="20">
                  <c:v>0.000552982151615568</c:v>
                </c:pt>
                <c:pt idx="21">
                  <c:v>0.001378432488968189</c:v>
                </c:pt>
                <c:pt idx="22">
                  <c:v>0.0035355893191220244</c:v>
                </c:pt>
                <c:pt idx="24">
                  <c:v>0.0002607773781198904</c:v>
                </c:pt>
                <c:pt idx="25">
                  <c:v>0.0007799716262595974</c:v>
                </c:pt>
                <c:pt idx="26">
                  <c:v>0.0017338980985067715</c:v>
                </c:pt>
              </c:numCache>
            </c:numRef>
          </c:val>
        </c:ser>
        <c:ser>
          <c:idx val="3"/>
          <c:order val="3"/>
          <c:tx>
            <c:strRef>
              <c:f>Plots!$C$50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Plots!$AA$50:$BA$50</c:f>
              <c:numCache>
                <c:formatCode>General</c:formatCode>
                <c:ptCount val="27"/>
                <c:pt idx="0">
                  <c:v>0.01929199094982174</c:v>
                </c:pt>
                <c:pt idx="1">
                  <c:v>0.06515227293510552</c:v>
                </c:pt>
                <c:pt idx="2">
                  <c:v>0.18696553473351504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0.005843141050232235</c:v>
                </c:pt>
                <c:pt idx="17">
                  <c:v>0.019784353546729378</c:v>
                </c:pt>
                <c:pt idx="18">
                  <c:v>0.057028141079318584</c:v>
                </c:pt>
                <c:pt idx="20">
                  <c:v>0.010052715785345782</c:v>
                </c:pt>
                <c:pt idx="21">
                  <c:v>0.035477556682552966</c:v>
                </c:pt>
                <c:pt idx="22">
                  <c:v>0.10760026618739356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Plots!$C$51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Plots!$AA$51:$BA$51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Plots!$C$52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Plots!$AA$52:$BA$52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6"/>
          <c:order val="6"/>
          <c:tx>
            <c:strRef>
              <c:f>Plots!$C$53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Plots!$AA$53:$BA$53</c:f>
              <c:numCache>
                <c:formatCode>General</c:formatCode>
                <c:ptCount val="27"/>
                <c:pt idx="0">
                  <c:v>0.022780550041458715</c:v>
                </c:pt>
                <c:pt idx="1">
                  <c:v>0.06474884556759285</c:v>
                </c:pt>
                <c:pt idx="2">
                  <c:v>0.1762804791067249</c:v>
                </c:pt>
                <c:pt idx="4">
                  <c:v>0.003406370538904134</c:v>
                </c:pt>
                <c:pt idx="5">
                  <c:v>0.0062267088997308324</c:v>
                </c:pt>
                <c:pt idx="6">
                  <c:v>0.012362010470870126</c:v>
                </c:pt>
                <c:pt idx="8">
                  <c:v>0.0034758883050042184</c:v>
                </c:pt>
                <c:pt idx="9">
                  <c:v>0.006353784591562073</c:v>
                </c:pt>
                <c:pt idx="10">
                  <c:v>0.012614296398847067</c:v>
                </c:pt>
                <c:pt idx="12">
                  <c:v>0.00421714636738723</c:v>
                </c:pt>
                <c:pt idx="13">
                  <c:v>0.009937795371286804</c:v>
                </c:pt>
                <c:pt idx="14">
                  <c:v>0.021857952723751725</c:v>
                </c:pt>
                <c:pt idx="16">
                  <c:v>0.0025101067791075257</c:v>
                </c:pt>
                <c:pt idx="17">
                  <c:v>0.03433241089608643</c:v>
                </c:pt>
                <c:pt idx="18">
                  <c:v>0.11655985823442354</c:v>
                </c:pt>
                <c:pt idx="20">
                  <c:v>0.004318463275883915</c:v>
                </c:pt>
                <c:pt idx="21">
                  <c:v>0.06156531982395564</c:v>
                </c:pt>
                <c:pt idx="22">
                  <c:v>0.21992426081966704</c:v>
                </c:pt>
                <c:pt idx="24">
                  <c:v>0.000005671202344410949</c:v>
                </c:pt>
                <c:pt idx="25">
                  <c:v>0.000005969686678327315</c:v>
                </c:pt>
                <c:pt idx="26">
                  <c:v>0.000006301335938234388</c:v>
                </c:pt>
              </c:numCache>
            </c:numRef>
          </c:val>
        </c:ser>
        <c:ser>
          <c:idx val="7"/>
          <c:order val="7"/>
          <c:tx>
            <c:strRef>
              <c:f>Plots!$C$54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Plots!$AA$54:$BA$54</c:f>
              <c:numCache>
                <c:formatCode>General</c:formatCode>
                <c:ptCount val="27"/>
                <c:pt idx="0">
                  <c:v>0.004981599455018656</c:v>
                </c:pt>
                <c:pt idx="1">
                  <c:v>0.01999536563234053</c:v>
                </c:pt>
                <c:pt idx="2">
                  <c:v>0.07352312458938697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0.028143873352985533</c:v>
                </c:pt>
                <c:pt idx="9">
                  <c:v>0.07612144487971337</c:v>
                </c:pt>
                <c:pt idx="10">
                  <c:v>0.30323754301571076</c:v>
                </c:pt>
                <c:pt idx="12">
                  <c:v>0.04506315241005555</c:v>
                </c:pt>
                <c:pt idx="13">
                  <c:v>0.09775895454769049</c:v>
                </c:pt>
                <c:pt idx="14">
                  <c:v>0.2771810767022298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0.05646580155212566</c:v>
                </c:pt>
                <c:pt idx="21">
                  <c:v>0.09308315643667532</c:v>
                </c:pt>
                <c:pt idx="22">
                  <c:v>0.18231300535609946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Plots!$C$55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Plots!$AA$55:$BA$55</c:f>
              <c:numCache>
                <c:formatCode>General</c:formatCode>
                <c:ptCount val="27"/>
                <c:pt idx="0">
                  <c:v>0.024189398809287922</c:v>
                </c:pt>
                <c:pt idx="1">
                  <c:v>0.04023892437556602</c:v>
                </c:pt>
                <c:pt idx="2">
                  <c:v>0.06828057755799903</c:v>
                </c:pt>
                <c:pt idx="4">
                  <c:v>0.024189398809287922</c:v>
                </c:pt>
                <c:pt idx="5">
                  <c:v>0.04023892437556602</c:v>
                </c:pt>
                <c:pt idx="6">
                  <c:v>0.06828057755799903</c:v>
                </c:pt>
                <c:pt idx="8">
                  <c:v>0.024189398809287922</c:v>
                </c:pt>
                <c:pt idx="9">
                  <c:v>0.04023892437556602</c:v>
                </c:pt>
                <c:pt idx="10">
                  <c:v>0.06828057755799903</c:v>
                </c:pt>
                <c:pt idx="12">
                  <c:v>0.02418939880928792</c:v>
                </c:pt>
                <c:pt idx="13">
                  <c:v>0.04023892437556602</c:v>
                </c:pt>
                <c:pt idx="14">
                  <c:v>0.06828057755799903</c:v>
                </c:pt>
                <c:pt idx="16">
                  <c:v>0.02289384122665432</c:v>
                </c:pt>
                <c:pt idx="17">
                  <c:v>0.035122442880505436</c:v>
                </c:pt>
                <c:pt idx="18">
                  <c:v>0.06066917676002661</c:v>
                </c:pt>
                <c:pt idx="20">
                  <c:v>0.024189398809287922</c:v>
                </c:pt>
                <c:pt idx="21">
                  <c:v>0.04023892437556602</c:v>
                </c:pt>
                <c:pt idx="22">
                  <c:v>0.06828057755799903</c:v>
                </c:pt>
                <c:pt idx="24">
                  <c:v>0.010436556778254301</c:v>
                </c:pt>
                <c:pt idx="25">
                  <c:v>0.020822614955538103</c:v>
                </c:pt>
                <c:pt idx="26">
                  <c:v>0.05573326554874335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5"/>
        <c:overlap val="100"/>
        <c:axId val="1419763927"/>
        <c:axId val="546506633"/>
      </c:barChart>
      <c:catAx>
        <c:axId val="141976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300"/>
            </a:pPr>
            <a:endParaRPr lang="de-DE"/>
          </a:p>
        </c:txPr>
        <c:crossAx val="546506633"/>
        <c:crosses val="autoZero"/>
        <c:auto val="1"/>
        <c:lblAlgn val="ctr"/>
        <c:lblOffset val="100"/>
        <c:noMultiLvlLbl val="1"/>
      </c:catAx>
      <c:valAx>
        <c:axId val="546506633"/>
        <c:scaling>
          <c:orientation val="minMax"/>
          <c:max val="2.500000"/>
          <c:min val="0.000000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5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Levilized cost of electricity </a:t>
                </a:r>
                <a:r>
                  <a:rPr lang="de-DE" sz="1500"/>
                  <a:t>[USD/kWh</a:t>
                </a:r>
                <a:r>
                  <a:rPr lang="de-DE" sz="1500" baseline="-25000"/>
                  <a:t>e</a:t>
                </a:r>
                <a:r>
                  <a:rPr lang="de-DE" sz="1500"/>
                  <a:t>]</a:t>
                </a:r>
                <a:endParaRPr lang="de-DE" sz="1500"/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spPr bwMode="auto">
          <a:ln/>
        </c:spPr>
        <c:txPr>
          <a:bodyPr/>
          <a:lstStyle/>
          <a:p>
            <a:pPr>
              <a:defRPr sz="1200"/>
            </a:pPr>
            <a:endParaRPr lang="de-DE"/>
          </a:p>
        </c:txPr>
        <c:crossAx val="1419763927"/>
        <c:crosses val="autoZero"/>
        <c:crossBetween val="between"/>
        <c:majorUnit val="0.500000"/>
        <c:minorUnit val="0.100000"/>
      </c:valAx>
    </c:plotArea>
    <c:legend>
      <c:legendPos val="b"/>
      <c:layout>
        <c:manualLayout>
          <c:xMode val="edge"/>
          <c:yMode val="edge"/>
          <c:x val="0.060248"/>
          <c:y val="0.916275"/>
          <c:w val="0.922678"/>
          <c:h val="0.083725"/>
        </c:manualLayout>
      </c:layout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  <c:userShapes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CAS-HAM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Plots!$C$58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Plots!$D$57:$J$57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Plots!$D$58:$J$58</c:f>
              <c:numCache>
                <c:formatCode>General</c:formatCode>
                <c:ptCount val="7"/>
                <c:pt idx="0">
                  <c:v>0.043487337358884444</c:v>
                </c:pt>
                <c:pt idx="1">
                  <c:v>0.05017267918286371</c:v>
                </c:pt>
                <c:pt idx="2">
                  <c:v>0.051196611411085426</c:v>
                </c:pt>
                <c:pt idx="3">
                  <c:v>0.04392660339281256</c:v>
                </c:pt>
                <c:pt idx="4">
                  <c:v>0.05401071546976833</c:v>
                </c:pt>
                <c:pt idx="5">
                  <c:v>0.09292166102325734</c:v>
                </c:pt>
                <c:pt idx="6">
                  <c:v>0.04382034223237682</c:v>
                </c:pt>
              </c:numCache>
            </c:numRef>
          </c:val>
        </c:ser>
        <c:ser>
          <c:idx val="1"/>
          <c:order val="1"/>
          <c:tx>
            <c:strRef>
              <c:f>Plots!$C$59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Plots!$D$57:$J$57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Plots!$D$59:$J$59</c:f>
              <c:numCache>
                <c:formatCode>General</c:formatCode>
                <c:ptCount val="7"/>
                <c:pt idx="0">
                  <c:v>0</c:v>
                </c:pt>
                <c:pt idx="1">
                  <c:v>0.010874496327375813</c:v>
                </c:pt>
                <c:pt idx="2">
                  <c:v>0.011096424823852872</c:v>
                </c:pt>
                <c:pt idx="3">
                  <c:v>0.0015568224126815146</c:v>
                </c:pt>
                <c:pt idx="4">
                  <c:v>0.008901766212012255</c:v>
                </c:pt>
                <c:pt idx="5">
                  <c:v>0.015314866601311409</c:v>
                </c:pt>
                <c:pt idx="6">
                  <c:v>0.0755783273059714</c:v>
                </c:pt>
              </c:numCache>
            </c:numRef>
          </c:val>
        </c:ser>
        <c:ser>
          <c:idx val="2"/>
          <c:order val="2"/>
          <c:tx>
            <c:strRef>
              <c:f>Plots!$C$60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Plots!$D$57:$J$57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Plots!$D$60:$J$60</c:f>
              <c:numCache>
                <c:formatCode>General</c:formatCode>
                <c:ptCount val="7"/>
                <c:pt idx="0">
                  <c:v>0.0003407232928410606</c:v>
                </c:pt>
                <c:pt idx="1">
                  <c:v>0.0003931029467443574</c:v>
                </c:pt>
                <c:pt idx="2">
                  <c:v>0.00040112545586158926</c:v>
                </c:pt>
                <c:pt idx="3">
                  <c:v>0.0003441649422636975</c:v>
                </c:pt>
                <c:pt idx="4">
                  <c:v>0.00032142087562654886</c:v>
                </c:pt>
                <c:pt idx="5">
                  <c:v>0.0005529821516155679</c:v>
                </c:pt>
                <c:pt idx="6">
                  <c:v>0.00026077737811989045</c:v>
                </c:pt>
              </c:numCache>
            </c:numRef>
          </c:val>
        </c:ser>
        <c:ser>
          <c:idx val="3"/>
          <c:order val="3"/>
          <c:tx>
            <c:strRef>
              <c:f>Plots!$C$61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Plots!$D$57:$J$57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Plots!$D$61:$J$61</c:f>
              <c:numCache>
                <c:formatCode>General</c:formatCode>
                <c:ptCount val="7"/>
                <c:pt idx="0">
                  <c:v>0.019291990949821744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0.005843141050232235</c:v>
                </c:pt>
                <c:pt idx="5">
                  <c:v>0.010052715785345782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Plots!$C$62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Plots!$D$57:$J$57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Plots!$D$62:$J$62</c:f>
              <c:numCache>
                <c:formatCode>General</c:formatCode>
                <c:ptCount val="7"/>
                <c:pt idx="0">
                  <c:v>0.011316160792974815</c:v>
                </c:pt>
                <c:pt idx="1">
                  <c:v>0.001701081587418887</c:v>
                </c:pt>
                <c:pt idx="2">
                  <c:v>0.0017357975381825381</c:v>
                </c:pt>
                <c:pt idx="3">
                  <c:v>0.002108573183693615</c:v>
                </c:pt>
                <c:pt idx="4">
                  <c:v>0.0012429499332792502</c:v>
                </c:pt>
                <c:pt idx="5">
                  <c:v>0.002138408487362151</c:v>
                </c:pt>
                <c:pt idx="6">
                  <c:v>0.000002835601172205475</c:v>
                </c:pt>
              </c:numCache>
            </c:numRef>
          </c:val>
        </c:ser>
        <c:ser>
          <c:idx val="5"/>
          <c:order val="5"/>
          <c:tx>
            <c:strRef>
              <c:f>Plots!$C$63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Plots!$D$57:$J$57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Plots!$D$63:$J$63</c:f>
              <c:numCache>
                <c:formatCode>General</c:formatCode>
                <c:ptCount val="7"/>
                <c:pt idx="0">
                  <c:v>0.011286065138036691</c:v>
                </c:pt>
                <c:pt idx="1">
                  <c:v>0.0051029338963569995</c:v>
                </c:pt>
                <c:pt idx="2">
                  <c:v>0.005207075404445918</c:v>
                </c:pt>
                <c:pt idx="3">
                  <c:v>0.007903252501007183</c:v>
                </c:pt>
                <c:pt idx="4">
                  <c:v>0.003510489766391592</c:v>
                </c:pt>
                <c:pt idx="5">
                  <c:v>0.006039552286265105</c:v>
                </c:pt>
                <c:pt idx="6">
                  <c:v>0.005140870940772209</c:v>
                </c:pt>
              </c:numCache>
            </c:numRef>
          </c:val>
        </c:ser>
        <c:ser>
          <c:idx val="6"/>
          <c:order val="6"/>
          <c:tx>
            <c:strRef>
              <c:f>Plots!$C$64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Plots!$D$57:$J$57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Plots!$D$64:$J$64</c:f>
              <c:numCache>
                <c:formatCode>General</c:formatCode>
                <c:ptCount val="7"/>
                <c:pt idx="0">
                  <c:v>0.022780550041458715</c:v>
                </c:pt>
                <c:pt idx="1">
                  <c:v>0.0034063705389041337</c:v>
                </c:pt>
                <c:pt idx="2">
                  <c:v>0.0034758883050042184</c:v>
                </c:pt>
                <c:pt idx="3">
                  <c:v>0.00421714636738723</c:v>
                </c:pt>
                <c:pt idx="4">
                  <c:v>0.0025101067791075257</c:v>
                </c:pt>
                <c:pt idx="5">
                  <c:v>0.004318463275883915</c:v>
                </c:pt>
                <c:pt idx="6">
                  <c:v>0.00000567120234441095</c:v>
                </c:pt>
              </c:numCache>
            </c:numRef>
          </c:val>
        </c:ser>
        <c:ser>
          <c:idx val="7"/>
          <c:order val="7"/>
          <c:tx>
            <c:strRef>
              <c:f>Plots!$C$65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Plots!$D$57:$J$57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Plots!$D$65:$J$65</c:f>
              <c:numCache>
                <c:formatCode>General</c:formatCode>
                <c:ptCount val="7"/>
                <c:pt idx="0">
                  <c:v>0.004981599455018656</c:v>
                </c:pt>
                <c:pt idx="1">
                  <c:v>0</c:v>
                </c:pt>
                <c:pt idx="2">
                  <c:v>0.028143873352985533</c:v>
                </c:pt>
                <c:pt idx="3">
                  <c:v>0.04506315241005555</c:v>
                </c:pt>
                <c:pt idx="4">
                  <c:v>0</c:v>
                </c:pt>
                <c:pt idx="5">
                  <c:v>0.05646580155212565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Plots!$C$66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Plots!$D$57:$J$57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Plots!$D$66:$J$66</c:f>
              <c:numCache>
                <c:formatCode>General</c:formatCode>
                <c:ptCount val="7"/>
                <c:pt idx="0">
                  <c:v>0.024189398809287922</c:v>
                </c:pt>
                <c:pt idx="1">
                  <c:v>0.024189398809287922</c:v>
                </c:pt>
                <c:pt idx="2">
                  <c:v>0.024189398809287922</c:v>
                </c:pt>
                <c:pt idx="3">
                  <c:v>0.024189398809287922</c:v>
                </c:pt>
                <c:pt idx="4">
                  <c:v>0.02289384122665432</c:v>
                </c:pt>
                <c:pt idx="5">
                  <c:v>0.024189398809287922</c:v>
                </c:pt>
                <c:pt idx="6">
                  <c:v>0.010436556778254301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419763927"/>
        <c:axId val="546506633"/>
      </c:barChart>
      <c:catAx>
        <c:axId val="141976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546506633"/>
        <c:crosses val="autoZero"/>
        <c:auto val="1"/>
        <c:lblAlgn val="ctr"/>
        <c:lblOffset val="100"/>
        <c:noMultiLvlLbl val="1"/>
      </c:catAx>
      <c:valAx>
        <c:axId val="54650663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41976392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YAN-HAM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Plots!$C$69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Plots!$D$68:$J$68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Plots!$D$69:$J$69</c:f>
              <c:numCache>
                <c:formatCode>General</c:formatCode>
                <c:ptCount val="7"/>
                <c:pt idx="0">
                  <c:v>0.04348733735888444</c:v>
                </c:pt>
                <c:pt idx="1">
                  <c:v>0.0501726791828637</c:v>
                </c:pt>
                <c:pt idx="2">
                  <c:v>0.05119661141108542</c:v>
                </c:pt>
                <c:pt idx="3">
                  <c:v>0.04392660339281257</c:v>
                </c:pt>
                <c:pt idx="4">
                  <c:v>0.054010715469768336</c:v>
                </c:pt>
                <c:pt idx="5">
                  <c:v>0.09292166102325736</c:v>
                </c:pt>
                <c:pt idx="6">
                  <c:v>0.04382034223237681</c:v>
                </c:pt>
              </c:numCache>
            </c:numRef>
          </c:val>
        </c:ser>
        <c:ser>
          <c:idx val="1"/>
          <c:order val="1"/>
          <c:tx>
            <c:strRef>
              <c:f>Plots!$C$70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Plots!$D$68:$J$68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Plots!$D$70:$J$70</c:f>
              <c:numCache>
                <c:formatCode>General</c:formatCode>
                <c:ptCount val="7"/>
                <c:pt idx="0">
                  <c:v>0</c:v>
                </c:pt>
                <c:pt idx="1">
                  <c:v>0.010874496327375811</c:v>
                </c:pt>
                <c:pt idx="2">
                  <c:v>0.01109642482385287</c:v>
                </c:pt>
                <c:pt idx="3">
                  <c:v>0.0015568224126815146</c:v>
                </c:pt>
                <c:pt idx="4">
                  <c:v>0.008901766212012257</c:v>
                </c:pt>
                <c:pt idx="5">
                  <c:v>0.015314866601311412</c:v>
                </c:pt>
                <c:pt idx="6">
                  <c:v>0.07557832730597137</c:v>
                </c:pt>
              </c:numCache>
            </c:numRef>
          </c:val>
        </c:ser>
        <c:ser>
          <c:idx val="2"/>
          <c:order val="2"/>
          <c:tx>
            <c:strRef>
              <c:f>Plots!$C$71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Plots!$D$68:$J$68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Plots!$D$71:$J$71</c:f>
              <c:numCache>
                <c:formatCode>General</c:formatCode>
                <c:ptCount val="7"/>
                <c:pt idx="0">
                  <c:v>0.0003407232928410606</c:v>
                </c:pt>
                <c:pt idx="1">
                  <c:v>0.0003931029467443574</c:v>
                </c:pt>
                <c:pt idx="2">
                  <c:v>0.0004011254558615892</c:v>
                </c:pt>
                <c:pt idx="3">
                  <c:v>0.0003441649422636975</c:v>
                </c:pt>
                <c:pt idx="4">
                  <c:v>0.00032142087562654886</c:v>
                </c:pt>
                <c:pt idx="5">
                  <c:v>0.0005529821516155679</c:v>
                </c:pt>
                <c:pt idx="6">
                  <c:v>0.0002607773781198904</c:v>
                </c:pt>
              </c:numCache>
            </c:numRef>
          </c:val>
        </c:ser>
        <c:ser>
          <c:idx val="3"/>
          <c:order val="3"/>
          <c:tx>
            <c:strRef>
              <c:f>Plots!$C$72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Plots!$D$68:$J$68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Plots!$D$72:$J$72</c:f>
              <c:numCache>
                <c:formatCode>General</c:formatCode>
                <c:ptCount val="7"/>
                <c:pt idx="0">
                  <c:v>0.019291990949821744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0.0058431410502322355</c:v>
                </c:pt>
                <c:pt idx="5">
                  <c:v>0.010052715785345782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Plots!$C$73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Plots!$D$68:$J$68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Plots!$D$73:$J$73</c:f>
              <c:numCache>
                <c:formatCode>General</c:formatCode>
                <c:ptCount val="7"/>
                <c:pt idx="0">
                  <c:v>0.011316160792974813</c:v>
                </c:pt>
                <c:pt idx="1">
                  <c:v>0.0017010815874188869</c:v>
                </c:pt>
                <c:pt idx="2">
                  <c:v>0.001735797538182538</c:v>
                </c:pt>
                <c:pt idx="3">
                  <c:v>0.0021085731836936153</c:v>
                </c:pt>
                <c:pt idx="4">
                  <c:v>0.0012429499332792505</c:v>
                </c:pt>
                <c:pt idx="5">
                  <c:v>0.0021384084873621516</c:v>
                </c:pt>
                <c:pt idx="6">
                  <c:v>0.000002835601172205475</c:v>
                </c:pt>
              </c:numCache>
            </c:numRef>
          </c:val>
        </c:ser>
        <c:ser>
          <c:idx val="5"/>
          <c:order val="5"/>
          <c:tx>
            <c:strRef>
              <c:f>Plots!$C$74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Plots!$D$68:$J$68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Plots!$D$74:$J$74</c:f>
              <c:numCache>
                <c:formatCode>General</c:formatCode>
                <c:ptCount val="7"/>
                <c:pt idx="0">
                  <c:v>0.027784951014168634</c:v>
                </c:pt>
                <c:pt idx="1">
                  <c:v>0.01207552954051784</c:v>
                </c:pt>
                <c:pt idx="2">
                  <c:v>0.012321968918895757</c:v>
                </c:pt>
                <c:pt idx="3">
                  <c:v>0.01975258018022426</c:v>
                </c:pt>
                <c:pt idx="4">
                  <c:v>0.007283991997185395</c:v>
                </c:pt>
                <c:pt idx="5">
                  <c:v>0.012531599134942617</c:v>
                </c:pt>
                <c:pt idx="6">
                  <c:v>0.009266184343030354</c:v>
                </c:pt>
              </c:numCache>
            </c:numRef>
          </c:val>
        </c:ser>
        <c:ser>
          <c:idx val="6"/>
          <c:order val="6"/>
          <c:tx>
            <c:strRef>
              <c:f>Plots!$C$75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Plots!$D$68:$J$68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Plots!$D$75:$J$75</c:f>
              <c:numCache>
                <c:formatCode>General</c:formatCode>
                <c:ptCount val="7"/>
                <c:pt idx="0">
                  <c:v>0.02278055004145871</c:v>
                </c:pt>
                <c:pt idx="1">
                  <c:v>0.0034063705389041337</c:v>
                </c:pt>
                <c:pt idx="2">
                  <c:v>0.0034758883050042184</c:v>
                </c:pt>
                <c:pt idx="3">
                  <c:v>0.004217146367387231</c:v>
                </c:pt>
                <c:pt idx="4">
                  <c:v>0.0025101067791075257</c:v>
                </c:pt>
                <c:pt idx="5">
                  <c:v>0.004318463275883915</c:v>
                </c:pt>
                <c:pt idx="6">
                  <c:v>0.00000567120234441095</c:v>
                </c:pt>
              </c:numCache>
            </c:numRef>
          </c:val>
        </c:ser>
        <c:ser>
          <c:idx val="7"/>
          <c:order val="7"/>
          <c:tx>
            <c:strRef>
              <c:f>Plots!$C$76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Plots!$D$68:$J$68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Plots!$D$76:$J$76</c:f>
              <c:numCache>
                <c:formatCode>General</c:formatCode>
                <c:ptCount val="7"/>
                <c:pt idx="0">
                  <c:v>0.004981599455018657</c:v>
                </c:pt>
                <c:pt idx="1">
                  <c:v>0</c:v>
                </c:pt>
                <c:pt idx="2">
                  <c:v>0.02814387335298554</c:v>
                </c:pt>
                <c:pt idx="3">
                  <c:v>0.04506315241005555</c:v>
                </c:pt>
                <c:pt idx="4">
                  <c:v>0</c:v>
                </c:pt>
                <c:pt idx="5">
                  <c:v>0.05646580155212566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Plots!$C$77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Plots!$D$68:$J$68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Plots!$D$77:$J$77</c:f>
              <c:numCache>
                <c:formatCode>General</c:formatCode>
                <c:ptCount val="7"/>
                <c:pt idx="0">
                  <c:v>0.024189398809287922</c:v>
                </c:pt>
                <c:pt idx="1">
                  <c:v>0.024189398809287922</c:v>
                </c:pt>
                <c:pt idx="2">
                  <c:v>0.024189398809287922</c:v>
                </c:pt>
                <c:pt idx="3">
                  <c:v>0.024189398809287922</c:v>
                </c:pt>
                <c:pt idx="4">
                  <c:v>0.02289384122665432</c:v>
                </c:pt>
                <c:pt idx="5">
                  <c:v>0.024189398809287922</c:v>
                </c:pt>
                <c:pt idx="6">
                  <c:v>0.010436556778254301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754903972"/>
        <c:axId val="1206799760"/>
      </c:barChart>
      <c:catAx>
        <c:axId val="754903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206799760"/>
        <c:crosses val="autoZero"/>
        <c:auto val="1"/>
        <c:lblAlgn val="ctr"/>
        <c:lblOffset val="100"/>
        <c:noMultiLvlLbl val="1"/>
      </c:catAx>
      <c:valAx>
        <c:axId val="120679976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7549039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HED-HAM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Plots!$C$80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Plots!$D$79:$J$79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Plots!$D$80:$J$80</c:f>
              <c:numCache>
                <c:formatCode>General</c:formatCode>
                <c:ptCount val="7"/>
                <c:pt idx="0">
                  <c:v>0.04348733735888444</c:v>
                </c:pt>
                <c:pt idx="1">
                  <c:v>0.0501726791828637</c:v>
                </c:pt>
                <c:pt idx="2">
                  <c:v>0.05119661141108542</c:v>
                </c:pt>
                <c:pt idx="3">
                  <c:v>0.04392660339281257</c:v>
                </c:pt>
                <c:pt idx="4">
                  <c:v>0.054010715469768336</c:v>
                </c:pt>
                <c:pt idx="5">
                  <c:v>0.09292166102325736</c:v>
                </c:pt>
                <c:pt idx="6">
                  <c:v>0.04382034223237682</c:v>
                </c:pt>
              </c:numCache>
            </c:numRef>
          </c:val>
        </c:ser>
        <c:ser>
          <c:idx val="1"/>
          <c:order val="1"/>
          <c:tx>
            <c:strRef>
              <c:f>Plots!$C$81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Plots!$D$79:$J$79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Plots!$D$81:$J$81</c:f>
              <c:numCache>
                <c:formatCode>General</c:formatCode>
                <c:ptCount val="7"/>
                <c:pt idx="0">
                  <c:v>0</c:v>
                </c:pt>
                <c:pt idx="1">
                  <c:v>0.010874496327375811</c:v>
                </c:pt>
                <c:pt idx="2">
                  <c:v>0.01109642482385287</c:v>
                </c:pt>
                <c:pt idx="3">
                  <c:v>0.0015568224126815149</c:v>
                </c:pt>
                <c:pt idx="4">
                  <c:v>0.008901766212012255</c:v>
                </c:pt>
                <c:pt idx="5">
                  <c:v>0.01531486660131141</c:v>
                </c:pt>
                <c:pt idx="6">
                  <c:v>0.07557832730597139</c:v>
                </c:pt>
              </c:numCache>
            </c:numRef>
          </c:val>
        </c:ser>
        <c:ser>
          <c:idx val="2"/>
          <c:order val="2"/>
          <c:tx>
            <c:strRef>
              <c:f>Plots!$C$82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Plots!$D$79:$J$79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Plots!$D$82:$J$82</c:f>
              <c:numCache>
                <c:formatCode>General</c:formatCode>
                <c:ptCount val="7"/>
                <c:pt idx="0">
                  <c:v>0.00034072329284106056</c:v>
                </c:pt>
                <c:pt idx="1">
                  <c:v>0.0003931029467443573</c:v>
                </c:pt>
                <c:pt idx="2">
                  <c:v>0.00040112545586158915</c:v>
                </c:pt>
                <c:pt idx="3">
                  <c:v>0.00034416494226369756</c:v>
                </c:pt>
                <c:pt idx="4">
                  <c:v>0.00032142087562654886</c:v>
                </c:pt>
                <c:pt idx="5">
                  <c:v>0.000552982151615568</c:v>
                </c:pt>
                <c:pt idx="6">
                  <c:v>0.00026077737811989045</c:v>
                </c:pt>
              </c:numCache>
            </c:numRef>
          </c:val>
        </c:ser>
        <c:ser>
          <c:idx val="3"/>
          <c:order val="3"/>
          <c:tx>
            <c:strRef>
              <c:f>Plots!$C$83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Plots!$D$79:$J$79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Plots!$D$83:$J$83</c:f>
              <c:numCache>
                <c:formatCode>General</c:formatCode>
                <c:ptCount val="7"/>
                <c:pt idx="0">
                  <c:v>0.019291990949821744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0.005843141050232235</c:v>
                </c:pt>
                <c:pt idx="5">
                  <c:v>0.010052715785345782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Plots!$C$84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Plots!$D$79:$J$79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Plots!$D$84:$J$84</c:f>
              <c:numCache>
                <c:formatCode>General</c:formatCode>
                <c:ptCount val="7"/>
                <c:pt idx="0">
                  <c:v>0.011316160792974813</c:v>
                </c:pt>
                <c:pt idx="1">
                  <c:v>0.0017010815874188873</c:v>
                </c:pt>
                <c:pt idx="2">
                  <c:v>0.0017357975381825381</c:v>
                </c:pt>
                <c:pt idx="3">
                  <c:v>0.0021085731836936153</c:v>
                </c:pt>
                <c:pt idx="4">
                  <c:v>0.0012429499332792505</c:v>
                </c:pt>
                <c:pt idx="5">
                  <c:v>0.0021384084873621516</c:v>
                </c:pt>
                <c:pt idx="6">
                  <c:v>0.0000028356011722054754</c:v>
                </c:pt>
              </c:numCache>
            </c:numRef>
          </c:val>
        </c:ser>
        <c:ser>
          <c:idx val="5"/>
          <c:order val="5"/>
          <c:tx>
            <c:strRef>
              <c:f>Plots!$C$85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Plots!$D$79:$J$79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Plots!$D$85:$J$85</c:f>
              <c:numCache>
                <c:formatCode>General</c:formatCode>
                <c:ptCount val="7"/>
                <c:pt idx="0">
                  <c:v>0.06718417293386986</c:v>
                </c:pt>
                <c:pt idx="1">
                  <c:v>0.028653342495858426</c:v>
                </c:pt>
                <c:pt idx="2">
                  <c:v>0.029238104587610638</c:v>
                </c:pt>
                <c:pt idx="3">
                  <c:v>0.05194877381581378</c:v>
                </c:pt>
                <c:pt idx="4">
                  <c:v>0.016153829394857957</c:v>
                </c:pt>
                <c:pt idx="5">
                  <c:v>0.02779153444276638</c:v>
                </c:pt>
                <c:pt idx="6">
                  <c:v>0.02003617720258939</c:v>
                </c:pt>
              </c:numCache>
            </c:numRef>
          </c:val>
        </c:ser>
        <c:ser>
          <c:idx val="6"/>
          <c:order val="6"/>
          <c:tx>
            <c:strRef>
              <c:f>Plots!$C$86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Plots!$D$79:$J$79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Plots!$D$86:$J$86</c:f>
              <c:numCache>
                <c:formatCode>General</c:formatCode>
                <c:ptCount val="7"/>
                <c:pt idx="0">
                  <c:v>0.02278055004145871</c:v>
                </c:pt>
                <c:pt idx="1">
                  <c:v>0.0034063705389041337</c:v>
                </c:pt>
                <c:pt idx="2">
                  <c:v>0.0034758883050042184</c:v>
                </c:pt>
                <c:pt idx="3">
                  <c:v>0.004217146367387231</c:v>
                </c:pt>
                <c:pt idx="4">
                  <c:v>0.0025101067791075257</c:v>
                </c:pt>
                <c:pt idx="5">
                  <c:v>0.004318463275883915</c:v>
                </c:pt>
                <c:pt idx="6">
                  <c:v>0.000005671202344410951</c:v>
                </c:pt>
              </c:numCache>
            </c:numRef>
          </c:val>
        </c:ser>
        <c:ser>
          <c:idx val="7"/>
          <c:order val="7"/>
          <c:tx>
            <c:strRef>
              <c:f>Plots!$C$87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Plots!$D$79:$J$79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Plots!$D$87:$J$87</c:f>
              <c:numCache>
                <c:formatCode>General</c:formatCode>
                <c:ptCount val="7"/>
                <c:pt idx="0">
                  <c:v>0.004981599455018657</c:v>
                </c:pt>
                <c:pt idx="1">
                  <c:v>0</c:v>
                </c:pt>
                <c:pt idx="2">
                  <c:v>0.02814387335298554</c:v>
                </c:pt>
                <c:pt idx="3">
                  <c:v>0.04506315241005555</c:v>
                </c:pt>
                <c:pt idx="4">
                  <c:v>0</c:v>
                </c:pt>
                <c:pt idx="5">
                  <c:v>0.056465801552125654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Plots!$C$88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Plots!$D$79:$J$79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Plots!$D$88:$J$88</c:f>
              <c:numCache>
                <c:formatCode>General</c:formatCode>
                <c:ptCount val="7"/>
                <c:pt idx="0">
                  <c:v>0.024189398809287922</c:v>
                </c:pt>
                <c:pt idx="1">
                  <c:v>0.024189398809287922</c:v>
                </c:pt>
                <c:pt idx="2">
                  <c:v>0.024189398809287922</c:v>
                </c:pt>
                <c:pt idx="3">
                  <c:v>0.024189398809287922</c:v>
                </c:pt>
                <c:pt idx="4">
                  <c:v>0.02289384122665432</c:v>
                </c:pt>
                <c:pt idx="5">
                  <c:v>0.024189398809287922</c:v>
                </c:pt>
                <c:pt idx="6">
                  <c:v>0.010436556778254301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709221492"/>
        <c:axId val="1849889624"/>
      </c:barChart>
      <c:catAx>
        <c:axId val="1709221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849889624"/>
        <c:crosses val="autoZero"/>
        <c:auto val="1"/>
        <c:lblAlgn val="ctr"/>
        <c:lblOffset val="100"/>
        <c:noMultiLvlLbl val="1"/>
      </c:catAx>
      <c:valAx>
        <c:axId val="184988962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70922149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Plots!$C$47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Plots!$D$46:$J$46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Plots!$D$47:$J$47</c:f>
              <c:numCache>
                <c:formatCode>General</c:formatCode>
                <c:ptCount val="7"/>
                <c:pt idx="0">
                  <c:v>0.04348733735888444</c:v>
                </c:pt>
                <c:pt idx="1">
                  <c:v>0.050172679182863715</c:v>
                </c:pt>
                <c:pt idx="2">
                  <c:v>0.05119661141108542</c:v>
                </c:pt>
                <c:pt idx="3">
                  <c:v>0.04392660339281256</c:v>
                </c:pt>
                <c:pt idx="4">
                  <c:v>0.05401071546976834</c:v>
                </c:pt>
                <c:pt idx="5">
                  <c:v>0.09292166102325737</c:v>
                </c:pt>
                <c:pt idx="6">
                  <c:v>0.04382034223237681</c:v>
                </c:pt>
              </c:numCache>
            </c:numRef>
          </c:val>
        </c:ser>
        <c:ser>
          <c:idx val="1"/>
          <c:order val="1"/>
          <c:tx>
            <c:strRef>
              <c:f>Plots!$C$48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Plots!$D$46:$J$46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Plots!$D$48:$J$48</c:f>
              <c:numCache>
                <c:formatCode>General</c:formatCode>
                <c:ptCount val="7"/>
                <c:pt idx="0">
                  <c:v>0</c:v>
                </c:pt>
                <c:pt idx="1">
                  <c:v>0.010874496327375813</c:v>
                </c:pt>
                <c:pt idx="2">
                  <c:v>0.01109642482385287</c:v>
                </c:pt>
                <c:pt idx="3">
                  <c:v>0.0015568224126815144</c:v>
                </c:pt>
                <c:pt idx="4">
                  <c:v>0.008901766212012257</c:v>
                </c:pt>
                <c:pt idx="5">
                  <c:v>0.015314866601311412</c:v>
                </c:pt>
                <c:pt idx="6">
                  <c:v>0.07557832730597139</c:v>
                </c:pt>
              </c:numCache>
            </c:numRef>
          </c:val>
        </c:ser>
        <c:ser>
          <c:idx val="2"/>
          <c:order val="2"/>
          <c:tx>
            <c:strRef>
              <c:f>Plots!$C$49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Plots!$D$46:$J$46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Plots!$D$49:$J$49</c:f>
              <c:numCache>
                <c:formatCode>General</c:formatCode>
                <c:ptCount val="7"/>
                <c:pt idx="0">
                  <c:v>0.00034072329284106056</c:v>
                </c:pt>
                <c:pt idx="1">
                  <c:v>0.00039310294674435744</c:v>
                </c:pt>
                <c:pt idx="2">
                  <c:v>0.00040112545586158926</c:v>
                </c:pt>
                <c:pt idx="3">
                  <c:v>0.00034416494226369745</c:v>
                </c:pt>
                <c:pt idx="4">
                  <c:v>0.00032142087562654886</c:v>
                </c:pt>
                <c:pt idx="5">
                  <c:v>0.000552982151615568</c:v>
                </c:pt>
                <c:pt idx="6">
                  <c:v>0.0002607773781198904</c:v>
                </c:pt>
              </c:numCache>
            </c:numRef>
          </c:val>
        </c:ser>
        <c:ser>
          <c:idx val="3"/>
          <c:order val="3"/>
          <c:tx>
            <c:strRef>
              <c:f>Plots!$C$50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Plots!$D$46:$J$46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Plots!$D$50:$J$50</c:f>
              <c:numCache>
                <c:formatCode>General</c:formatCode>
                <c:ptCount val="7"/>
                <c:pt idx="0">
                  <c:v>0.01929199094982174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0.005843141050232235</c:v>
                </c:pt>
                <c:pt idx="5">
                  <c:v>0.010052715785345782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Plots!$C$51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Plots!$D$46:$J$46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Plots!$D$51:$J$51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Plots!$C$52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Plots!$D$46:$J$46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Plots!$D$52:$J$52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strRef>
              <c:f>Plots!$C$53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Plots!$D$46:$J$46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Plots!$D$53:$J$53</c:f>
              <c:numCache>
                <c:formatCode>General</c:formatCode>
                <c:ptCount val="7"/>
                <c:pt idx="0">
                  <c:v>0.022780550041458715</c:v>
                </c:pt>
                <c:pt idx="1">
                  <c:v>0.003406370538904134</c:v>
                </c:pt>
                <c:pt idx="2">
                  <c:v>0.0034758883050042184</c:v>
                </c:pt>
                <c:pt idx="3">
                  <c:v>0.00421714636738723</c:v>
                </c:pt>
                <c:pt idx="4">
                  <c:v>0.0025101067791075257</c:v>
                </c:pt>
                <c:pt idx="5">
                  <c:v>0.004318463275883915</c:v>
                </c:pt>
                <c:pt idx="6">
                  <c:v>0.000005671202344410949</c:v>
                </c:pt>
              </c:numCache>
            </c:numRef>
          </c:val>
        </c:ser>
        <c:ser>
          <c:idx val="7"/>
          <c:order val="7"/>
          <c:tx>
            <c:strRef>
              <c:f>Plots!$C$54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Plots!$D$46:$J$46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Plots!$D$54:$J$54</c:f>
              <c:numCache>
                <c:formatCode>General</c:formatCode>
                <c:ptCount val="7"/>
                <c:pt idx="0">
                  <c:v>0.004981599455018656</c:v>
                </c:pt>
                <c:pt idx="1">
                  <c:v>0</c:v>
                </c:pt>
                <c:pt idx="2">
                  <c:v>0.028143873352985533</c:v>
                </c:pt>
                <c:pt idx="3">
                  <c:v>0.04506315241005555</c:v>
                </c:pt>
                <c:pt idx="4">
                  <c:v>0</c:v>
                </c:pt>
                <c:pt idx="5">
                  <c:v>0.05646580155212566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Plots!$C$55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Plots!$D$46:$J$46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Plots!$D$55:$J$55</c:f>
              <c:numCache>
                <c:formatCode>General</c:formatCode>
                <c:ptCount val="7"/>
                <c:pt idx="0">
                  <c:v>0.024189398809287922</c:v>
                </c:pt>
                <c:pt idx="1">
                  <c:v>0.024189398809287922</c:v>
                </c:pt>
                <c:pt idx="2">
                  <c:v>0.024189398809287922</c:v>
                </c:pt>
                <c:pt idx="3">
                  <c:v>0.02418939880928792</c:v>
                </c:pt>
                <c:pt idx="4">
                  <c:v>0.02289384122665432</c:v>
                </c:pt>
                <c:pt idx="5">
                  <c:v>0.024189398809287922</c:v>
                </c:pt>
                <c:pt idx="6">
                  <c:v>0.010436556778254301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419763927"/>
        <c:axId val="546506633"/>
      </c:barChart>
      <c:catAx>
        <c:axId val="141976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546506633"/>
        <c:crosses val="autoZero"/>
        <c:auto val="1"/>
        <c:lblAlgn val="ctr"/>
        <c:lblOffset val="100"/>
        <c:noMultiLvlLbl val="1"/>
      </c:catAx>
      <c:valAx>
        <c:axId val="54650663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41976392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Plots!$C$47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Plots!$K$46:$Q$46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Plots!$K$47:$Q$47</c:f>
              <c:numCache>
                <c:formatCode>General</c:formatCode>
                <c:ptCount val="7"/>
                <c:pt idx="0">
                  <c:v>0.4341445954901877</c:v>
                </c:pt>
                <c:pt idx="1">
                  <c:v>0.49086825855002997</c:v>
                </c:pt>
                <c:pt idx="2">
                  <c:v>0.5008859781122755</c:v>
                </c:pt>
                <c:pt idx="3">
                  <c:v>0.47273522620042663</c:v>
                </c:pt>
                <c:pt idx="4">
                  <c:v>0.5466538252063116</c:v>
                </c:pt>
                <c:pt idx="5">
                  <c:v>1.0314223117100219</c:v>
                </c:pt>
                <c:pt idx="6">
                  <c:v>0.4072068667244939</c:v>
                </c:pt>
              </c:numCache>
            </c:numRef>
          </c:val>
        </c:ser>
        <c:ser>
          <c:idx val="1"/>
          <c:order val="1"/>
          <c:tx>
            <c:strRef>
              <c:f>Plots!$C$48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Plots!$K$46:$Q$46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Plots!$K$48:$Q$48</c:f>
              <c:numCache>
                <c:formatCode>General</c:formatCode>
                <c:ptCount val="7"/>
                <c:pt idx="0">
                  <c:v>0</c:v>
                </c:pt>
                <c:pt idx="1">
                  <c:v>0.09307848124836536</c:v>
                </c:pt>
                <c:pt idx="2">
                  <c:v>0.09497804209016875</c:v>
                </c:pt>
                <c:pt idx="3">
                  <c:v>0.01964043083088087</c:v>
                </c:pt>
                <c:pt idx="4">
                  <c:v>0.19863675863021557</c:v>
                </c:pt>
                <c:pt idx="5">
                  <c:v>0.37478633703814257</c:v>
                </c:pt>
                <c:pt idx="6">
                  <c:v>0.21298718983937148</c:v>
                </c:pt>
              </c:numCache>
            </c:numRef>
          </c:val>
        </c:ser>
        <c:ser>
          <c:idx val="2"/>
          <c:order val="2"/>
          <c:tx>
            <c:strRef>
              <c:f>Plots!$C$49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Plots!$K$46:$Q$46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Plots!$K$49:$Q$49</c:f>
              <c:numCache>
                <c:formatCode>General</c:formatCode>
                <c:ptCount val="7"/>
                <c:pt idx="0">
                  <c:v>0.0018485996924671915</c:v>
                </c:pt>
                <c:pt idx="1">
                  <c:v>0.0020901306182861375</c:v>
                </c:pt>
                <c:pt idx="2">
                  <c:v>0.0021327863451899363</c:v>
                </c:pt>
                <c:pt idx="3">
                  <c:v>0.002012919665130942</c:v>
                </c:pt>
                <c:pt idx="4">
                  <c:v>0.0018738623391346728</c:v>
                </c:pt>
                <c:pt idx="5">
                  <c:v>0.0035355893191220244</c:v>
                </c:pt>
                <c:pt idx="6">
                  <c:v>0.0017338980985067715</c:v>
                </c:pt>
              </c:numCache>
            </c:numRef>
          </c:val>
        </c:ser>
        <c:ser>
          <c:idx val="3"/>
          <c:order val="3"/>
          <c:tx>
            <c:strRef>
              <c:f>Plots!$C$50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Plots!$K$46:$Q$46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Plots!$K$50:$Q$50</c:f>
              <c:numCache>
                <c:formatCode>General</c:formatCode>
                <c:ptCount val="7"/>
                <c:pt idx="0">
                  <c:v>0.18696553473351504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0.057028141079318584</c:v>
                </c:pt>
                <c:pt idx="5">
                  <c:v>0.10760026618739356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Plots!$C$51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Plots!$K$46:$Q$46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Plots!$K$51:$Q$51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Plots!$C$52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Plots!$K$46:$Q$46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Plots!$K$52:$Q$52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strRef>
              <c:f>Plots!$C$53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Plots!$K$46:$Q$46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Plots!$K$53:$Q$53</c:f>
              <c:numCache>
                <c:formatCode>General</c:formatCode>
                <c:ptCount val="7"/>
                <c:pt idx="0">
                  <c:v>0.1762804791067249</c:v>
                </c:pt>
                <c:pt idx="1">
                  <c:v>0.012362010470870126</c:v>
                </c:pt>
                <c:pt idx="2">
                  <c:v>0.012614296398847067</c:v>
                </c:pt>
                <c:pt idx="3">
                  <c:v>0.021857952723751725</c:v>
                </c:pt>
                <c:pt idx="4">
                  <c:v>0.11655985823442354</c:v>
                </c:pt>
                <c:pt idx="5">
                  <c:v>0.21992426081966704</c:v>
                </c:pt>
                <c:pt idx="6">
                  <c:v>0.000006301335938234388</c:v>
                </c:pt>
              </c:numCache>
            </c:numRef>
          </c:val>
        </c:ser>
        <c:ser>
          <c:idx val="7"/>
          <c:order val="7"/>
          <c:tx>
            <c:strRef>
              <c:f>Plots!$C$54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Plots!$K$46:$Q$46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Plots!$K$54:$Q$54</c:f>
              <c:numCache>
                <c:formatCode>General</c:formatCode>
                <c:ptCount val="7"/>
                <c:pt idx="0">
                  <c:v>0.07352312458938697</c:v>
                </c:pt>
                <c:pt idx="1">
                  <c:v>0</c:v>
                </c:pt>
                <c:pt idx="2">
                  <c:v>0.30323754301571076</c:v>
                </c:pt>
                <c:pt idx="3">
                  <c:v>0.2771810767022298</c:v>
                </c:pt>
                <c:pt idx="4">
                  <c:v>0</c:v>
                </c:pt>
                <c:pt idx="5">
                  <c:v>0.18231300535609946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Plots!$C$55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Plots!$K$46:$Q$46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Plots!$K$55:$Q$55</c:f>
              <c:numCache>
                <c:formatCode>General</c:formatCode>
                <c:ptCount val="7"/>
                <c:pt idx="0">
                  <c:v>0.06828057755799903</c:v>
                </c:pt>
                <c:pt idx="1">
                  <c:v>0.06828057755799903</c:v>
                </c:pt>
                <c:pt idx="2">
                  <c:v>0.06828057755799903</c:v>
                </c:pt>
                <c:pt idx="3">
                  <c:v>0.06828057755799903</c:v>
                </c:pt>
                <c:pt idx="4">
                  <c:v>0.06066917676002661</c:v>
                </c:pt>
                <c:pt idx="5">
                  <c:v>0.06828057755799903</c:v>
                </c:pt>
                <c:pt idx="6">
                  <c:v>0.05573326554874335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419763927"/>
        <c:axId val="546506633"/>
      </c:barChart>
      <c:catAx>
        <c:axId val="141976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546506633"/>
        <c:crosses val="autoZero"/>
        <c:auto val="1"/>
        <c:lblAlgn val="ctr"/>
        <c:lblOffset val="100"/>
        <c:noMultiLvlLbl val="1"/>
      </c:catAx>
      <c:valAx>
        <c:axId val="54650663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41976392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CAS-HAM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Plots!$C$58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Plots!$K$57:$Q$57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Plots!$K$58:$Q$58</c:f>
              <c:numCache>
                <c:formatCode>General</c:formatCode>
                <c:ptCount val="7"/>
                <c:pt idx="0">
                  <c:v>0.4341445954901878</c:v>
                </c:pt>
                <c:pt idx="1">
                  <c:v>0.49086825855002986</c:v>
                </c:pt>
                <c:pt idx="2">
                  <c:v>0.5008859781122753</c:v>
                </c:pt>
                <c:pt idx="3">
                  <c:v>0.47273522620042663</c:v>
                </c:pt>
                <c:pt idx="4">
                  <c:v>0.5466538252063116</c:v>
                </c:pt>
                <c:pt idx="5">
                  <c:v>1.0314223117100219</c:v>
                </c:pt>
                <c:pt idx="6">
                  <c:v>0.4072068667244939</c:v>
                </c:pt>
              </c:numCache>
            </c:numRef>
          </c:val>
        </c:ser>
        <c:ser>
          <c:idx val="1"/>
          <c:order val="1"/>
          <c:tx>
            <c:strRef>
              <c:f>Plots!$C$59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Plots!$K$57:$Q$57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Plots!$K$59:$Q$59</c:f>
              <c:numCache>
                <c:formatCode>General</c:formatCode>
                <c:ptCount val="7"/>
                <c:pt idx="0">
                  <c:v>0</c:v>
                </c:pt>
                <c:pt idx="1">
                  <c:v>0.09307848124836536</c:v>
                </c:pt>
                <c:pt idx="2">
                  <c:v>0.09497804209016873</c:v>
                </c:pt>
                <c:pt idx="3">
                  <c:v>0.019640430830880868</c:v>
                </c:pt>
                <c:pt idx="4">
                  <c:v>0.1986367586302156</c:v>
                </c:pt>
                <c:pt idx="5">
                  <c:v>0.3747863370381426</c:v>
                </c:pt>
                <c:pt idx="6">
                  <c:v>0.21298718983937148</c:v>
                </c:pt>
              </c:numCache>
            </c:numRef>
          </c:val>
        </c:ser>
        <c:ser>
          <c:idx val="2"/>
          <c:order val="2"/>
          <c:tx>
            <c:strRef>
              <c:f>Plots!$C$60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Plots!$K$57:$Q$57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Plots!$K$60:$Q$60</c:f>
              <c:numCache>
                <c:formatCode>General</c:formatCode>
                <c:ptCount val="7"/>
                <c:pt idx="0">
                  <c:v>0.0018485996924671917</c:v>
                </c:pt>
                <c:pt idx="1">
                  <c:v>0.0020901306182861375</c:v>
                </c:pt>
                <c:pt idx="2">
                  <c:v>0.0021327863451899363</c:v>
                </c:pt>
                <c:pt idx="3">
                  <c:v>0.002012919665130942</c:v>
                </c:pt>
                <c:pt idx="4">
                  <c:v>0.001873862339134673</c:v>
                </c:pt>
                <c:pt idx="5">
                  <c:v>0.0035355893191220244</c:v>
                </c:pt>
                <c:pt idx="6">
                  <c:v>0.0017338980985067715</c:v>
                </c:pt>
              </c:numCache>
            </c:numRef>
          </c:val>
        </c:ser>
        <c:ser>
          <c:idx val="3"/>
          <c:order val="3"/>
          <c:tx>
            <c:strRef>
              <c:f>Plots!$C$61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Plots!$K$57:$Q$57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Plots!$K$61:$Q$61</c:f>
              <c:numCache>
                <c:formatCode>General</c:formatCode>
                <c:ptCount val="7"/>
                <c:pt idx="0">
                  <c:v>0.18696553473351504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0.057028141079318584</c:v>
                </c:pt>
                <c:pt idx="5">
                  <c:v>0.10760026618739355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Plots!$C$62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Plots!$K$57:$Q$57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Plots!$K$62:$Q$62</c:f>
              <c:numCache>
                <c:formatCode>General</c:formatCode>
                <c:ptCount val="7"/>
                <c:pt idx="0">
                  <c:v>0.07427519022720994</c:v>
                </c:pt>
                <c:pt idx="1">
                  <c:v>0.0061477187396838506</c:v>
                </c:pt>
                <c:pt idx="2">
                  <c:v>0.0062731823874325006</c:v>
                </c:pt>
                <c:pt idx="3">
                  <c:v>0.01092897636187586</c:v>
                </c:pt>
                <c:pt idx="4">
                  <c:v>0.05804595116172672</c:v>
                </c:pt>
                <c:pt idx="5">
                  <c:v>0.10952066256929568</c:v>
                </c:pt>
                <c:pt idx="6">
                  <c:v>0.000003150667969117194</c:v>
                </c:pt>
              </c:numCache>
            </c:numRef>
          </c:val>
        </c:ser>
        <c:ser>
          <c:idx val="5"/>
          <c:order val="5"/>
          <c:tx>
            <c:strRef>
              <c:f>Plots!$C$63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Plots!$K$57:$Q$57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Plots!$K$63:$Q$63</c:f>
              <c:numCache>
                <c:formatCode>General</c:formatCode>
                <c:ptCount val="7"/>
                <c:pt idx="0">
                  <c:v>0.03333677621041468</c:v>
                </c:pt>
                <c:pt idx="1">
                  <c:v>0.017755358242716283</c:v>
                </c:pt>
                <c:pt idx="2">
                  <c:v>0.018117712492567634</c:v>
                </c:pt>
                <c:pt idx="3">
                  <c:v>0.03068445418246043</c:v>
                </c:pt>
                <c:pt idx="4">
                  <c:v>0.014873682494734712</c:v>
                </c:pt>
                <c:pt idx="5">
                  <c:v>0.028063551876857946</c:v>
                </c:pt>
                <c:pt idx="6">
                  <c:v>0.017963409659482142</c:v>
                </c:pt>
              </c:numCache>
            </c:numRef>
          </c:val>
        </c:ser>
        <c:ser>
          <c:idx val="6"/>
          <c:order val="6"/>
          <c:tx>
            <c:strRef>
              <c:f>Plots!$C$64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Plots!$K$57:$Q$57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Plots!$K$64:$Q$64</c:f>
              <c:numCache>
                <c:formatCode>General</c:formatCode>
                <c:ptCount val="7"/>
                <c:pt idx="0">
                  <c:v>0.17628047910672495</c:v>
                </c:pt>
                <c:pt idx="1">
                  <c:v>0.012362010470870126</c:v>
                </c:pt>
                <c:pt idx="2">
                  <c:v>0.012614296398847065</c:v>
                </c:pt>
                <c:pt idx="3">
                  <c:v>0.02185795272375172</c:v>
                </c:pt>
                <c:pt idx="4">
                  <c:v>0.11655985823442352</c:v>
                </c:pt>
                <c:pt idx="5">
                  <c:v>0.219924260819667</c:v>
                </c:pt>
                <c:pt idx="6">
                  <c:v>0.000006301335938234388</c:v>
                </c:pt>
              </c:numCache>
            </c:numRef>
          </c:val>
        </c:ser>
        <c:ser>
          <c:idx val="7"/>
          <c:order val="7"/>
          <c:tx>
            <c:strRef>
              <c:f>Plots!$C$65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Plots!$K$57:$Q$57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Plots!$K$65:$Q$65</c:f>
              <c:numCache>
                <c:formatCode>General</c:formatCode>
                <c:ptCount val="7"/>
                <c:pt idx="0">
                  <c:v>0.07352312458938697</c:v>
                </c:pt>
                <c:pt idx="1">
                  <c:v>0</c:v>
                </c:pt>
                <c:pt idx="2">
                  <c:v>0.30323754301571076</c:v>
                </c:pt>
                <c:pt idx="3">
                  <c:v>0.27718107670222975</c:v>
                </c:pt>
                <c:pt idx="4">
                  <c:v>0</c:v>
                </c:pt>
                <c:pt idx="5">
                  <c:v>0.18231300535609946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Plots!$C$66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Plots!$K$57:$Q$57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iron</c:v>
                </c:pt>
              </c:strCache>
            </c:strRef>
          </c:cat>
          <c:val>
            <c:numRef>
              <c:f>Plots!$K$66:$Q$66</c:f>
              <c:numCache>
                <c:formatCode>General</c:formatCode>
                <c:ptCount val="7"/>
                <c:pt idx="0">
                  <c:v>0.06828057755799903</c:v>
                </c:pt>
                <c:pt idx="1">
                  <c:v>0.06828057755799903</c:v>
                </c:pt>
                <c:pt idx="2">
                  <c:v>0.06828057755799903</c:v>
                </c:pt>
                <c:pt idx="3">
                  <c:v>0.06828057755799903</c:v>
                </c:pt>
                <c:pt idx="4">
                  <c:v>0.06066917676002661</c:v>
                </c:pt>
                <c:pt idx="5">
                  <c:v>0.06828057755799903</c:v>
                </c:pt>
                <c:pt idx="6">
                  <c:v>0.05573326554874335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419763927"/>
        <c:axId val="546506633"/>
      </c:barChart>
      <c:catAx>
        <c:axId val="141976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546506633"/>
        <c:crosses val="autoZero"/>
        <c:auto val="1"/>
        <c:lblAlgn val="ctr"/>
        <c:lblOffset val="100"/>
        <c:noMultiLvlLbl val="1"/>
      </c:catAx>
      <c:valAx>
        <c:axId val="54650663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41976392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YAN-HAM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Plots!$C$69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Plots!$K$68:$Q$68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Plots!$K$69:$Q$69</c:f>
              <c:numCache>
                <c:formatCode>General</c:formatCode>
                <c:ptCount val="7"/>
                <c:pt idx="0">
                  <c:v>0.4341445954901878</c:v>
                </c:pt>
                <c:pt idx="1">
                  <c:v>0.4908682585500298</c:v>
                </c:pt>
                <c:pt idx="2">
                  <c:v>0.5008859781122754</c:v>
                </c:pt>
                <c:pt idx="3">
                  <c:v>0.47273522620042663</c:v>
                </c:pt>
                <c:pt idx="4">
                  <c:v>0.5466538252063116</c:v>
                </c:pt>
                <c:pt idx="5">
                  <c:v>1.0314223117100216</c:v>
                </c:pt>
                <c:pt idx="6">
                  <c:v>0.4072068667244939</c:v>
                </c:pt>
              </c:numCache>
            </c:numRef>
          </c:val>
        </c:ser>
        <c:ser>
          <c:idx val="1"/>
          <c:order val="1"/>
          <c:tx>
            <c:strRef>
              <c:f>Plots!$C$70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Plots!$K$68:$Q$68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Plots!$K$70:$Q$70</c:f>
              <c:numCache>
                <c:formatCode>General</c:formatCode>
                <c:ptCount val="7"/>
                <c:pt idx="0">
                  <c:v>0</c:v>
                </c:pt>
                <c:pt idx="1">
                  <c:v>0.09307848124836535</c:v>
                </c:pt>
                <c:pt idx="2">
                  <c:v>0.09497804209016873</c:v>
                </c:pt>
                <c:pt idx="3">
                  <c:v>0.019640430830880868</c:v>
                </c:pt>
                <c:pt idx="4">
                  <c:v>0.19863675863021557</c:v>
                </c:pt>
                <c:pt idx="5">
                  <c:v>0.3747863370381425</c:v>
                </c:pt>
                <c:pt idx="6">
                  <c:v>0.2129871898393715</c:v>
                </c:pt>
              </c:numCache>
            </c:numRef>
          </c:val>
        </c:ser>
        <c:ser>
          <c:idx val="2"/>
          <c:order val="2"/>
          <c:tx>
            <c:strRef>
              <c:f>Plots!$C$71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Plots!$K$68:$Q$68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Plots!$K$71:$Q$71</c:f>
              <c:numCache>
                <c:formatCode>General</c:formatCode>
                <c:ptCount val="7"/>
                <c:pt idx="0">
                  <c:v>0.0018485996924671917</c:v>
                </c:pt>
                <c:pt idx="1">
                  <c:v>0.0020901306182861375</c:v>
                </c:pt>
                <c:pt idx="2">
                  <c:v>0.0021327863451899363</c:v>
                </c:pt>
                <c:pt idx="3">
                  <c:v>0.002012919665130942</c:v>
                </c:pt>
                <c:pt idx="4">
                  <c:v>0.001873862339134673</c:v>
                </c:pt>
                <c:pt idx="5">
                  <c:v>0.0035355893191220244</c:v>
                </c:pt>
                <c:pt idx="6">
                  <c:v>0.0017338980985067715</c:v>
                </c:pt>
              </c:numCache>
            </c:numRef>
          </c:val>
        </c:ser>
        <c:ser>
          <c:idx val="3"/>
          <c:order val="3"/>
          <c:tx>
            <c:strRef>
              <c:f>Plots!$C$72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Plots!$K$68:$Q$68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Plots!$K$72:$Q$72</c:f>
              <c:numCache>
                <c:formatCode>General</c:formatCode>
                <c:ptCount val="7"/>
                <c:pt idx="0">
                  <c:v>0.18696553473351507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0.057028141079318584</c:v>
                </c:pt>
                <c:pt idx="5">
                  <c:v>0.10760026618739355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Plots!$C$73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Plots!$K$68:$Q$68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Plots!$K$73:$Q$73</c:f>
              <c:numCache>
                <c:formatCode>General</c:formatCode>
                <c:ptCount val="7"/>
                <c:pt idx="0">
                  <c:v>0.07427519022720995</c:v>
                </c:pt>
                <c:pt idx="1">
                  <c:v>0.00614771873968385</c:v>
                </c:pt>
                <c:pt idx="2">
                  <c:v>0.0062731823874325006</c:v>
                </c:pt>
                <c:pt idx="3">
                  <c:v>0.01092897636187586</c:v>
                </c:pt>
                <c:pt idx="4">
                  <c:v>0.058045951161726714</c:v>
                </c:pt>
                <c:pt idx="5">
                  <c:v>0.10952066256929568</c:v>
                </c:pt>
                <c:pt idx="6">
                  <c:v>0.0000031506679691171946</c:v>
                </c:pt>
              </c:numCache>
            </c:numRef>
          </c:val>
        </c:ser>
        <c:ser>
          <c:idx val="5"/>
          <c:order val="5"/>
          <c:tx>
            <c:strRef>
              <c:f>Plots!$C$74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Plots!$K$68:$Q$68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Plots!$K$74:$Q$74</c:f>
              <c:numCache>
                <c:formatCode>General</c:formatCode>
                <c:ptCount val="7"/>
                <c:pt idx="0">
                  <c:v>0.08494569619007392</c:v>
                </c:pt>
                <c:pt idx="1">
                  <c:v>0.04438040368163556</c:v>
                </c:pt>
                <c:pt idx="2">
                  <c:v>0.04528612620575058</c:v>
                </c:pt>
                <c:pt idx="3">
                  <c:v>0.08201144864793211</c:v>
                </c:pt>
                <c:pt idx="4">
                  <c:v>0.035751206312857824</c:v>
                </c:pt>
                <c:pt idx="5">
                  <c:v>0.06745510625067513</c:v>
                </c:pt>
                <c:pt idx="6">
                  <c:v>0.041856886091802194</c:v>
                </c:pt>
              </c:numCache>
            </c:numRef>
          </c:val>
        </c:ser>
        <c:ser>
          <c:idx val="6"/>
          <c:order val="6"/>
          <c:tx>
            <c:strRef>
              <c:f>Plots!$C$75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Plots!$K$68:$Q$68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Plots!$K$75:$Q$75</c:f>
              <c:numCache>
                <c:formatCode>General</c:formatCode>
                <c:ptCount val="7"/>
                <c:pt idx="0">
                  <c:v>0.17628047910672495</c:v>
                </c:pt>
                <c:pt idx="1">
                  <c:v>0.012362010470870124</c:v>
                </c:pt>
                <c:pt idx="2">
                  <c:v>0.012614296398847067</c:v>
                </c:pt>
                <c:pt idx="3">
                  <c:v>0.02185795272375172</c:v>
                </c:pt>
                <c:pt idx="4">
                  <c:v>0.11655985823442352</c:v>
                </c:pt>
                <c:pt idx="5">
                  <c:v>0.219924260819667</c:v>
                </c:pt>
                <c:pt idx="6">
                  <c:v>0.000006301335938234389</c:v>
                </c:pt>
              </c:numCache>
            </c:numRef>
          </c:val>
        </c:ser>
        <c:ser>
          <c:idx val="7"/>
          <c:order val="7"/>
          <c:tx>
            <c:strRef>
              <c:f>Plots!$C$76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Plots!$K$68:$Q$68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Plots!$K$76:$Q$76</c:f>
              <c:numCache>
                <c:formatCode>General</c:formatCode>
                <c:ptCount val="7"/>
                <c:pt idx="0">
                  <c:v>0.07352312458938697</c:v>
                </c:pt>
                <c:pt idx="1">
                  <c:v>0</c:v>
                </c:pt>
                <c:pt idx="2">
                  <c:v>0.3032375430157108</c:v>
                </c:pt>
                <c:pt idx="3">
                  <c:v>0.2771810767022298</c:v>
                </c:pt>
                <c:pt idx="4">
                  <c:v>0</c:v>
                </c:pt>
                <c:pt idx="5">
                  <c:v>0.18231300535609946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Plots!$C$77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Plots!$K$68:$Q$68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Plots!$K$77:$Q$77</c:f>
              <c:numCache>
                <c:formatCode>General</c:formatCode>
                <c:ptCount val="7"/>
                <c:pt idx="0">
                  <c:v>0.06828057755799903</c:v>
                </c:pt>
                <c:pt idx="1">
                  <c:v>0.06828057755799903</c:v>
                </c:pt>
                <c:pt idx="2">
                  <c:v>0.06828057755799903</c:v>
                </c:pt>
                <c:pt idx="3">
                  <c:v>0.06828057755799903</c:v>
                </c:pt>
                <c:pt idx="4">
                  <c:v>0.06066917676002661</c:v>
                </c:pt>
                <c:pt idx="5">
                  <c:v>0.06828057755799903</c:v>
                </c:pt>
                <c:pt idx="6">
                  <c:v>0.05573326554874335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754903972"/>
        <c:axId val="1206799760"/>
      </c:barChart>
      <c:catAx>
        <c:axId val="754903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206799760"/>
        <c:crosses val="autoZero"/>
        <c:auto val="1"/>
        <c:lblAlgn val="ctr"/>
        <c:lblOffset val="100"/>
        <c:noMultiLvlLbl val="1"/>
      </c:catAx>
      <c:valAx>
        <c:axId val="120679976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7549039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HED-HAM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Plots!$C$80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Plots!$K$79:$Q$79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Plots!$K$80:$Q$80</c:f>
              <c:numCache>
                <c:formatCode>General</c:formatCode>
                <c:ptCount val="7"/>
                <c:pt idx="0">
                  <c:v>0.43414459549018775</c:v>
                </c:pt>
                <c:pt idx="1">
                  <c:v>0.49086825855002986</c:v>
                </c:pt>
                <c:pt idx="2">
                  <c:v>0.5008859781122753</c:v>
                </c:pt>
                <c:pt idx="3">
                  <c:v>0.4727352262004266</c:v>
                </c:pt>
                <c:pt idx="4">
                  <c:v>0.5466538252063117</c:v>
                </c:pt>
                <c:pt idx="5">
                  <c:v>1.0314223117100219</c:v>
                </c:pt>
                <c:pt idx="6">
                  <c:v>0.40720686672449397</c:v>
                </c:pt>
              </c:numCache>
            </c:numRef>
          </c:val>
        </c:ser>
        <c:ser>
          <c:idx val="1"/>
          <c:order val="1"/>
          <c:tx>
            <c:strRef>
              <c:f>Plots!$C$81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Plots!$K$79:$Q$79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Plots!$K$81:$Q$81</c:f>
              <c:numCache>
                <c:formatCode>General</c:formatCode>
                <c:ptCount val="7"/>
                <c:pt idx="0">
                  <c:v>0</c:v>
                </c:pt>
                <c:pt idx="1">
                  <c:v>0.09307848124836536</c:v>
                </c:pt>
                <c:pt idx="2">
                  <c:v>0.09497804209016872</c:v>
                </c:pt>
                <c:pt idx="3">
                  <c:v>0.019640430830880868</c:v>
                </c:pt>
                <c:pt idx="4">
                  <c:v>0.1986367586302156</c:v>
                </c:pt>
                <c:pt idx="5">
                  <c:v>0.3747863370381426</c:v>
                </c:pt>
                <c:pt idx="6">
                  <c:v>0.21298718983937154</c:v>
                </c:pt>
              </c:numCache>
            </c:numRef>
          </c:val>
        </c:ser>
        <c:ser>
          <c:idx val="2"/>
          <c:order val="2"/>
          <c:tx>
            <c:strRef>
              <c:f>Plots!$C$82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Plots!$K$79:$Q$79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Plots!$K$82:$Q$82</c:f>
              <c:numCache>
                <c:formatCode>General</c:formatCode>
                <c:ptCount val="7"/>
                <c:pt idx="0">
                  <c:v>0.0018485996924671915</c:v>
                </c:pt>
                <c:pt idx="1">
                  <c:v>0.0020901306182861375</c:v>
                </c:pt>
                <c:pt idx="2">
                  <c:v>0.002132786345189936</c:v>
                </c:pt>
                <c:pt idx="3">
                  <c:v>0.002012919665130942</c:v>
                </c:pt>
                <c:pt idx="4">
                  <c:v>0.0018738623391346733</c:v>
                </c:pt>
                <c:pt idx="5">
                  <c:v>0.003535589319122025</c:v>
                </c:pt>
                <c:pt idx="6">
                  <c:v>0.0017338980985067717</c:v>
                </c:pt>
              </c:numCache>
            </c:numRef>
          </c:val>
        </c:ser>
        <c:ser>
          <c:idx val="3"/>
          <c:order val="3"/>
          <c:tx>
            <c:strRef>
              <c:f>Plots!$C$83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Plots!$K$79:$Q$79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Plots!$K$83:$Q$83</c:f>
              <c:numCache>
                <c:formatCode>General</c:formatCode>
                <c:ptCount val="7"/>
                <c:pt idx="0">
                  <c:v>0.18696553473351504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0.05702814107931859</c:v>
                </c:pt>
                <c:pt idx="5">
                  <c:v>0.10760026618739356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Plots!$C$84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Plots!$K$79:$Q$79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Plots!$K$84:$Q$84</c:f>
              <c:numCache>
                <c:formatCode>General</c:formatCode>
                <c:ptCount val="7"/>
                <c:pt idx="0">
                  <c:v>0.07427519022720994</c:v>
                </c:pt>
                <c:pt idx="1">
                  <c:v>0.0061477187396838506</c:v>
                </c:pt>
                <c:pt idx="2">
                  <c:v>0.0062731823874325</c:v>
                </c:pt>
                <c:pt idx="3">
                  <c:v>0.01092897636187586</c:v>
                </c:pt>
                <c:pt idx="4">
                  <c:v>0.05804595116172673</c:v>
                </c:pt>
                <c:pt idx="5">
                  <c:v>0.10952066256929571</c:v>
                </c:pt>
                <c:pt idx="6">
                  <c:v>0.000003150667969117195</c:v>
                </c:pt>
              </c:numCache>
            </c:numRef>
          </c:val>
        </c:ser>
        <c:ser>
          <c:idx val="5"/>
          <c:order val="5"/>
          <c:tx>
            <c:strRef>
              <c:f>Plots!$C$85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Plots!$K$79:$Q$79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Plots!$K$85:$Q$85</c:f>
              <c:numCache>
                <c:formatCode>General</c:formatCode>
                <c:ptCount val="7"/>
                <c:pt idx="0">
                  <c:v>0.2187034913501503</c:v>
                </c:pt>
                <c:pt idx="1">
                  <c:v>0.11123978810750296</c:v>
                </c:pt>
                <c:pt idx="2">
                  <c:v>0.11350998786479892</c:v>
                </c:pt>
                <c:pt idx="3">
                  <c:v>0.2532099611955723</c:v>
                </c:pt>
                <c:pt idx="4">
                  <c:v>0.0861338473460043</c:v>
                </c:pt>
                <c:pt idx="5">
                  <c:v>0.1625166931056685</c:v>
                </c:pt>
                <c:pt idx="6">
                  <c:v>0.10408943133754756</c:v>
                </c:pt>
              </c:numCache>
            </c:numRef>
          </c:val>
        </c:ser>
        <c:ser>
          <c:idx val="6"/>
          <c:order val="6"/>
          <c:tx>
            <c:strRef>
              <c:f>Plots!$C$86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Plots!$K$79:$Q$79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Plots!$K$86:$Q$86</c:f>
              <c:numCache>
                <c:formatCode>General</c:formatCode>
                <c:ptCount val="7"/>
                <c:pt idx="0">
                  <c:v>0.17628047910672492</c:v>
                </c:pt>
                <c:pt idx="1">
                  <c:v>0.012362010470870124</c:v>
                </c:pt>
                <c:pt idx="2">
                  <c:v>0.012614296398847064</c:v>
                </c:pt>
                <c:pt idx="3">
                  <c:v>0.02185795272375172</c:v>
                </c:pt>
                <c:pt idx="4">
                  <c:v>0.11655985823442355</c:v>
                </c:pt>
                <c:pt idx="5">
                  <c:v>0.21992426081966707</c:v>
                </c:pt>
                <c:pt idx="6">
                  <c:v>0.00000630133593823439</c:v>
                </c:pt>
              </c:numCache>
            </c:numRef>
          </c:val>
        </c:ser>
        <c:ser>
          <c:idx val="7"/>
          <c:order val="7"/>
          <c:tx>
            <c:strRef>
              <c:f>Plots!$C$87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Plots!$K$79:$Q$79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Plots!$K$87:$Q$87</c:f>
              <c:numCache>
                <c:formatCode>General</c:formatCode>
                <c:ptCount val="7"/>
                <c:pt idx="0">
                  <c:v>0.07352312458938697</c:v>
                </c:pt>
                <c:pt idx="1">
                  <c:v>0</c:v>
                </c:pt>
                <c:pt idx="2">
                  <c:v>0.30323754301571076</c:v>
                </c:pt>
                <c:pt idx="3">
                  <c:v>0.2771810767022298</c:v>
                </c:pt>
                <c:pt idx="4">
                  <c:v>0</c:v>
                </c:pt>
                <c:pt idx="5">
                  <c:v>0.18231300535609948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Plots!$C$88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Plots!$K$79:$Q$79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Plots!$K$88:$Q$88</c:f>
              <c:numCache>
                <c:formatCode>General</c:formatCode>
                <c:ptCount val="7"/>
                <c:pt idx="0">
                  <c:v>0.06828057755799903</c:v>
                </c:pt>
                <c:pt idx="1">
                  <c:v>0.06828057755799902</c:v>
                </c:pt>
                <c:pt idx="2">
                  <c:v>0.06828057755799903</c:v>
                </c:pt>
                <c:pt idx="3">
                  <c:v>0.06828057755799903</c:v>
                </c:pt>
                <c:pt idx="4">
                  <c:v>0.06066917676002661</c:v>
                </c:pt>
                <c:pt idx="5">
                  <c:v>0.06828057755799903</c:v>
                </c:pt>
                <c:pt idx="6">
                  <c:v>0.05573326554874335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709221492"/>
        <c:axId val="1849889624"/>
      </c:barChart>
      <c:catAx>
        <c:axId val="1709221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849889624"/>
        <c:crosses val="autoZero"/>
        <c:auto val="1"/>
        <c:lblAlgn val="ctr"/>
        <c:lblOffset val="100"/>
        <c:noMultiLvlLbl val="1"/>
      </c:catAx>
      <c:valAx>
        <c:axId val="184988962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70922149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Plots!$C$47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Plots!$R$46:$X$46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Plots!$R$47:$X$47</c:f>
              <c:numCache>
                <c:formatCode>General</c:formatCode>
                <c:ptCount val="7"/>
                <c:pt idx="0">
                  <c:v>0.15898072092827722</c:v>
                </c:pt>
                <c:pt idx="1">
                  <c:v>0.1815867399549491</c:v>
                </c:pt>
                <c:pt idx="2">
                  <c:v>0.18529259179076438</c:v>
                </c:pt>
                <c:pt idx="3">
                  <c:v>0.16696112542855948</c:v>
                </c:pt>
                <c:pt idx="4">
                  <c:v>0.19852554119335736</c:v>
                </c:pt>
                <c:pt idx="5">
                  <c:v>0.3559985482460293</c:v>
                </c:pt>
                <c:pt idx="6">
                  <c:v>0.15799029413998145</c:v>
                </c:pt>
              </c:numCache>
            </c:numRef>
          </c:val>
        </c:ser>
        <c:ser>
          <c:idx val="1"/>
          <c:order val="1"/>
          <c:tx>
            <c:strRef>
              <c:f>Plots!$C$48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Plots!$R$46:$X$46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Plots!$R$48:$X$48</c:f>
              <c:numCache>
                <c:formatCode>General</c:formatCode>
                <c:ptCount val="7"/>
                <c:pt idx="0">
                  <c:v>0</c:v>
                </c:pt>
                <c:pt idx="1">
                  <c:v>0.035408282325537055</c:v>
                </c:pt>
                <c:pt idx="2">
                  <c:v>0.036130900332180665</c:v>
                </c:pt>
                <c:pt idx="3">
                  <c:v>0.006620372939270233</c:v>
                </c:pt>
                <c:pt idx="4">
                  <c:v>0.06467717011867909</c:v>
                </c:pt>
                <c:pt idx="5">
                  <c:v>0.11597993149146309</c:v>
                </c:pt>
                <c:pt idx="6">
                  <c:v>0.14292818325285397</c:v>
                </c:pt>
              </c:numCache>
            </c:numRef>
          </c:val>
        </c:ser>
        <c:ser>
          <c:idx val="2"/>
          <c:order val="2"/>
          <c:tx>
            <c:strRef>
              <c:f>Plots!$C$49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Plots!$R$46:$X$46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Plots!$R$49:$X$49</c:f>
              <c:numCache>
                <c:formatCode>General</c:formatCode>
                <c:ptCount val="7"/>
                <c:pt idx="0">
                  <c:v>0.0007848611974637228</c:v>
                </c:pt>
                <c:pt idx="1">
                  <c:v>0.0008964633279583115</c:v>
                </c:pt>
                <c:pt idx="2">
                  <c:v>0.0009147584979166442</c:v>
                </c:pt>
                <c:pt idx="3">
                  <c:v>0.0008242591181409232</c:v>
                </c:pt>
                <c:pt idx="4">
                  <c:v>0.0007686943028818057</c:v>
                </c:pt>
                <c:pt idx="5">
                  <c:v>0.001378432488968189</c:v>
                </c:pt>
                <c:pt idx="6">
                  <c:v>0.0007799716262595974</c:v>
                </c:pt>
              </c:numCache>
            </c:numRef>
          </c:val>
        </c:ser>
        <c:ser>
          <c:idx val="3"/>
          <c:order val="3"/>
          <c:tx>
            <c:strRef>
              <c:f>Plots!$C$50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Plots!$R$46:$X$46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Plots!$R$50:$X$50</c:f>
              <c:numCache>
                <c:formatCode>General</c:formatCode>
                <c:ptCount val="7"/>
                <c:pt idx="0">
                  <c:v>0.06515227293510552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0.019784353546729378</c:v>
                </c:pt>
                <c:pt idx="5">
                  <c:v>0.035477556682552966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Plots!$C$51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Plots!$R$46:$X$46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Plots!$R$51:$X$51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Plots!$C$52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Plots!$R$46:$X$46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Plots!$R$52:$X$52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strRef>
              <c:f>Plots!$C$53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Plots!$R$46:$X$46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Plots!$R$53:$X$53</c:f>
              <c:numCache>
                <c:formatCode>General</c:formatCode>
                <c:ptCount val="7"/>
                <c:pt idx="0">
                  <c:v>0.06474884556759285</c:v>
                </c:pt>
                <c:pt idx="1">
                  <c:v>0.0062267088997308324</c:v>
                </c:pt>
                <c:pt idx="2">
                  <c:v>0.006353784591562073</c:v>
                </c:pt>
                <c:pt idx="3">
                  <c:v>0.009937795371286804</c:v>
                </c:pt>
                <c:pt idx="4">
                  <c:v>0.03433241089608643</c:v>
                </c:pt>
                <c:pt idx="5">
                  <c:v>0.06156531982395564</c:v>
                </c:pt>
                <c:pt idx="6">
                  <c:v>0.000005969686678327315</c:v>
                </c:pt>
              </c:numCache>
            </c:numRef>
          </c:val>
        </c:ser>
        <c:ser>
          <c:idx val="7"/>
          <c:order val="7"/>
          <c:tx>
            <c:strRef>
              <c:f>Plots!$C$54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Plots!$R$46:$X$46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Plots!$R$54:$X$54</c:f>
              <c:numCache>
                <c:formatCode>General</c:formatCode>
                <c:ptCount val="7"/>
                <c:pt idx="0">
                  <c:v>0.01999536563234053</c:v>
                </c:pt>
                <c:pt idx="1">
                  <c:v>0</c:v>
                </c:pt>
                <c:pt idx="2">
                  <c:v>0.07612144487971337</c:v>
                </c:pt>
                <c:pt idx="3">
                  <c:v>0.09775895454769049</c:v>
                </c:pt>
                <c:pt idx="4">
                  <c:v>0</c:v>
                </c:pt>
                <c:pt idx="5">
                  <c:v>0.09308315643667532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Plots!$C$55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Plots!$R$46:$X$46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Plots!$R$55:$X$55</c:f>
              <c:numCache>
                <c:formatCode>General</c:formatCode>
                <c:ptCount val="7"/>
                <c:pt idx="0">
                  <c:v>0.04023892437556602</c:v>
                </c:pt>
                <c:pt idx="1">
                  <c:v>0.04023892437556602</c:v>
                </c:pt>
                <c:pt idx="2">
                  <c:v>0.04023892437556602</c:v>
                </c:pt>
                <c:pt idx="3">
                  <c:v>0.04023892437556602</c:v>
                </c:pt>
                <c:pt idx="4">
                  <c:v>0.035122442880505436</c:v>
                </c:pt>
                <c:pt idx="5">
                  <c:v>0.04023892437556602</c:v>
                </c:pt>
                <c:pt idx="6">
                  <c:v>0.020822614955538103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419763927"/>
        <c:axId val="546506633"/>
      </c:barChart>
      <c:catAx>
        <c:axId val="141976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546506633"/>
        <c:crosses val="autoZero"/>
        <c:auto val="1"/>
        <c:lblAlgn val="ctr"/>
        <c:lblOffset val="100"/>
        <c:noMultiLvlLbl val="1"/>
      </c:catAx>
      <c:valAx>
        <c:axId val="54650663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41976392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CAS-HAM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Plots!$C$58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Plots!$R$57:$X$57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form CH4</c:v>
                </c:pt>
                <c:pt idx="6">
                  <c:v>iron</c:v>
                </c:pt>
              </c:strCache>
            </c:strRef>
          </c:cat>
          <c:val>
            <c:numRef>
              <c:f>Plots!$R$58:$X$58</c:f>
              <c:numCache>
                <c:formatCode>General</c:formatCode>
                <c:ptCount val="7"/>
                <c:pt idx="0">
                  <c:v>0.15898072092827725</c:v>
                </c:pt>
                <c:pt idx="1">
                  <c:v>0.1815867399549491</c:v>
                </c:pt>
                <c:pt idx="2">
                  <c:v>0.18529259179076438</c:v>
                </c:pt>
                <c:pt idx="3">
                  <c:v>0.16696112542855948</c:v>
                </c:pt>
                <c:pt idx="4">
                  <c:v>0.19852554119335733</c:v>
                </c:pt>
                <c:pt idx="5">
                  <c:v>0.3559985482460292</c:v>
                </c:pt>
                <c:pt idx="6">
                  <c:v>0.15799029413998145</c:v>
                </c:pt>
              </c:numCache>
            </c:numRef>
          </c:val>
        </c:ser>
        <c:ser>
          <c:idx val="1"/>
          <c:order val="1"/>
          <c:tx>
            <c:strRef>
              <c:f>Plots!$C$59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Plots!$R$57:$X$57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form CH4</c:v>
                </c:pt>
                <c:pt idx="6">
                  <c:v>iron</c:v>
                </c:pt>
              </c:strCache>
            </c:strRef>
          </c:cat>
          <c:val>
            <c:numRef>
              <c:f>Plots!$R$59:$X$59</c:f>
              <c:numCache>
                <c:formatCode>General</c:formatCode>
                <c:ptCount val="7"/>
                <c:pt idx="0">
                  <c:v>0</c:v>
                </c:pt>
                <c:pt idx="1">
                  <c:v>0.03540828232553705</c:v>
                </c:pt>
                <c:pt idx="2">
                  <c:v>0.036130900332180665</c:v>
                </c:pt>
                <c:pt idx="3">
                  <c:v>0.006620372939270232</c:v>
                </c:pt>
                <c:pt idx="4">
                  <c:v>0.0646771701186791</c:v>
                </c:pt>
                <c:pt idx="5">
                  <c:v>0.1159799314914631</c:v>
                </c:pt>
                <c:pt idx="6">
                  <c:v>0.14292818325285397</c:v>
                </c:pt>
              </c:numCache>
            </c:numRef>
          </c:val>
        </c:ser>
        <c:ser>
          <c:idx val="2"/>
          <c:order val="2"/>
          <c:tx>
            <c:strRef>
              <c:f>Plots!$C$60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Plots!$R$57:$X$57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form CH4</c:v>
                </c:pt>
                <c:pt idx="6">
                  <c:v>iron</c:v>
                </c:pt>
              </c:strCache>
            </c:strRef>
          </c:cat>
          <c:val>
            <c:numRef>
              <c:f>Plots!$R$60:$X$60</c:f>
              <c:numCache>
                <c:formatCode>General</c:formatCode>
                <c:ptCount val="7"/>
                <c:pt idx="0">
                  <c:v>0.000784861197463723</c:v>
                </c:pt>
                <c:pt idx="1">
                  <c:v>0.0008964633279583115</c:v>
                </c:pt>
                <c:pt idx="2">
                  <c:v>0.0009147584979166444</c:v>
                </c:pt>
                <c:pt idx="3">
                  <c:v>0.0008242591181409232</c:v>
                </c:pt>
                <c:pt idx="4">
                  <c:v>0.0007686943028818056</c:v>
                </c:pt>
                <c:pt idx="5">
                  <c:v>0.0013784324889681888</c:v>
                </c:pt>
                <c:pt idx="6">
                  <c:v>0.0007799716262595976</c:v>
                </c:pt>
              </c:numCache>
            </c:numRef>
          </c:val>
        </c:ser>
        <c:ser>
          <c:idx val="3"/>
          <c:order val="3"/>
          <c:tx>
            <c:strRef>
              <c:f>Plots!$C$61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Plots!$R$57:$X$57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form CH4</c:v>
                </c:pt>
                <c:pt idx="6">
                  <c:v>iron</c:v>
                </c:pt>
              </c:strCache>
            </c:strRef>
          </c:cat>
          <c:val>
            <c:numRef>
              <c:f>Plots!$R$61:$X$61</c:f>
              <c:numCache>
                <c:formatCode>General</c:formatCode>
                <c:ptCount val="7"/>
                <c:pt idx="0">
                  <c:v>0.06515227293510552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0.019784353546729375</c:v>
                </c:pt>
                <c:pt idx="5">
                  <c:v>0.03547755668255296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Plots!$C$62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Plots!$R$57:$X$57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form CH4</c:v>
                </c:pt>
                <c:pt idx="6">
                  <c:v>iron</c:v>
                </c:pt>
              </c:strCache>
            </c:strRef>
          </c:cat>
          <c:val>
            <c:numRef>
              <c:f>Plots!$R$62:$X$62</c:f>
              <c:numCache>
                <c:formatCode>General</c:formatCode>
                <c:ptCount val="7"/>
                <c:pt idx="0">
                  <c:v>0.0317182575711532</c:v>
                </c:pt>
                <c:pt idx="1">
                  <c:v>0.0030980976058889967</c:v>
                </c:pt>
                <c:pt idx="2">
                  <c:v>0.0031613240876418335</c:v>
                </c:pt>
                <c:pt idx="3">
                  <c:v>0.004968897685643401</c:v>
                </c:pt>
                <c:pt idx="4">
                  <c:v>0.017077087033052878</c:v>
                </c:pt>
                <c:pt idx="5">
                  <c:v>0.030622851626515714</c:v>
                </c:pt>
                <c:pt idx="6">
                  <c:v>0.000002984843339163658</c:v>
                </c:pt>
              </c:numCache>
            </c:numRef>
          </c:val>
        </c:ser>
        <c:ser>
          <c:idx val="5"/>
          <c:order val="5"/>
          <c:tx>
            <c:strRef>
              <c:f>Plots!$C$63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Plots!$R$57:$X$57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form CH4</c:v>
                </c:pt>
                <c:pt idx="6">
                  <c:v>iron</c:v>
                </c:pt>
              </c:strCache>
            </c:strRef>
          </c:cat>
          <c:val>
            <c:numRef>
              <c:f>Plots!$R$63:$X$63</c:f>
              <c:numCache>
                <c:formatCode>General</c:formatCode>
                <c:ptCount val="7"/>
                <c:pt idx="0">
                  <c:v>0.01783158304585511</c:v>
                </c:pt>
                <c:pt idx="1">
                  <c:v>0.008899991631445777</c:v>
                </c:pt>
                <c:pt idx="2">
                  <c:v>0.00908162411372018</c:v>
                </c:pt>
                <c:pt idx="3">
                  <c:v>0.014605135409504678</c:v>
                </c:pt>
                <c:pt idx="4">
                  <c:v>0.006828564924447976</c:v>
                </c:pt>
                <c:pt idx="5">
                  <c:v>0.012245070256927604</c:v>
                </c:pt>
                <c:pt idx="6">
                  <c:v>0.00981467751636203</c:v>
                </c:pt>
              </c:numCache>
            </c:numRef>
          </c:val>
        </c:ser>
        <c:ser>
          <c:idx val="6"/>
          <c:order val="6"/>
          <c:tx>
            <c:strRef>
              <c:f>Plots!$C$64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Plots!$R$57:$X$57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form CH4</c:v>
                </c:pt>
                <c:pt idx="6">
                  <c:v>iron</c:v>
                </c:pt>
              </c:strCache>
            </c:strRef>
          </c:cat>
          <c:val>
            <c:numRef>
              <c:f>Plots!$R$64:$X$64</c:f>
              <c:numCache>
                <c:formatCode>General</c:formatCode>
                <c:ptCount val="7"/>
                <c:pt idx="0">
                  <c:v>0.06474884556759285</c:v>
                </c:pt>
                <c:pt idx="1">
                  <c:v>0.006226708899730833</c:v>
                </c:pt>
                <c:pt idx="2">
                  <c:v>0.006353784591562075</c:v>
                </c:pt>
                <c:pt idx="3">
                  <c:v>0.009937795371286803</c:v>
                </c:pt>
                <c:pt idx="4">
                  <c:v>0.03433241089608643</c:v>
                </c:pt>
                <c:pt idx="5">
                  <c:v>0.06156531982395564</c:v>
                </c:pt>
                <c:pt idx="6">
                  <c:v>0.000005969686678327316</c:v>
                </c:pt>
              </c:numCache>
            </c:numRef>
          </c:val>
        </c:ser>
        <c:ser>
          <c:idx val="7"/>
          <c:order val="7"/>
          <c:tx>
            <c:strRef>
              <c:f>Plots!$C$65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Plots!$R$57:$X$57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form CH4</c:v>
                </c:pt>
                <c:pt idx="6">
                  <c:v>iron</c:v>
                </c:pt>
              </c:strCache>
            </c:strRef>
          </c:cat>
          <c:val>
            <c:numRef>
              <c:f>Plots!$R$65:$X$65</c:f>
              <c:numCache>
                <c:formatCode>General</c:formatCode>
                <c:ptCount val="7"/>
                <c:pt idx="0">
                  <c:v>0.019995365632340535</c:v>
                </c:pt>
                <c:pt idx="1">
                  <c:v>0</c:v>
                </c:pt>
                <c:pt idx="2">
                  <c:v>0.07612144487971338</c:v>
                </c:pt>
                <c:pt idx="3">
                  <c:v>0.09775895454769046</c:v>
                </c:pt>
                <c:pt idx="4">
                  <c:v>0</c:v>
                </c:pt>
                <c:pt idx="5">
                  <c:v>0.09308315643667531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Plots!$C$66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Plots!$R$57:$X$57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form CH4</c:v>
                </c:pt>
                <c:pt idx="6">
                  <c:v>iron</c:v>
                </c:pt>
              </c:strCache>
            </c:strRef>
          </c:cat>
          <c:val>
            <c:numRef>
              <c:f>Plots!$R$66:$X$66</c:f>
              <c:numCache>
                <c:formatCode>General</c:formatCode>
                <c:ptCount val="7"/>
                <c:pt idx="0">
                  <c:v>0.04023892437556602</c:v>
                </c:pt>
                <c:pt idx="1">
                  <c:v>0.04023892437556602</c:v>
                </c:pt>
                <c:pt idx="2">
                  <c:v>0.04023892437556602</c:v>
                </c:pt>
                <c:pt idx="3">
                  <c:v>0.04023892437556602</c:v>
                </c:pt>
                <c:pt idx="4">
                  <c:v>0.035122442880505436</c:v>
                </c:pt>
                <c:pt idx="5">
                  <c:v>0.04023892437556602</c:v>
                </c:pt>
                <c:pt idx="6">
                  <c:v>0.020822614955538103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419763927"/>
        <c:axId val="546506633"/>
      </c:barChart>
      <c:catAx>
        <c:axId val="141976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546506633"/>
        <c:crosses val="autoZero"/>
        <c:auto val="1"/>
        <c:lblAlgn val="ctr"/>
        <c:lblOffset val="100"/>
        <c:noMultiLvlLbl val="1"/>
      </c:catAx>
      <c:valAx>
        <c:axId val="54650663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41976392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YAN-HAM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Plots!$C$69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Plots!$R$68:$X$68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Plots!$R$69:$X$69</c:f>
              <c:numCache>
                <c:formatCode>General</c:formatCode>
                <c:ptCount val="7"/>
                <c:pt idx="0">
                  <c:v>0.15898072092827722</c:v>
                </c:pt>
                <c:pt idx="1">
                  <c:v>0.1815867399549491</c:v>
                </c:pt>
                <c:pt idx="2">
                  <c:v>0.18529259179076438</c:v>
                </c:pt>
                <c:pt idx="3">
                  <c:v>0.16696112542855948</c:v>
                </c:pt>
                <c:pt idx="4">
                  <c:v>0.19852554119335733</c:v>
                </c:pt>
                <c:pt idx="5">
                  <c:v>0.35599854824602917</c:v>
                </c:pt>
                <c:pt idx="6">
                  <c:v>0.15799029413998145</c:v>
                </c:pt>
              </c:numCache>
            </c:numRef>
          </c:val>
        </c:ser>
        <c:ser>
          <c:idx val="1"/>
          <c:order val="1"/>
          <c:tx>
            <c:strRef>
              <c:f>Plots!$C$70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Plots!$R$68:$X$68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Plots!$R$70:$X$70</c:f>
              <c:numCache>
                <c:formatCode>General</c:formatCode>
                <c:ptCount val="7"/>
                <c:pt idx="0">
                  <c:v>0</c:v>
                </c:pt>
                <c:pt idx="1">
                  <c:v>0.035408282325537055</c:v>
                </c:pt>
                <c:pt idx="2">
                  <c:v>0.036130900332180665</c:v>
                </c:pt>
                <c:pt idx="3">
                  <c:v>0.006620372939270234</c:v>
                </c:pt>
                <c:pt idx="4">
                  <c:v>0.0646771701186791</c:v>
                </c:pt>
                <c:pt idx="5">
                  <c:v>0.11597993149146309</c:v>
                </c:pt>
                <c:pt idx="6">
                  <c:v>0.14292818325285397</c:v>
                </c:pt>
              </c:numCache>
            </c:numRef>
          </c:val>
        </c:ser>
        <c:ser>
          <c:idx val="2"/>
          <c:order val="2"/>
          <c:tx>
            <c:strRef>
              <c:f>Plots!$C$71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Plots!$R$68:$X$68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Plots!$R$71:$X$71</c:f>
              <c:numCache>
                <c:formatCode>General</c:formatCode>
                <c:ptCount val="7"/>
                <c:pt idx="0">
                  <c:v>0.0007848611974637228</c:v>
                </c:pt>
                <c:pt idx="1">
                  <c:v>0.0008964633279583113</c:v>
                </c:pt>
                <c:pt idx="2">
                  <c:v>0.0009147584979166442</c:v>
                </c:pt>
                <c:pt idx="3">
                  <c:v>0.0008242591181409233</c:v>
                </c:pt>
                <c:pt idx="4">
                  <c:v>0.0007686943028818057</c:v>
                </c:pt>
                <c:pt idx="5">
                  <c:v>0.0013784324889681888</c:v>
                </c:pt>
                <c:pt idx="6">
                  <c:v>0.0007799716262595974</c:v>
                </c:pt>
              </c:numCache>
            </c:numRef>
          </c:val>
        </c:ser>
        <c:ser>
          <c:idx val="3"/>
          <c:order val="3"/>
          <c:tx>
            <c:strRef>
              <c:f>Plots!$C$72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Plots!$R$68:$X$68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Plots!$R$72:$X$72</c:f>
              <c:numCache>
                <c:formatCode>General</c:formatCode>
                <c:ptCount val="7"/>
                <c:pt idx="0">
                  <c:v>0.06515227293510552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0.019784353546729378</c:v>
                </c:pt>
                <c:pt idx="5">
                  <c:v>0.03547755668255296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Plots!$C$73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Plots!$R$68:$X$68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Plots!$R$73:$X$73</c:f>
              <c:numCache>
                <c:formatCode>General</c:formatCode>
                <c:ptCount val="7"/>
                <c:pt idx="0">
                  <c:v>0.031718257571153194</c:v>
                </c:pt>
                <c:pt idx="1">
                  <c:v>0.0030980976058889967</c:v>
                </c:pt>
                <c:pt idx="2">
                  <c:v>0.003161324087641833</c:v>
                </c:pt>
                <c:pt idx="3">
                  <c:v>0.004968897685643402</c:v>
                </c:pt>
                <c:pt idx="4">
                  <c:v>0.01707708703305288</c:v>
                </c:pt>
                <c:pt idx="5">
                  <c:v>0.030622851626515717</c:v>
                </c:pt>
                <c:pt idx="6">
                  <c:v>0.0000029848433391636578</c:v>
                </c:pt>
              </c:numCache>
            </c:numRef>
          </c:val>
        </c:ser>
        <c:ser>
          <c:idx val="5"/>
          <c:order val="5"/>
          <c:tx>
            <c:strRef>
              <c:f>Plots!$C$74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Plots!$R$68:$X$68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Plots!$R$74:$X$74</c:f>
              <c:numCache>
                <c:formatCode>General</c:formatCode>
                <c:ptCount val="7"/>
                <c:pt idx="0">
                  <c:v>0.04473642384142669</c:v>
                </c:pt>
                <c:pt idx="1">
                  <c:v>0.02176454677274716</c:v>
                </c:pt>
                <c:pt idx="2">
                  <c:v>0.022208721196680777</c:v>
                </c:pt>
                <c:pt idx="3">
                  <c:v>0.038016238677249216</c:v>
                </c:pt>
                <c:pt idx="4">
                  <c:v>0.015598292654117921</c:v>
                </c:pt>
                <c:pt idx="5">
                  <c:v>0.027971058568097652</c:v>
                </c:pt>
                <c:pt idx="6">
                  <c:v>0.024702605421828835</c:v>
                </c:pt>
              </c:numCache>
            </c:numRef>
          </c:val>
        </c:ser>
        <c:ser>
          <c:idx val="6"/>
          <c:order val="6"/>
          <c:tx>
            <c:strRef>
              <c:f>Plots!$C$75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Plots!$R$68:$X$68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Plots!$R$75:$X$75</c:f>
              <c:numCache>
                <c:formatCode>General</c:formatCode>
                <c:ptCount val="7"/>
                <c:pt idx="0">
                  <c:v>0.06474884556759285</c:v>
                </c:pt>
                <c:pt idx="1">
                  <c:v>0.0062267088997308324</c:v>
                </c:pt>
                <c:pt idx="2">
                  <c:v>0.006353784591562075</c:v>
                </c:pt>
                <c:pt idx="3">
                  <c:v>0.009937795371286804</c:v>
                </c:pt>
                <c:pt idx="4">
                  <c:v>0.034332410896086435</c:v>
                </c:pt>
                <c:pt idx="5">
                  <c:v>0.06156531982395563</c:v>
                </c:pt>
                <c:pt idx="6">
                  <c:v>0.0000059696866783273155</c:v>
                </c:pt>
              </c:numCache>
            </c:numRef>
          </c:val>
        </c:ser>
        <c:ser>
          <c:idx val="7"/>
          <c:order val="7"/>
          <c:tx>
            <c:strRef>
              <c:f>Plots!$C$76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Plots!$R$68:$X$68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Plots!$R$76:$X$76</c:f>
              <c:numCache>
                <c:formatCode>General</c:formatCode>
                <c:ptCount val="7"/>
                <c:pt idx="0">
                  <c:v>0.01999536563234053</c:v>
                </c:pt>
                <c:pt idx="1">
                  <c:v>0</c:v>
                </c:pt>
                <c:pt idx="2">
                  <c:v>0.0761214448797134</c:v>
                </c:pt>
                <c:pt idx="3">
                  <c:v>0.09775895454769047</c:v>
                </c:pt>
                <c:pt idx="4">
                  <c:v>0</c:v>
                </c:pt>
                <c:pt idx="5">
                  <c:v>0.09308315643667531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Plots!$C$77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Plots!$R$68:$X$68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Plots!$R$77:$X$77</c:f>
              <c:numCache>
                <c:formatCode>General</c:formatCode>
                <c:ptCount val="7"/>
                <c:pt idx="0">
                  <c:v>0.04023892437556602</c:v>
                </c:pt>
                <c:pt idx="1">
                  <c:v>0.04023892437556602</c:v>
                </c:pt>
                <c:pt idx="2">
                  <c:v>0.04023892437556602</c:v>
                </c:pt>
                <c:pt idx="3">
                  <c:v>0.04023892437556602</c:v>
                </c:pt>
                <c:pt idx="4">
                  <c:v>0.035122442880505436</c:v>
                </c:pt>
                <c:pt idx="5">
                  <c:v>0.04023892437556602</c:v>
                </c:pt>
                <c:pt idx="6">
                  <c:v>0.020822614955538103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754903972"/>
        <c:axId val="1206799760"/>
      </c:barChart>
      <c:catAx>
        <c:axId val="754903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206799760"/>
        <c:crosses val="autoZero"/>
        <c:auto val="1"/>
        <c:lblAlgn val="ctr"/>
        <c:lblOffset val="100"/>
        <c:noMultiLvlLbl val="1"/>
      </c:catAx>
      <c:valAx>
        <c:axId val="120679976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7549039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de-DE" b="0">
                <a:solidFill>
                  <a:srgbClr val="757575"/>
                </a:solidFill>
                <a:latin typeface="+mn-lt"/>
              </a:rPr>
              <a:t>HED-HAM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Plots!$C$80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Plots!$R$79:$X$79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Plots!$R$80:$X$80</c:f>
              <c:numCache>
                <c:formatCode>General</c:formatCode>
                <c:ptCount val="7"/>
                <c:pt idx="0">
                  <c:v>0.15898072092827722</c:v>
                </c:pt>
                <c:pt idx="1">
                  <c:v>0.18158673995494906</c:v>
                </c:pt>
                <c:pt idx="2">
                  <c:v>0.18529259179076435</c:v>
                </c:pt>
                <c:pt idx="3">
                  <c:v>0.1669611254285595</c:v>
                </c:pt>
                <c:pt idx="4">
                  <c:v>0.19852554119335736</c:v>
                </c:pt>
                <c:pt idx="5">
                  <c:v>0.3559985482460292</c:v>
                </c:pt>
                <c:pt idx="6">
                  <c:v>0.15799029413998147</c:v>
                </c:pt>
              </c:numCache>
            </c:numRef>
          </c:val>
        </c:ser>
        <c:ser>
          <c:idx val="1"/>
          <c:order val="1"/>
          <c:tx>
            <c:strRef>
              <c:f>Plots!$C$81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Plots!$R$79:$X$79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Plots!$R$81:$X$81</c:f>
              <c:numCache>
                <c:formatCode>General</c:formatCode>
                <c:ptCount val="7"/>
                <c:pt idx="0">
                  <c:v>0</c:v>
                </c:pt>
                <c:pt idx="1">
                  <c:v>0.03540828232553705</c:v>
                </c:pt>
                <c:pt idx="2">
                  <c:v>0.036130900332180665</c:v>
                </c:pt>
                <c:pt idx="3">
                  <c:v>0.006620372939270234</c:v>
                </c:pt>
                <c:pt idx="4">
                  <c:v>0.0646771701186791</c:v>
                </c:pt>
                <c:pt idx="5">
                  <c:v>0.1159799314914631</c:v>
                </c:pt>
                <c:pt idx="6">
                  <c:v>0.142928183252854</c:v>
                </c:pt>
              </c:numCache>
            </c:numRef>
          </c:val>
        </c:ser>
        <c:ser>
          <c:idx val="2"/>
          <c:order val="2"/>
          <c:tx>
            <c:strRef>
              <c:f>Plots!$C$82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Plots!$R$79:$X$79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Plots!$R$82:$X$82</c:f>
              <c:numCache>
                <c:formatCode>General</c:formatCode>
                <c:ptCount val="7"/>
                <c:pt idx="0">
                  <c:v>0.0007848611974637228</c:v>
                </c:pt>
                <c:pt idx="1">
                  <c:v>0.0008964633279583112</c:v>
                </c:pt>
                <c:pt idx="2">
                  <c:v>0.0009147584979166441</c:v>
                </c:pt>
                <c:pt idx="3">
                  <c:v>0.0008242591181409233</c:v>
                </c:pt>
                <c:pt idx="4">
                  <c:v>0.0007686943028818057</c:v>
                </c:pt>
                <c:pt idx="5">
                  <c:v>0.001378432488968189</c:v>
                </c:pt>
                <c:pt idx="6">
                  <c:v>0.0007799716262595975</c:v>
                </c:pt>
              </c:numCache>
            </c:numRef>
          </c:val>
        </c:ser>
        <c:ser>
          <c:idx val="3"/>
          <c:order val="3"/>
          <c:tx>
            <c:strRef>
              <c:f>Plots!$C$83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Plots!$R$79:$X$79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Plots!$R$83:$X$83</c:f>
              <c:numCache>
                <c:formatCode>General</c:formatCode>
                <c:ptCount val="7"/>
                <c:pt idx="0">
                  <c:v>0.0651522729351055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0.019784353546729378</c:v>
                </c:pt>
                <c:pt idx="5">
                  <c:v>0.03547755668255296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Plots!$C$84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Plots!$R$79:$X$79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Plots!$R$84:$X$84</c:f>
              <c:numCache>
                <c:formatCode>General</c:formatCode>
                <c:ptCount val="7"/>
                <c:pt idx="0">
                  <c:v>0.031718257571153194</c:v>
                </c:pt>
                <c:pt idx="1">
                  <c:v>0.003098097605888996</c:v>
                </c:pt>
                <c:pt idx="2">
                  <c:v>0.0031613240876418327</c:v>
                </c:pt>
                <c:pt idx="3">
                  <c:v>0.004968897685643403</c:v>
                </c:pt>
                <c:pt idx="4">
                  <c:v>0.017077087033052885</c:v>
                </c:pt>
                <c:pt idx="5">
                  <c:v>0.03062285162651572</c:v>
                </c:pt>
                <c:pt idx="6">
                  <c:v>0.0000029848433391636586</c:v>
                </c:pt>
              </c:numCache>
            </c:numRef>
          </c:val>
        </c:ser>
        <c:ser>
          <c:idx val="5"/>
          <c:order val="5"/>
          <c:tx>
            <c:strRef>
              <c:f>Plots!$C$85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Plots!$R$79:$X$79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Plots!$R$85:$X$85</c:f>
              <c:numCache>
                <c:formatCode>General</c:formatCode>
                <c:ptCount val="7"/>
                <c:pt idx="0">
                  <c:v>0.11204773321728037</c:v>
                </c:pt>
                <c:pt idx="1">
                  <c:v>0.0534094409354663</c:v>
                </c:pt>
                <c:pt idx="2">
                  <c:v>0.05449942952598602</c:v>
                </c:pt>
                <c:pt idx="3">
                  <c:v>0.11065381857545964</c:v>
                </c:pt>
                <c:pt idx="4">
                  <c:v>0.03668932914419461</c:v>
                </c:pt>
                <c:pt idx="5">
                  <c:v>0.0657917758739803</c:v>
                </c:pt>
                <c:pt idx="6">
                  <c:v>0.06345780191053917</c:v>
                </c:pt>
              </c:numCache>
            </c:numRef>
          </c:val>
        </c:ser>
        <c:ser>
          <c:idx val="6"/>
          <c:order val="6"/>
          <c:tx>
            <c:strRef>
              <c:f>Plots!$C$86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Plots!$R$79:$X$79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Plots!$R$86:$X$86</c:f>
              <c:numCache>
                <c:formatCode>General</c:formatCode>
                <c:ptCount val="7"/>
                <c:pt idx="0">
                  <c:v>0.06474884556759285</c:v>
                </c:pt>
                <c:pt idx="1">
                  <c:v>0.006226708899730832</c:v>
                </c:pt>
                <c:pt idx="2">
                  <c:v>0.006353784591562073</c:v>
                </c:pt>
                <c:pt idx="3">
                  <c:v>0.009937795371286806</c:v>
                </c:pt>
                <c:pt idx="4">
                  <c:v>0.034332410896086435</c:v>
                </c:pt>
                <c:pt idx="5">
                  <c:v>0.06156531982395564</c:v>
                </c:pt>
                <c:pt idx="6">
                  <c:v>0.000005969686678327317</c:v>
                </c:pt>
              </c:numCache>
            </c:numRef>
          </c:val>
        </c:ser>
        <c:ser>
          <c:idx val="7"/>
          <c:order val="7"/>
          <c:tx>
            <c:strRef>
              <c:f>Plots!$C$87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Plots!$R$79:$X$79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Plots!$R$87:$X$87</c:f>
              <c:numCache>
                <c:formatCode>General</c:formatCode>
                <c:ptCount val="7"/>
                <c:pt idx="0">
                  <c:v>0.01999536563234053</c:v>
                </c:pt>
                <c:pt idx="1">
                  <c:v>0</c:v>
                </c:pt>
                <c:pt idx="2">
                  <c:v>0.07612144487971337</c:v>
                </c:pt>
                <c:pt idx="3">
                  <c:v>0.09775895454769049</c:v>
                </c:pt>
                <c:pt idx="4">
                  <c:v>0</c:v>
                </c:pt>
                <c:pt idx="5">
                  <c:v>0.09308315643667531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Plots!$C$88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Plots!$R$79:$X$79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Plots!$R$88:$X$88</c:f>
              <c:numCache>
                <c:formatCode>General</c:formatCode>
                <c:ptCount val="7"/>
                <c:pt idx="0">
                  <c:v>0.04023892437556602</c:v>
                </c:pt>
                <c:pt idx="1">
                  <c:v>0.04023892437556602</c:v>
                </c:pt>
                <c:pt idx="2">
                  <c:v>0.04023892437556602</c:v>
                </c:pt>
                <c:pt idx="3">
                  <c:v>0.04023892437556602</c:v>
                </c:pt>
                <c:pt idx="4">
                  <c:v>0.035122442880505436</c:v>
                </c:pt>
                <c:pt idx="5">
                  <c:v>0.04023892437556602</c:v>
                </c:pt>
                <c:pt idx="6">
                  <c:v>0.020822614955538103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709221492"/>
        <c:axId val="1849889624"/>
      </c:barChart>
      <c:catAx>
        <c:axId val="17092214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849889624"/>
        <c:crosses val="autoZero"/>
        <c:auto val="1"/>
        <c:lblAlgn val="ctr"/>
        <c:lblOffset val="100"/>
        <c:noMultiLvlLbl val="1"/>
      </c:catAx>
      <c:valAx>
        <c:axId val="184988962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de-DE" b="0">
                    <a:solidFill>
                      <a:srgbClr val="000000"/>
                    </a:solidFill>
                    <a:latin typeface="+mn-lt"/>
                  </a:rPr>
                  <a:t>Electricity costs (USD/kWh_e)</a:t>
                </a:r>
                <a:endParaRPr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 bwMode="auto"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de-DE"/>
          </a:p>
        </c:txPr>
        <c:crossAx val="170922149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</c:sp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Versuch</a:t>
            </a:r>
            <a:endParaRPr/>
          </a:p>
          <a:p>
            <a:pPr>
              <a:defRPr/>
            </a:pPr>
            <a:endParaRPr lang="de-DE"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033245"/>
          <c:y val="0.064208"/>
          <c:w val="0.961590"/>
          <c:h val="0.81662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Plots!$Z$47</c:f>
              <c:strCache>
                <c:ptCount val="1"/>
                <c:pt idx="0">
                  <c:v>Elektrolyser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Plots!$AA$47:$BA$47</c:f>
              <c:numCache>
                <c:formatCode>General</c:formatCode>
                <c:ptCount val="27"/>
                <c:pt idx="0">
                  <c:v>0.04348733735888444</c:v>
                </c:pt>
                <c:pt idx="1">
                  <c:v>0.15898072092827722</c:v>
                </c:pt>
                <c:pt idx="2">
                  <c:v>0.4341445954901877</c:v>
                </c:pt>
                <c:pt idx="4">
                  <c:v>0.050172679182863715</c:v>
                </c:pt>
                <c:pt idx="5">
                  <c:v>0.1815867399549491</c:v>
                </c:pt>
                <c:pt idx="6">
                  <c:v>0.49086825855002997</c:v>
                </c:pt>
                <c:pt idx="8">
                  <c:v>0.05119661141108542</c:v>
                </c:pt>
                <c:pt idx="9">
                  <c:v>0.18529259179076438</c:v>
                </c:pt>
                <c:pt idx="10">
                  <c:v>0.5008859781122755</c:v>
                </c:pt>
                <c:pt idx="12">
                  <c:v>0.04392660339281256</c:v>
                </c:pt>
                <c:pt idx="13">
                  <c:v>0.16696112542855948</c:v>
                </c:pt>
                <c:pt idx="14">
                  <c:v>0.47273522620042663</c:v>
                </c:pt>
                <c:pt idx="16">
                  <c:v>0.05401071546976834</c:v>
                </c:pt>
                <c:pt idx="17">
                  <c:v>0.19852554119335736</c:v>
                </c:pt>
                <c:pt idx="18">
                  <c:v>0.5466538252063116</c:v>
                </c:pt>
                <c:pt idx="20">
                  <c:v>0.09292166102325737</c:v>
                </c:pt>
                <c:pt idx="21">
                  <c:v>0.3559985482460293</c:v>
                </c:pt>
                <c:pt idx="22">
                  <c:v>1.0314223117100219</c:v>
                </c:pt>
                <c:pt idx="24">
                  <c:v>0.04382034223237681</c:v>
                </c:pt>
                <c:pt idx="25">
                  <c:v>0.15799029413998145</c:v>
                </c:pt>
                <c:pt idx="26">
                  <c:v>0.4072068667244939</c:v>
                </c:pt>
              </c:numCache>
            </c:numRef>
          </c:val>
        </c:ser>
        <c:ser>
          <c:idx val="1"/>
          <c:order val="1"/>
          <c:tx>
            <c:strRef>
              <c:f>Plots!$Z$48</c:f>
              <c:strCache>
                <c:ptCount val="1"/>
                <c:pt idx="0">
                  <c:v>Conversion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Plots!$AA$48:$BA$48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0.010874496327375813</c:v>
                </c:pt>
                <c:pt idx="5">
                  <c:v>0.035408282325537055</c:v>
                </c:pt>
                <c:pt idx="6">
                  <c:v>0.09307848124836536</c:v>
                </c:pt>
                <c:pt idx="8">
                  <c:v>0.01109642482385287</c:v>
                </c:pt>
                <c:pt idx="9">
                  <c:v>0.036130900332180665</c:v>
                </c:pt>
                <c:pt idx="10">
                  <c:v>0.09497804209016875</c:v>
                </c:pt>
                <c:pt idx="12">
                  <c:v>0.0015568224126815144</c:v>
                </c:pt>
                <c:pt idx="13">
                  <c:v>0.006620372939270233</c:v>
                </c:pt>
                <c:pt idx="14">
                  <c:v>0.01964043083088087</c:v>
                </c:pt>
                <c:pt idx="16">
                  <c:v>0.008901766212012257</c:v>
                </c:pt>
                <c:pt idx="17">
                  <c:v>0.06467717011867909</c:v>
                </c:pt>
                <c:pt idx="18">
                  <c:v>0.19863675863021557</c:v>
                </c:pt>
                <c:pt idx="20">
                  <c:v>0.015314866601311412</c:v>
                </c:pt>
                <c:pt idx="21">
                  <c:v>0.11597993149146309</c:v>
                </c:pt>
                <c:pt idx="22">
                  <c:v>0.37478633703814257</c:v>
                </c:pt>
                <c:pt idx="24">
                  <c:v>0.07557832730597139</c:v>
                </c:pt>
                <c:pt idx="25">
                  <c:v>0.14292818325285397</c:v>
                </c:pt>
                <c:pt idx="26">
                  <c:v>0.21298718983937148</c:v>
                </c:pt>
              </c:numCache>
            </c:numRef>
          </c:val>
        </c:ser>
        <c:ser>
          <c:idx val="2"/>
          <c:order val="2"/>
          <c:tx>
            <c:strRef>
              <c:f>Plots!$Z$49</c:f>
              <c:strCache>
                <c:ptCount val="1"/>
                <c:pt idx="0">
                  <c:v>Water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Plots!$AA$49:$BA$49</c:f>
              <c:numCache>
                <c:formatCode>General</c:formatCode>
                <c:ptCount val="27"/>
                <c:pt idx="0">
                  <c:v>0.00034072329284106056</c:v>
                </c:pt>
                <c:pt idx="1">
                  <c:v>0.0007848611974637228</c:v>
                </c:pt>
                <c:pt idx="2">
                  <c:v>0.0018485996924671915</c:v>
                </c:pt>
                <c:pt idx="4">
                  <c:v>0.00039310294674435744</c:v>
                </c:pt>
                <c:pt idx="5">
                  <c:v>0.0008964633279583115</c:v>
                </c:pt>
                <c:pt idx="6">
                  <c:v>0.0020901306182861375</c:v>
                </c:pt>
                <c:pt idx="8">
                  <c:v>0.00040112545586158926</c:v>
                </c:pt>
                <c:pt idx="9">
                  <c:v>0.0009147584979166442</c:v>
                </c:pt>
                <c:pt idx="10">
                  <c:v>0.0021327863451899363</c:v>
                </c:pt>
                <c:pt idx="12">
                  <c:v>0.00034416494226369745</c:v>
                </c:pt>
                <c:pt idx="13">
                  <c:v>0.0008242591181409232</c:v>
                </c:pt>
                <c:pt idx="14">
                  <c:v>0.002012919665130942</c:v>
                </c:pt>
                <c:pt idx="16">
                  <c:v>0.00032142087562654886</c:v>
                </c:pt>
                <c:pt idx="17">
                  <c:v>0.0007686943028818057</c:v>
                </c:pt>
                <c:pt idx="18">
                  <c:v>0.0018738623391346728</c:v>
                </c:pt>
                <c:pt idx="20">
                  <c:v>0.000552982151615568</c:v>
                </c:pt>
                <c:pt idx="21">
                  <c:v>0.001378432488968189</c:v>
                </c:pt>
                <c:pt idx="22">
                  <c:v>0.0035355893191220244</c:v>
                </c:pt>
                <c:pt idx="24">
                  <c:v>0.0002607773781198904</c:v>
                </c:pt>
                <c:pt idx="25">
                  <c:v>0.0007799716262595974</c:v>
                </c:pt>
                <c:pt idx="26">
                  <c:v>0.0017338980985067715</c:v>
                </c:pt>
              </c:numCache>
            </c:numRef>
          </c:val>
        </c:ser>
        <c:ser>
          <c:idx val="3"/>
          <c:order val="3"/>
          <c:tx>
            <c:strRef>
              <c:f>Plots!$Z$50</c:f>
              <c:strCache>
                <c:ptCount val="1"/>
                <c:pt idx="0">
                  <c:v>Liquefaction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Plots!$AA$50:$BA$50</c:f>
              <c:numCache>
                <c:formatCode>General</c:formatCode>
                <c:ptCount val="27"/>
                <c:pt idx="0">
                  <c:v>0.01929199094982174</c:v>
                </c:pt>
                <c:pt idx="1">
                  <c:v>0.06515227293510552</c:v>
                </c:pt>
                <c:pt idx="2">
                  <c:v>0.18696553473351504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0.005843141050232235</c:v>
                </c:pt>
                <c:pt idx="17">
                  <c:v>0.019784353546729378</c:v>
                </c:pt>
                <c:pt idx="18">
                  <c:v>0.057028141079318584</c:v>
                </c:pt>
                <c:pt idx="20">
                  <c:v>0.010052715785345782</c:v>
                </c:pt>
                <c:pt idx="21">
                  <c:v>0.035477556682552966</c:v>
                </c:pt>
                <c:pt idx="22">
                  <c:v>0.10760026618739356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Plots!$Z$51</c:f>
              <c:strCache>
                <c:ptCount val="1"/>
                <c:pt idx="0">
                  <c:v>Storage production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Plots!$AA$51:$BA$51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Plots!$Z$52</c:f>
              <c:strCache>
                <c:ptCount val="1"/>
                <c:pt idx="0">
                  <c:v>Transport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Plots!$AA$52:$BA$52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6"/>
          <c:order val="6"/>
          <c:tx>
            <c:strRef>
              <c:f>Plots!$Z$53</c:f>
              <c:strCache>
                <c:ptCount val="1"/>
                <c:pt idx="0">
                  <c:v>Storage utilization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Plots!$AA$53:$BA$53</c:f>
              <c:numCache>
                <c:formatCode>General</c:formatCode>
                <c:ptCount val="27"/>
                <c:pt idx="0">
                  <c:v>0.022780550041458715</c:v>
                </c:pt>
                <c:pt idx="1">
                  <c:v>0.06474884556759285</c:v>
                </c:pt>
                <c:pt idx="2">
                  <c:v>0.1762804791067249</c:v>
                </c:pt>
                <c:pt idx="4">
                  <c:v>0.003406370538904134</c:v>
                </c:pt>
                <c:pt idx="5">
                  <c:v>0.0062267088997308324</c:v>
                </c:pt>
                <c:pt idx="6">
                  <c:v>0.012362010470870126</c:v>
                </c:pt>
                <c:pt idx="8">
                  <c:v>0.0034758883050042184</c:v>
                </c:pt>
                <c:pt idx="9">
                  <c:v>0.006353784591562073</c:v>
                </c:pt>
                <c:pt idx="10">
                  <c:v>0.012614296398847067</c:v>
                </c:pt>
                <c:pt idx="12">
                  <c:v>0.00421714636738723</c:v>
                </c:pt>
                <c:pt idx="13">
                  <c:v>0.009937795371286804</c:v>
                </c:pt>
                <c:pt idx="14">
                  <c:v>0.021857952723751725</c:v>
                </c:pt>
                <c:pt idx="16">
                  <c:v>0.0025101067791075257</c:v>
                </c:pt>
                <c:pt idx="17">
                  <c:v>0.03433241089608643</c:v>
                </c:pt>
                <c:pt idx="18">
                  <c:v>0.11655985823442354</c:v>
                </c:pt>
                <c:pt idx="20">
                  <c:v>0.004318463275883915</c:v>
                </c:pt>
                <c:pt idx="21">
                  <c:v>0.06156531982395564</c:v>
                </c:pt>
                <c:pt idx="22">
                  <c:v>0.21992426081966704</c:v>
                </c:pt>
                <c:pt idx="24">
                  <c:v>0.000005671202344410949</c:v>
                </c:pt>
                <c:pt idx="25">
                  <c:v>0.000005969686678327315</c:v>
                </c:pt>
                <c:pt idx="26">
                  <c:v>0.000006301335938234388</c:v>
                </c:pt>
              </c:numCache>
            </c:numRef>
          </c:val>
        </c:ser>
        <c:ser>
          <c:idx val="7"/>
          <c:order val="7"/>
          <c:tx>
            <c:strRef>
              <c:f>Plots!$Z$54</c:f>
              <c:strCache>
                <c:ptCount val="1"/>
                <c:pt idx="0">
                  <c:v>Reconversion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Plots!$AA$54:$BA$54</c:f>
              <c:numCache>
                <c:formatCode>General</c:formatCode>
                <c:ptCount val="27"/>
                <c:pt idx="0">
                  <c:v>0.004981599455018656</c:v>
                </c:pt>
                <c:pt idx="1">
                  <c:v>0.01999536563234053</c:v>
                </c:pt>
                <c:pt idx="2">
                  <c:v>0.07352312458938697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0.028143873352985533</c:v>
                </c:pt>
                <c:pt idx="9">
                  <c:v>0.07612144487971337</c:v>
                </c:pt>
                <c:pt idx="10">
                  <c:v>0.30323754301571076</c:v>
                </c:pt>
                <c:pt idx="12">
                  <c:v>0.04506315241005555</c:v>
                </c:pt>
                <c:pt idx="13">
                  <c:v>0.09775895454769049</c:v>
                </c:pt>
                <c:pt idx="14">
                  <c:v>0.2771810767022298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0.05646580155212566</c:v>
                </c:pt>
                <c:pt idx="21">
                  <c:v>0.09308315643667532</c:v>
                </c:pt>
                <c:pt idx="22">
                  <c:v>0.18231300535609946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Plots!$Z$55</c:f>
              <c:strCache>
                <c:ptCount val="1"/>
                <c:pt idx="0">
                  <c:v>Utilization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Plots!$AA$55:$BA$55</c:f>
              <c:numCache>
                <c:formatCode>General</c:formatCode>
                <c:ptCount val="27"/>
                <c:pt idx="0">
                  <c:v>0.024189398809287922</c:v>
                </c:pt>
                <c:pt idx="1">
                  <c:v>0.04023892437556602</c:v>
                </c:pt>
                <c:pt idx="2">
                  <c:v>0.06828057755799903</c:v>
                </c:pt>
                <c:pt idx="4">
                  <c:v>0.024189398809287922</c:v>
                </c:pt>
                <c:pt idx="5">
                  <c:v>0.04023892437556602</c:v>
                </c:pt>
                <c:pt idx="6">
                  <c:v>0.06828057755799903</c:v>
                </c:pt>
                <c:pt idx="8">
                  <c:v>0.024189398809287922</c:v>
                </c:pt>
                <c:pt idx="9">
                  <c:v>0.04023892437556602</c:v>
                </c:pt>
                <c:pt idx="10">
                  <c:v>0.06828057755799903</c:v>
                </c:pt>
                <c:pt idx="12">
                  <c:v>0.02418939880928792</c:v>
                </c:pt>
                <c:pt idx="13">
                  <c:v>0.04023892437556602</c:v>
                </c:pt>
                <c:pt idx="14">
                  <c:v>0.06828057755799903</c:v>
                </c:pt>
                <c:pt idx="16">
                  <c:v>0.02289384122665432</c:v>
                </c:pt>
                <c:pt idx="17">
                  <c:v>0.035122442880505436</c:v>
                </c:pt>
                <c:pt idx="18">
                  <c:v>0.06066917676002661</c:v>
                </c:pt>
                <c:pt idx="20">
                  <c:v>0.024189398809287922</c:v>
                </c:pt>
                <c:pt idx="21">
                  <c:v>0.04023892437556602</c:v>
                </c:pt>
                <c:pt idx="22">
                  <c:v>0.06828057755799903</c:v>
                </c:pt>
                <c:pt idx="24">
                  <c:v>0.010436556778254301</c:v>
                </c:pt>
                <c:pt idx="25">
                  <c:v>0.020822614955538103</c:v>
                </c:pt>
                <c:pt idx="26">
                  <c:v>0.05573326554874335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0"/>
        <c:overlap val="100"/>
        <c:axId val="972370351"/>
        <c:axId val="968457231"/>
      </c:barChart>
      <c:catAx>
        <c:axId val="97237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8457231"/>
        <c:crosses val="autoZero"/>
        <c:auto val="1"/>
        <c:lblAlgn val="ctr"/>
        <c:lblOffset val="100"/>
        <c:noMultiLvlLbl val="0"/>
      </c:catAx>
      <c:valAx>
        <c:axId val="968457231"/>
        <c:scaling>
          <c:orientation val="minMax"/>
          <c:max val="2.000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2370351"/>
        <c:crosses val="autoZero"/>
        <c:crossBetween val="between"/>
      </c:valAx>
      <c:spPr bwMode="auto">
        <a:prstGeom prst="rect">
          <a:avLst/>
        </a:prstGeom>
        <a:noFill/>
        <a:ln w="25400"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Plots!$C$36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Plots!$R$36:$X$36</c:f>
              <c:numCache>
                <c:formatCode>General</c:formatCode>
                <c:ptCount val="7"/>
                <c:pt idx="0">
                  <c:v>0.20902626633167393</c:v>
                </c:pt>
                <c:pt idx="1">
                  <c:v>0.2465369411240741</c:v>
                </c:pt>
                <c:pt idx="2">
                  <c:v>0.21508268824651575</c:v>
                </c:pt>
                <c:pt idx="3">
                  <c:v>0.1793005652032249</c:v>
                </c:pt>
                <c:pt idx="4">
                  <c:v>0.23378814601360398</c:v>
                </c:pt>
                <c:pt idx="5">
                  <c:v>0.22020858918811093</c:v>
                </c:pt>
                <c:pt idx="6">
                  <c:v>0.18037947552222838</c:v>
                </c:pt>
              </c:numCache>
            </c:numRef>
          </c:val>
        </c:ser>
        <c:ser>
          <c:idx val="1"/>
          <c:order val="1"/>
          <c:tx>
            <c:strRef>
              <c:f>Plots!$C$37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Plots!$R$37:$X$37</c:f>
              <c:numCache>
                <c:formatCode>General</c:formatCode>
                <c:ptCount val="7"/>
                <c:pt idx="0">
                  <c:v>0</c:v>
                </c:pt>
                <c:pt idx="1">
                  <c:v>0.1713392410012971</c:v>
                </c:pt>
                <c:pt idx="2">
                  <c:v>0.14947903705080098</c:v>
                </c:pt>
                <c:pt idx="3">
                  <c:v>0.02213205438799106</c:v>
                </c:pt>
                <c:pt idx="4">
                  <c:v>0.28084912536179246</c:v>
                </c:pt>
                <c:pt idx="5">
                  <c:v>0.26453603711385987</c:v>
                </c:pt>
                <c:pt idx="6">
                  <c:v>0.20635276217975487</c:v>
                </c:pt>
              </c:numCache>
            </c:numRef>
          </c:val>
        </c:ser>
        <c:ser>
          <c:idx val="2"/>
          <c:order val="2"/>
          <c:tx>
            <c:strRef>
              <c:f>Plots!$C$38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Plots!$R$38:$X$38</c:f>
              <c:numCache>
                <c:formatCode>General</c:formatCode>
                <c:ptCount val="7"/>
                <c:pt idx="0">
                  <c:v>0.0006843926953049845</c:v>
                </c:pt>
                <c:pt idx="1">
                  <c:v>0.000807209948248457</c:v>
                </c:pt>
                <c:pt idx="2">
                  <c:v>0.0007042225998952149</c:v>
                </c:pt>
                <c:pt idx="3">
                  <c:v>0.0005870649619432603</c:v>
                </c:pt>
                <c:pt idx="4">
                  <c:v>0.0006003656919932245</c:v>
                </c:pt>
                <c:pt idx="5">
                  <c:v>0.000565493521742026</c:v>
                </c:pt>
                <c:pt idx="6">
                  <c:v>0.0005905975244014322</c:v>
                </c:pt>
              </c:numCache>
            </c:numRef>
          </c:val>
        </c:ser>
        <c:ser>
          <c:idx val="3"/>
          <c:order val="3"/>
          <c:tx>
            <c:strRef>
              <c:f>Plots!$C$39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Plots!$R$39:$X$39</c:f>
              <c:numCache>
                <c:formatCode>General</c:formatCode>
                <c:ptCount val="7"/>
                <c:pt idx="0">
                  <c:v>0.15626455777389076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0.022717629387381925</c:v>
                </c:pt>
                <c:pt idx="5">
                  <c:v>0.021398078569828956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Plots!$C$40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Plots!$R$40:$X$40</c:f>
              <c:numCache>
                <c:formatCode>General</c:formatCode>
                <c:ptCount val="7"/>
                <c:pt idx="0">
                  <c:v>0.00427238787199255</c:v>
                </c:pt>
                <c:pt idx="1">
                  <c:v>0.0000989588387456855</c:v>
                </c:pt>
                <c:pt idx="2">
                  <c:v>0.00008633324063375873</c:v>
                </c:pt>
                <c:pt idx="3">
                  <c:v>0</c:v>
                </c:pt>
                <c:pt idx="4">
                  <c:v>0.0005027814700513654</c:v>
                </c:pt>
                <c:pt idx="5">
                  <c:v>0.0004735774677963916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Plots!$C$41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Plots!$R$41:$X$41</c:f>
              <c:numCache>
                <c:formatCode>General</c:formatCode>
                <c:ptCount val="7"/>
                <c:pt idx="0">
                  <c:v>0.11252091140724084</c:v>
                </c:pt>
                <c:pt idx="1">
                  <c:v>0.07576219427426943</c:v>
                </c:pt>
                <c:pt idx="2">
                  <c:v>0.06609612473354992</c:v>
                </c:pt>
                <c:pt idx="3">
                  <c:v>0.17809545620491912</c:v>
                </c:pt>
                <c:pt idx="4">
                  <c:v>0.036741824562911904</c:v>
                </c:pt>
                <c:pt idx="5">
                  <c:v>0.03460768002636502</c:v>
                </c:pt>
                <c:pt idx="6">
                  <c:v>0.08783030760172401</c:v>
                </c:pt>
              </c:numCache>
            </c:numRef>
          </c:val>
        </c:ser>
        <c:ser>
          <c:idx val="6"/>
          <c:order val="6"/>
          <c:tx>
            <c:strRef>
              <c:f>Plots!$C$42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Plots!$R$42:$X$42</c:f>
              <c:numCache>
                <c:formatCode>General</c:formatCode>
                <c:ptCount val="7"/>
                <c:pt idx="0">
                  <c:v>0.00831142102371821</c:v>
                </c:pt>
                <c:pt idx="1">
                  <c:v>0.0001962065476789306</c:v>
                </c:pt>
                <c:pt idx="2">
                  <c:v>0.00017117366482256443</c:v>
                </c:pt>
                <c:pt idx="3">
                  <c:v>0</c:v>
                </c:pt>
                <c:pt idx="4">
                  <c:v>0.0009953855642398015</c:v>
                </c:pt>
                <c:pt idx="5">
                  <c:v>0.0009375687114038015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Plots!$C$43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Plots!$R$43:$X$43</c:f>
              <c:numCache>
                <c:formatCode>General</c:formatCode>
                <c:ptCount val="7"/>
                <c:pt idx="0">
                  <c:v>0.019622783194362305</c:v>
                </c:pt>
                <c:pt idx="1">
                  <c:v>0</c:v>
                </c:pt>
                <c:pt idx="2">
                  <c:v>0.13640026144480527</c:v>
                </c:pt>
                <c:pt idx="3">
                  <c:v>0.2202322109067691</c:v>
                </c:pt>
                <c:pt idx="4">
                  <c:v>0</c:v>
                </c:pt>
                <c:pt idx="5">
                  <c:v>0.22707450808623897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Plots!$C$44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Plots!$R$44:$X$44</c:f>
              <c:numCache>
                <c:formatCode>General</c:formatCode>
                <c:ptCount val="7"/>
                <c:pt idx="0">
                  <c:v>0.2022021008367756</c:v>
                </c:pt>
                <c:pt idx="1">
                  <c:v>0.20879838434579484</c:v>
                </c:pt>
                <c:pt idx="2">
                  <c:v>0.178515800714592</c:v>
                </c:pt>
                <c:pt idx="3">
                  <c:v>0.1651564569245018</c:v>
                </c:pt>
                <c:pt idx="4">
                  <c:v>0.16666121477106097</c:v>
                </c:pt>
                <c:pt idx="5">
                  <c:v>0.09512951661778075</c:v>
                </c:pt>
                <c:pt idx="6">
                  <c:v>0.2755446000152429</c:v>
                </c:pt>
              </c:numCache>
            </c:numRef>
          </c:val>
        </c:ser>
        <c:ser>
          <c:idx val="9"/>
          <c:order val="9"/>
          <c:tx>
            <c:strRef>
              <c:f>Plots!$C$45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Plots!$R$45:$X$45</c:f>
              <c:numCache>
                <c:formatCode>General</c:formatCode>
                <c:ptCount val="7"/>
                <c:pt idx="0">
                  <c:v>0.28709517886504077</c:v>
                </c:pt>
                <c:pt idx="1">
                  <c:v>0.29646086391989146</c:v>
                </c:pt>
                <c:pt idx="2">
                  <c:v>0.2534643583043845</c:v>
                </c:pt>
                <c:pt idx="3">
                  <c:v>0.2344961914106508</c:v>
                </c:pt>
                <c:pt idx="4">
                  <c:v>0.2571435271769644</c:v>
                </c:pt>
                <c:pt idx="5">
                  <c:v>0.1350689506968732</c:v>
                </c:pt>
                <c:pt idx="6">
                  <c:v>0.24930225715664833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843335064"/>
        <c:axId val="915009826"/>
      </c:barChart>
      <c:catAx>
        <c:axId val="184333506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5009826"/>
        <c:crosses val="autoZero"/>
        <c:auto val="1"/>
        <c:lblAlgn val="ctr"/>
        <c:lblOffset val="100"/>
        <c:noMultiLvlLbl val="1"/>
      </c:catAx>
      <c:valAx>
        <c:axId val="9150098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noFill/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W_loss/W_tot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8433350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007469"/>
          <c:y val="0.892769"/>
          <c:w val="0.992531"/>
          <c:h val="0.107231"/>
        </c:manualLayout>
      </c:layout>
      <c:overlay val="0"/>
      <c:txPr>
        <a:bodyPr/>
        <a:lstStyle/>
        <a:p>
          <a:pPr algn="ctr">
            <a:defRPr sz="1200"/>
          </a:pPr>
          <a:endParaRPr lang="de-DE"/>
        </a:p>
      </c:txPr>
    </c:legend>
    <c:plotVisOnly val="1"/>
    <c:dispBlanksAs val="zero"/>
    <c:showDLblsOverMax val="1"/>
  </c:chart>
  <c:spPr bwMode="auto">
    <a:xfrm>
      <a:off x="15361228" y="16430008"/>
      <a:ext cx="7427643" cy="7455476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/>
            </a:pPr>
            <a:r>
              <a:rPr lang="de-DE" sz="1800" b="1"/>
              <a:t>Local</a:t>
            </a:r>
            <a:endParaRPr/>
          </a:p>
        </c:rich>
      </c:tx>
      <c:layout>
        <c:manualLayout>
          <c:xMode val="edge"/>
          <c:yMode val="edge"/>
          <c:x val="0.412879"/>
          <c:y val="0.05365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9541"/>
          <c:y val="0.172892"/>
          <c:w val="0.749274"/>
          <c:h val="0.623235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Plots!$C$3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Plots!$R$3:$X$3</c:f>
              <c:numCache>
                <c:formatCode>General</c:formatCode>
                <c:ptCount val="7"/>
                <c:pt idx="0">
                  <c:v>0.23666743714816926</c:v>
                </c:pt>
                <c:pt idx="1">
                  <c:v>0.26677478384827996</c:v>
                </c:pt>
                <c:pt idx="2">
                  <c:v>0.23032624529618181</c:v>
                </c:pt>
                <c:pt idx="3">
                  <c:v>0.2181525416264501</c:v>
                </c:pt>
                <c:pt idx="4">
                  <c:v>0.24283234088180924</c:v>
                </c:pt>
                <c:pt idx="5">
                  <c:v>0.22821464594649898</c:v>
                </c:pt>
                <c:pt idx="6">
                  <c:v>0.19774771846231243</c:v>
                </c:pt>
              </c:numCache>
            </c:numRef>
          </c:val>
        </c:ser>
        <c:ser>
          <c:idx val="1"/>
          <c:order val="1"/>
          <c:tx>
            <c:strRef>
              <c:f>Plots!$C$4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Plots!$R$4:$X$4</c:f>
              <c:numCache>
                <c:formatCode>General</c:formatCode>
                <c:ptCount val="7"/>
                <c:pt idx="0">
                  <c:v>0</c:v>
                </c:pt>
                <c:pt idx="1">
                  <c:v>0.18540421883406738</c:v>
                </c:pt>
                <c:pt idx="2">
                  <c:v>0.16007306601514731</c:v>
                </c:pt>
                <c:pt idx="3">
                  <c:v>0.02692776740933675</c:v>
                </c:pt>
                <c:pt idx="4">
                  <c:v>0.291713894434341</c:v>
                </c:pt>
                <c:pt idx="5">
                  <c:v>0.2741536934259096</c:v>
                </c:pt>
                <c:pt idx="6">
                  <c:v>0.22622190136268644</c:v>
                </c:pt>
              </c:numCache>
            </c:numRef>
          </c:val>
        </c:ser>
        <c:ser>
          <c:idx val="2"/>
          <c:order val="2"/>
          <c:tx>
            <c:strRef>
              <c:f>Plots!$C$5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Plots!$R$5:$X$5</c:f>
              <c:numCache>
                <c:formatCode>General</c:formatCode>
                <c:ptCount val="7"/>
                <c:pt idx="0">
                  <c:v>0.0007748952705482043</c:v>
                </c:pt>
                <c:pt idx="1">
                  <c:v>0.0008734725858215175</c:v>
                </c:pt>
                <c:pt idx="2">
                  <c:v>0.0007541329737365064</c:v>
                </c:pt>
                <c:pt idx="3">
                  <c:v>0.0007142738975898304</c:v>
                </c:pt>
                <c:pt idx="4">
                  <c:v>0.0006235910967160322</c:v>
                </c:pt>
                <c:pt idx="5">
                  <c:v>0.0005860529978653228</c:v>
                </c:pt>
                <c:pt idx="6">
                  <c:v>0.0006474645335437897</c:v>
                </c:pt>
              </c:numCache>
            </c:numRef>
          </c:val>
        </c:ser>
        <c:ser>
          <c:idx val="3"/>
          <c:order val="3"/>
          <c:tx>
            <c:strRef>
              <c:f>Plots!$C$6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Plots!$R$6:$X$6</c:f>
              <c:numCache>
                <c:formatCode>General</c:formatCode>
                <c:ptCount val="7"/>
                <c:pt idx="0">
                  <c:v>0.17692863702954983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0.023596470640142437</c:v>
                </c:pt>
                <c:pt idx="5">
                  <c:v>0.022176042009775243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Plots!$C$7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Plots!$R$7:$X$7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Plots!$C$8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Plots!$R$8:$X$8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strRef>
              <c:f>Plots!$C$9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Plots!$R$9:$X$9</c:f>
              <c:numCache>
                <c:formatCode>General</c:formatCode>
                <c:ptCount val="7"/>
                <c:pt idx="0">
                  <c:v>0.009410504944013031</c:v>
                </c:pt>
                <c:pt idx="1">
                  <c:v>0.00021231284491494352</c:v>
                </c:pt>
                <c:pt idx="2">
                  <c:v>0.00018330525731105295</c:v>
                </c:pt>
                <c:pt idx="3">
                  <c:v>0</c:v>
                </c:pt>
                <c:pt idx="4">
                  <c:v>0.001033892482428265</c:v>
                </c:pt>
                <c:pt idx="5">
                  <c:v>0.0009716556121285103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Plots!$C$10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Plots!$R$10:$X$10</c:f>
              <c:numCache>
                <c:formatCode>General</c:formatCode>
                <c:ptCount val="7"/>
                <c:pt idx="0">
                  <c:v>0.022217656612374577</c:v>
                </c:pt>
                <c:pt idx="1">
                  <c:v>0</c:v>
                </c:pt>
                <c:pt idx="2">
                  <c:v>0.1460673582431313</c:v>
                </c:pt>
                <c:pt idx="3">
                  <c:v>0.26795351427291525</c:v>
                </c:pt>
                <c:pt idx="4">
                  <c:v>0</c:v>
                </c:pt>
                <c:pt idx="5">
                  <c:v>0.23533018697153657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Plots!$C$11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Plots!$R$11:$X$11</c:f>
              <c:numCache>
                <c:formatCode>General</c:formatCode>
                <c:ptCount val="7"/>
                <c:pt idx="0">
                  <c:v>0.22894085911232637</c:v>
                </c:pt>
                <c:pt idx="1">
                  <c:v>0.22593832631226812</c:v>
                </c:pt>
                <c:pt idx="2">
                  <c:v>0.19116775245763876</c:v>
                </c:pt>
                <c:pt idx="3">
                  <c:v>0.20094359882949983</c:v>
                </c:pt>
                <c:pt idx="4">
                  <c:v>0.1731085754651894</c:v>
                </c:pt>
                <c:pt idx="5">
                  <c:v>0.09858811154474506</c:v>
                </c:pt>
                <c:pt idx="6">
                  <c:v>0.3020760307117651</c:v>
                </c:pt>
              </c:numCache>
            </c:numRef>
          </c:val>
        </c:ser>
        <c:ser>
          <c:idx val="9"/>
          <c:order val="9"/>
          <c:tx>
            <c:strRef>
              <c:f>Plots!$C$12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Plots!$R$12:$X$12</c:f>
              <c:numCache>
                <c:formatCode>General</c:formatCode>
                <c:ptCount val="7"/>
                <c:pt idx="0">
                  <c:v>0.32506000988301875</c:v>
                </c:pt>
                <c:pt idx="1">
                  <c:v>0.320796885574648</c:v>
                </c:pt>
                <c:pt idx="2">
                  <c:v>0.2714281397568533</c:v>
                </c:pt>
                <c:pt idx="3">
                  <c:v>0.28530830396420825</c:v>
                </c:pt>
                <c:pt idx="4">
                  <c:v>0.2670912349993736</c:v>
                </c:pt>
                <c:pt idx="5">
                  <c:v>0.1399796114915406</c:v>
                </c:pt>
                <c:pt idx="6">
                  <c:v>0.27330688492969224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574952996"/>
        <c:axId val="2003426937"/>
      </c:barChart>
      <c:catAx>
        <c:axId val="1574952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03426937"/>
        <c:crosses val="autoZero"/>
        <c:auto val="1"/>
        <c:lblAlgn val="ctr"/>
        <c:lblOffset val="100"/>
        <c:noMultiLvlLbl val="1"/>
      </c:catAx>
      <c:valAx>
        <c:axId val="200342693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i</a:t>
                </a: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/W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574952996"/>
        <c:crosses val="autoZero"/>
        <c:crossBetween val="between"/>
      </c:valAx>
    </c:plotArea>
    <c:plotVisOnly val="1"/>
    <c:dispBlanksAs val="zero"/>
    <c:showDLblsOverMax val="1"/>
  </c:chart>
  <c:spPr bwMode="auto">
    <a:xfrm>
      <a:off x="15374980" y="16155549"/>
      <a:ext cx="3692337" cy="3471151"/>
    </a:xfrm>
    <a:prstGeom prst="rect">
      <a:avLst/>
    </a:prstGeom>
    <a:ln>
      <a:noFill/>
    </a:ln>
  </c:spPr>
  <c:txPr>
    <a:bodyPr/>
    <a:lstStyle/>
    <a:p>
      <a:pPr>
        <a:defRPr lang="en-US" sz="1000" b="0" i="0" u="none" strike="noStrike">
          <a:solidFill>
            <a:schemeClr val="tx1"/>
          </a:solidFill>
          <a:latin typeface="Charter"/>
          <a:ea typeface="+mn-ea"/>
          <a:cs typeface="+mn-cs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YAN-HAM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Plots!$C$25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Plots!$R$25:$X$25</c:f>
              <c:numCache>
                <c:formatCode>General</c:formatCode>
                <c:ptCount val="7"/>
                <c:pt idx="0">
                  <c:v>0.22486973649674566</c:v>
                </c:pt>
                <c:pt idx="1">
                  <c:v>0.2584977077168879</c:v>
                </c:pt>
                <c:pt idx="2">
                  <c:v>0.22413013475679613</c:v>
                </c:pt>
                <c:pt idx="3">
                  <c:v>0.20468382331036095</c:v>
                </c:pt>
                <c:pt idx="4">
                  <c:v>0.23903305733227417</c:v>
                </c:pt>
                <c:pt idx="5">
                  <c:v>0.2248558401142358</c:v>
                </c:pt>
                <c:pt idx="6">
                  <c:v>0.19066664214998932</c:v>
                </c:pt>
              </c:numCache>
            </c:numRef>
          </c:val>
        </c:ser>
        <c:ser>
          <c:idx val="1"/>
          <c:order val="1"/>
          <c:tx>
            <c:strRef>
              <c:f>Plots!$C$26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Plots!$R$26:$X$26</c:f>
              <c:numCache>
                <c:formatCode>General</c:formatCode>
                <c:ptCount val="7"/>
                <c:pt idx="0">
                  <c:v>0</c:v>
                </c:pt>
                <c:pt idx="1">
                  <c:v>0.17965178296950068</c:v>
                </c:pt>
                <c:pt idx="2">
                  <c:v>0.15576686803873852</c:v>
                </c:pt>
                <c:pt idx="3">
                  <c:v>0.02526524946930492</c:v>
                </c:pt>
                <c:pt idx="4">
                  <c:v>0.28714982444156095</c:v>
                </c:pt>
                <c:pt idx="5">
                  <c:v>0.2701187682325839</c:v>
                </c:pt>
                <c:pt idx="6">
                  <c:v>0.21812120336462953</c:v>
                </c:pt>
              </c:numCache>
            </c:numRef>
          </c:val>
        </c:ser>
        <c:ser>
          <c:idx val="2"/>
          <c:order val="2"/>
          <c:tx>
            <c:strRef>
              <c:f>Plots!$C$27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Plots!$R$27:$X$27</c:f>
              <c:numCache>
                <c:formatCode>General</c:formatCode>
                <c:ptCount val="7"/>
                <c:pt idx="0">
                  <c:v>0.0007362673014946829</c:v>
                </c:pt>
                <c:pt idx="1">
                  <c:v>0.0008463718269445381</c:v>
                </c:pt>
                <c:pt idx="2">
                  <c:v>0.000733845701390883</c:v>
                </c:pt>
                <c:pt idx="3">
                  <c:v>0.0006701746913396963</c:v>
                </c:pt>
                <c:pt idx="4">
                  <c:v>0.0006138345734012446</c:v>
                </c:pt>
                <c:pt idx="5">
                  <c:v>0.0005774276170573183</c:v>
                </c:pt>
                <c:pt idx="6">
                  <c:v>0.0006242797109466395</c:v>
                </c:pt>
              </c:numCache>
            </c:numRef>
          </c:val>
        </c:ser>
        <c:ser>
          <c:idx val="3"/>
          <c:order val="3"/>
          <c:tx>
            <c:strRef>
              <c:f>Plots!$C$28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Plots!$R$28:$X$28</c:f>
              <c:numCache>
                <c:formatCode>General</c:formatCode>
                <c:ptCount val="7"/>
                <c:pt idx="0">
                  <c:v>0.16810887237797179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0.0232272871845754</c:v>
                </c:pt>
                <c:pt idx="5">
                  <c:v>0.02184966059402506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Plots!$C$29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Plots!$R$29:$X$29</c:f>
              <c:numCache>
                <c:formatCode>General</c:formatCode>
                <c:ptCount val="7"/>
                <c:pt idx="0">
                  <c:v>0.004596220139446091</c:v>
                </c:pt>
                <c:pt idx="1">
                  <c:v>0.00010375983760262129</c:v>
                </c:pt>
                <c:pt idx="2">
                  <c:v>0.00008996484568323108</c:v>
                </c:pt>
                <c:pt idx="3">
                  <c:v>0</c:v>
                </c:pt>
                <c:pt idx="4">
                  <c:v>0.0005140611019234468</c:v>
                </c:pt>
                <c:pt idx="5">
                  <c:v>0.0004835717797073064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Plots!$C$30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Plots!$R$30:$X$30</c:f>
              <c:numCache>
                <c:formatCode>General</c:formatCode>
                <c:ptCount val="7"/>
                <c:pt idx="0">
                  <c:v>0.04525305694567041</c:v>
                </c:pt>
                <c:pt idx="1">
                  <c:v>0.030922696306391127</c:v>
                </c:pt>
                <c:pt idx="2">
                  <c:v>0.026811487619788032</c:v>
                </c:pt>
                <c:pt idx="3">
                  <c:v>0.061739910136605514</c:v>
                </c:pt>
                <c:pt idx="4">
                  <c:v>0.01513164546145476</c:v>
                </c:pt>
                <c:pt idx="5">
                  <c:v>0.014234177023542497</c:v>
                </c:pt>
                <c:pt idx="6">
                  <c:v>0.035808637224163775</c:v>
                </c:pt>
              </c:numCache>
            </c:numRef>
          </c:val>
        </c:ser>
        <c:ser>
          <c:idx val="6"/>
          <c:order val="6"/>
          <c:tx>
            <c:strRef>
              <c:f>Plots!$C$31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Plots!$R$31:$X$31</c:f>
              <c:numCache>
                <c:formatCode>General</c:formatCode>
                <c:ptCount val="7"/>
                <c:pt idx="0">
                  <c:v>0.008941398075548026</c:v>
                </c:pt>
                <c:pt idx="1">
                  <c:v>0.00020572552974332386</c:v>
                </c:pt>
                <c:pt idx="2">
                  <c:v>0.000178374079644777</c:v>
                </c:pt>
                <c:pt idx="3">
                  <c:v>0</c:v>
                </c:pt>
                <c:pt idx="4">
                  <c:v>0.0010177165040301047</c:v>
                </c:pt>
                <c:pt idx="5">
                  <c:v>0.0009573550289059302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Plots!$C$32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Plots!$R$32:$X$32</c:f>
              <c:numCache>
                <c:formatCode>General</c:formatCode>
                <c:ptCount val="7"/>
                <c:pt idx="0">
                  <c:v>0.021110122491722328</c:v>
                </c:pt>
                <c:pt idx="1">
                  <c:v>0</c:v>
                </c:pt>
                <c:pt idx="2">
                  <c:v>0.14213793414859674</c:v>
                </c:pt>
                <c:pt idx="3">
                  <c:v>0.2514100883809179</c:v>
                </c:pt>
                <c:pt idx="4">
                  <c:v>0</c:v>
                </c:pt>
                <c:pt idx="5">
                  <c:v>0.2318666563938677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Plots!$C$33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Plots!$R$33:$X$33</c:f>
              <c:numCache>
                <c:formatCode>General</c:formatCode>
                <c:ptCount val="7"/>
                <c:pt idx="0">
                  <c:v>0.21752832279033135</c:v>
                </c:pt>
                <c:pt idx="1">
                  <c:v>0.21892826073969318</c:v>
                </c:pt>
                <c:pt idx="2">
                  <c:v>0.18602506225196866</c:v>
                </c:pt>
                <c:pt idx="3">
                  <c:v>0.18853735909524044</c:v>
                </c:pt>
                <c:pt idx="4">
                  <c:v>0.17040016948985665</c:v>
                </c:pt>
                <c:pt idx="5">
                  <c:v>0.09713711648404273</c:v>
                </c:pt>
                <c:pt idx="6">
                  <c:v>0.29125909971389213</c:v>
                </c:pt>
              </c:numCache>
            </c:numRef>
          </c:val>
        </c:ser>
        <c:ser>
          <c:idx val="9"/>
          <c:order val="9"/>
          <c:tx>
            <c:strRef>
              <c:f>Plots!$C$34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0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Plots!$R$34:$X$34</c:f>
              <c:numCache>
                <c:formatCode>General</c:formatCode>
                <c:ptCount val="7"/>
                <c:pt idx="0">
                  <c:v>0.30885600338106967</c:v>
                </c:pt>
                <c:pt idx="1">
                  <c:v>0.3108436950732366</c:v>
                </c:pt>
                <c:pt idx="2">
                  <c:v>0.26412632855739304</c:v>
                </c:pt>
                <c:pt idx="3">
                  <c:v>0.26769339491623056</c:v>
                </c:pt>
                <c:pt idx="4">
                  <c:v>0.2629124039109232</c:v>
                </c:pt>
                <c:pt idx="5">
                  <c:v>0.13791942673203172</c:v>
                </c:pt>
                <c:pt idx="6">
                  <c:v>0.2635201378363785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843335064"/>
        <c:axId val="915009826"/>
      </c:barChart>
      <c:catAx>
        <c:axId val="184333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5009826"/>
        <c:crosses val="autoZero"/>
        <c:auto val="1"/>
        <c:lblAlgn val="ctr"/>
        <c:lblOffset val="100"/>
        <c:noMultiLvlLbl val="1"/>
      </c:catAx>
      <c:valAx>
        <c:axId val="9150098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300"/>
                </a:pPr>
                <a:r>
                  <a:rPr lang="de-DE" sz="1300"/>
                  <a:t>W</a:t>
                </a:r>
                <a:r>
                  <a:rPr lang="de-DE" sz="1300" baseline="-25000"/>
                  <a:t>i</a:t>
                </a:r>
                <a:r>
                  <a:rPr lang="de-DE" sz="1300"/>
                  <a:t>/W</a:t>
                </a:r>
                <a:r>
                  <a:rPr lang="de-DE" sz="1300" baseline="-25000"/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843335064"/>
        <c:crosses val="autoZero"/>
        <c:crossBetween val="between"/>
      </c:valAx>
    </c:plotArea>
    <c:plotVisOnly val="1"/>
    <c:dispBlanksAs val="zero"/>
    <c:showDLblsOverMax val="1"/>
  </c:chart>
  <c:spPr bwMode="auto">
    <a:xfrm>
      <a:off x="15411163" y="19607167"/>
      <a:ext cx="3686733" cy="3464719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HED-HAM</a:t>
            </a:r>
            <a:endParaRPr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19766"/>
          <c:y val="0.139062"/>
          <c:w val="0.743324"/>
          <c:h val="0.657352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Plots!$C$36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Plots!$R$36:$X$36</c:f>
              <c:numCache>
                <c:formatCode>General</c:formatCode>
                <c:ptCount val="7"/>
                <c:pt idx="0">
                  <c:v>0.20902626633167393</c:v>
                </c:pt>
                <c:pt idx="1">
                  <c:v>0.2465369411240741</c:v>
                </c:pt>
                <c:pt idx="2">
                  <c:v>0.21508268824651575</c:v>
                </c:pt>
                <c:pt idx="3">
                  <c:v>0.1793005652032249</c:v>
                </c:pt>
                <c:pt idx="4">
                  <c:v>0.23378814601360398</c:v>
                </c:pt>
                <c:pt idx="5">
                  <c:v>0.22020858918811093</c:v>
                </c:pt>
                <c:pt idx="6">
                  <c:v>0.18037947552222838</c:v>
                </c:pt>
              </c:numCache>
            </c:numRef>
          </c:val>
        </c:ser>
        <c:ser>
          <c:idx val="1"/>
          <c:order val="1"/>
          <c:tx>
            <c:strRef>
              <c:f>Plots!$C$37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Plots!$R$37:$X$37</c:f>
              <c:numCache>
                <c:formatCode>General</c:formatCode>
                <c:ptCount val="7"/>
                <c:pt idx="0">
                  <c:v>0</c:v>
                </c:pt>
                <c:pt idx="1">
                  <c:v>0.1713392410012971</c:v>
                </c:pt>
                <c:pt idx="2">
                  <c:v>0.14947903705080098</c:v>
                </c:pt>
                <c:pt idx="3">
                  <c:v>0.02213205438799106</c:v>
                </c:pt>
                <c:pt idx="4">
                  <c:v>0.28084912536179246</c:v>
                </c:pt>
                <c:pt idx="5">
                  <c:v>0.26453603711385987</c:v>
                </c:pt>
                <c:pt idx="6">
                  <c:v>0.20635276217975487</c:v>
                </c:pt>
              </c:numCache>
            </c:numRef>
          </c:val>
        </c:ser>
        <c:ser>
          <c:idx val="2"/>
          <c:order val="2"/>
          <c:tx>
            <c:strRef>
              <c:f>Plots!$C$38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Plots!$R$38:$X$38</c:f>
              <c:numCache>
                <c:formatCode>General</c:formatCode>
                <c:ptCount val="7"/>
                <c:pt idx="0">
                  <c:v>0.0006843926953049845</c:v>
                </c:pt>
                <c:pt idx="1">
                  <c:v>0.000807209948248457</c:v>
                </c:pt>
                <c:pt idx="2">
                  <c:v>0.0007042225998952149</c:v>
                </c:pt>
                <c:pt idx="3">
                  <c:v>0.0005870649619432603</c:v>
                </c:pt>
                <c:pt idx="4">
                  <c:v>0.0006003656919932245</c:v>
                </c:pt>
                <c:pt idx="5">
                  <c:v>0.000565493521742026</c:v>
                </c:pt>
                <c:pt idx="6">
                  <c:v>0.0005905975244014322</c:v>
                </c:pt>
              </c:numCache>
            </c:numRef>
          </c:val>
        </c:ser>
        <c:ser>
          <c:idx val="3"/>
          <c:order val="3"/>
          <c:tx>
            <c:strRef>
              <c:f>Plots!$C$39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Plots!$R$39:$X$39</c:f>
              <c:numCache>
                <c:formatCode>General</c:formatCode>
                <c:ptCount val="7"/>
                <c:pt idx="0">
                  <c:v>0.15626455777389076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0.022717629387381925</c:v>
                </c:pt>
                <c:pt idx="5">
                  <c:v>0.021398078569828956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Plots!$C$40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Plots!$R$40:$X$40</c:f>
              <c:numCache>
                <c:formatCode>General</c:formatCode>
                <c:ptCount val="7"/>
                <c:pt idx="0">
                  <c:v>0.00427238787199255</c:v>
                </c:pt>
                <c:pt idx="1">
                  <c:v>0.0000989588387456855</c:v>
                </c:pt>
                <c:pt idx="2">
                  <c:v>0.00008633324063375873</c:v>
                </c:pt>
                <c:pt idx="3">
                  <c:v>0</c:v>
                </c:pt>
                <c:pt idx="4">
                  <c:v>0.0005027814700513654</c:v>
                </c:pt>
                <c:pt idx="5">
                  <c:v>0.0004735774677963916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Plots!$C$41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Plots!$R$41:$X$41</c:f>
              <c:numCache>
                <c:formatCode>General</c:formatCode>
                <c:ptCount val="7"/>
                <c:pt idx="0">
                  <c:v>0.11252091140724084</c:v>
                </c:pt>
                <c:pt idx="1">
                  <c:v>0.07576219427426943</c:v>
                </c:pt>
                <c:pt idx="2">
                  <c:v>0.06609612473354992</c:v>
                </c:pt>
                <c:pt idx="3">
                  <c:v>0.17809545620491912</c:v>
                </c:pt>
                <c:pt idx="4">
                  <c:v>0.036741824562911904</c:v>
                </c:pt>
                <c:pt idx="5">
                  <c:v>0.03460768002636502</c:v>
                </c:pt>
                <c:pt idx="6">
                  <c:v>0.08783030760172401</c:v>
                </c:pt>
              </c:numCache>
            </c:numRef>
          </c:val>
        </c:ser>
        <c:ser>
          <c:idx val="6"/>
          <c:order val="6"/>
          <c:tx>
            <c:strRef>
              <c:f>Plots!$C$42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Plots!$R$42:$X$42</c:f>
              <c:numCache>
                <c:formatCode>General</c:formatCode>
                <c:ptCount val="7"/>
                <c:pt idx="0">
                  <c:v>0.00831142102371821</c:v>
                </c:pt>
                <c:pt idx="1">
                  <c:v>0.0001962065476789306</c:v>
                </c:pt>
                <c:pt idx="2">
                  <c:v>0.00017117366482256443</c:v>
                </c:pt>
                <c:pt idx="3">
                  <c:v>0</c:v>
                </c:pt>
                <c:pt idx="4">
                  <c:v>0.0009953855642398015</c:v>
                </c:pt>
                <c:pt idx="5">
                  <c:v>0.0009375687114038015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Plots!$C$43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Plots!$R$43:$X$43</c:f>
              <c:numCache>
                <c:formatCode>General</c:formatCode>
                <c:ptCount val="7"/>
                <c:pt idx="0">
                  <c:v>0.019622783194362305</c:v>
                </c:pt>
                <c:pt idx="1">
                  <c:v>0</c:v>
                </c:pt>
                <c:pt idx="2">
                  <c:v>0.13640026144480527</c:v>
                </c:pt>
                <c:pt idx="3">
                  <c:v>0.2202322109067691</c:v>
                </c:pt>
                <c:pt idx="4">
                  <c:v>0</c:v>
                </c:pt>
                <c:pt idx="5">
                  <c:v>0.22707450808623897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Plots!$C$44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Plots!$R$44:$X$44</c:f>
              <c:numCache>
                <c:formatCode>General</c:formatCode>
                <c:ptCount val="7"/>
                <c:pt idx="0">
                  <c:v>0.2022021008367756</c:v>
                </c:pt>
                <c:pt idx="1">
                  <c:v>0.20879838434579484</c:v>
                </c:pt>
                <c:pt idx="2">
                  <c:v>0.178515800714592</c:v>
                </c:pt>
                <c:pt idx="3">
                  <c:v>0.1651564569245018</c:v>
                </c:pt>
                <c:pt idx="4">
                  <c:v>0.16666121477106097</c:v>
                </c:pt>
                <c:pt idx="5">
                  <c:v>0.09512951661778075</c:v>
                </c:pt>
                <c:pt idx="6">
                  <c:v>0.2755446000152429</c:v>
                </c:pt>
              </c:numCache>
            </c:numRef>
          </c:val>
        </c:ser>
        <c:ser>
          <c:idx val="9"/>
          <c:order val="9"/>
          <c:tx>
            <c:strRef>
              <c:f>Plots!$C$45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Plots!$R$45:$X$45</c:f>
              <c:numCache>
                <c:formatCode>General</c:formatCode>
                <c:ptCount val="7"/>
                <c:pt idx="0">
                  <c:v>0.28709517886504077</c:v>
                </c:pt>
                <c:pt idx="1">
                  <c:v>0.29646086391989146</c:v>
                </c:pt>
                <c:pt idx="2">
                  <c:v>0.2534643583043845</c:v>
                </c:pt>
                <c:pt idx="3">
                  <c:v>0.2344961914106508</c:v>
                </c:pt>
                <c:pt idx="4">
                  <c:v>0.2571435271769644</c:v>
                </c:pt>
                <c:pt idx="5">
                  <c:v>0.1350689506968732</c:v>
                </c:pt>
                <c:pt idx="6">
                  <c:v>0.24930225715664833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843335064"/>
        <c:axId val="915009826"/>
      </c:barChart>
      <c:catAx>
        <c:axId val="184333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5009826"/>
        <c:crosses val="autoZero"/>
        <c:auto val="1"/>
        <c:lblAlgn val="ctr"/>
        <c:lblOffset val="100"/>
        <c:noMultiLvlLbl val="1"/>
      </c:catAx>
      <c:valAx>
        <c:axId val="9150098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300"/>
                </a:pP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i</a:t>
                </a: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/W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843335064"/>
        <c:crosses val="autoZero"/>
        <c:crossBetween val="between"/>
      </c:valAx>
    </c:plotArea>
    <c:plotVisOnly val="1"/>
    <c:dispBlanksAs val="zero"/>
    <c:showDLblsOverMax val="1"/>
  </c:chart>
  <c:spPr bwMode="auto">
    <a:xfrm>
      <a:off x="19121538" y="19591281"/>
      <a:ext cx="3686733" cy="3383810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>
                <a:solidFill>
                  <a:sysClr val="windowText" lastClr="000000"/>
                </a:solidFill>
                <a:latin typeface="Charter"/>
              </a:rPr>
              <a:t>CAS-HAM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Plots!$C$14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Plots!$R$14:$X$14</c:f>
              <c:numCache>
                <c:formatCode>General</c:formatCode>
                <c:ptCount val="7"/>
                <c:pt idx="0">
                  <c:v>0.23132176489198952</c:v>
                </c:pt>
                <c:pt idx="1">
                  <c:v>0.26347110203481167</c:v>
                </c:pt>
                <c:pt idx="2">
                  <c:v>0.22785946231178392</c:v>
                </c:pt>
                <c:pt idx="3">
                  <c:v>0.21307026144350227</c:v>
                </c:pt>
                <c:pt idx="4">
                  <c:v>0.24124190079960509</c:v>
                </c:pt>
                <c:pt idx="5">
                  <c:v>0.22680936698989826</c:v>
                </c:pt>
                <c:pt idx="6">
                  <c:v>0.19493743207315783</c:v>
                </c:pt>
              </c:numCache>
            </c:numRef>
          </c:val>
        </c:ser>
        <c:ser>
          <c:idx val="1"/>
          <c:order val="1"/>
          <c:tx>
            <c:strRef>
              <c:f>Plots!$C$15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Plots!$R$15:$X$15</c:f>
              <c:numCache>
                <c:formatCode>General</c:formatCode>
                <c:ptCount val="7"/>
                <c:pt idx="0">
                  <c:v>0</c:v>
                </c:pt>
                <c:pt idx="1">
                  <c:v>0.1831082126783627</c:v>
                </c:pt>
                <c:pt idx="2">
                  <c:v>0.15835869119434118</c:v>
                </c:pt>
                <c:pt idx="3">
                  <c:v>0.026300433628785015</c:v>
                </c:pt>
                <c:pt idx="4">
                  <c:v>0.2898033026714833</c:v>
                </c:pt>
                <c:pt idx="5">
                  <c:v>0.27246553526827716</c:v>
                </c:pt>
                <c:pt idx="6">
                  <c:v>0.22300695488809874</c:v>
                </c:pt>
              </c:numCache>
            </c:numRef>
          </c:val>
        </c:ser>
        <c:ser>
          <c:idx val="2"/>
          <c:order val="2"/>
          <c:tx>
            <c:strRef>
              <c:f>Plots!$C$16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Plots!$R$16:$X$16</c:f>
              <c:numCache>
                <c:formatCode>General</c:formatCode>
                <c:ptCount val="7"/>
                <c:pt idx="0">
                  <c:v>0.0007573924987299801</c:v>
                </c:pt>
                <c:pt idx="1">
                  <c:v>0.000862655688307017</c:v>
                </c:pt>
                <c:pt idx="2">
                  <c:v>0.000746056245940275</c:v>
                </c:pt>
                <c:pt idx="3">
                  <c:v>0.0006976335227041506</c:v>
                </c:pt>
                <c:pt idx="4">
                  <c:v>0.0006195068620068751</c:v>
                </c:pt>
                <c:pt idx="5">
                  <c:v>0.0005824442551312696</c:v>
                </c:pt>
                <c:pt idx="6">
                  <c:v>0.0006382631087171426</c:v>
                </c:pt>
              </c:numCache>
            </c:numRef>
          </c:val>
        </c:ser>
        <c:ser>
          <c:idx val="3"/>
          <c:order val="3"/>
          <c:tx>
            <c:strRef>
              <c:f>Plots!$C$17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Plots!$R$17:$X$17</c:f>
              <c:numCache>
                <c:formatCode>General</c:formatCode>
                <c:ptCount val="7"/>
                <c:pt idx="0">
                  <c:v>0.1729323014217053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0.023441924616460608</c:v>
                </c:pt>
                <c:pt idx="5">
                  <c:v>0.022039488437379483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Plots!$C$18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Plots!$R$18:$X$18</c:f>
              <c:numCache>
                <c:formatCode>General</c:formatCode>
                <c:ptCount val="7"/>
                <c:pt idx="0">
                  <c:v>0.004728096234969202</c:v>
                </c:pt>
                <c:pt idx="1">
                  <c:v>0.00010575613610496655</c:v>
                </c:pt>
                <c:pt idx="2">
                  <c:v>0.00009146178128433069</c:v>
                </c:pt>
                <c:pt idx="3">
                  <c:v>0</c:v>
                </c:pt>
                <c:pt idx="4">
                  <c:v>0.0005188114093472999</c:v>
                </c:pt>
                <c:pt idx="5">
                  <c:v>0.00048777300689130826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Plots!$C$19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Plots!$R$19:$X$19</c:f>
              <c:numCache>
                <c:formatCode>General</c:formatCode>
                <c:ptCount val="7"/>
                <c:pt idx="0">
                  <c:v>0.017859177792225935</c:v>
                </c:pt>
                <c:pt idx="1">
                  <c:v>0.012278029789281457</c:v>
                </c:pt>
                <c:pt idx="2">
                  <c:v>0.010618490014377709</c:v>
                </c:pt>
                <c:pt idx="3">
                  <c:v>0.023296910249390634</c:v>
                </c:pt>
                <c:pt idx="4">
                  <c:v>0.006030728394241837</c:v>
                </c:pt>
                <c:pt idx="5">
                  <c:v>0.005669934141010698</c:v>
                </c:pt>
                <c:pt idx="6">
                  <c:v>0.014211473138640147</c:v>
                </c:pt>
              </c:numCache>
            </c:numRef>
          </c:val>
        </c:ser>
        <c:ser>
          <c:idx val="6"/>
          <c:order val="6"/>
          <c:tx>
            <c:strRef>
              <c:f>Plots!$C$20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Plots!$R$20:$X$20</c:f>
              <c:numCache>
                <c:formatCode>General</c:formatCode>
                <c:ptCount val="7"/>
                <c:pt idx="0">
                  <c:v>0.009197947290108323</c:v>
                </c:pt>
                <c:pt idx="1">
                  <c:v>0.00020968360809424337</c:v>
                </c:pt>
                <c:pt idx="2">
                  <c:v>0.00018134206684130503</c:v>
                </c:pt>
                <c:pt idx="3">
                  <c:v>0</c:v>
                </c:pt>
                <c:pt idx="4">
                  <c:v>0.0010271209624619646</c:v>
                </c:pt>
                <c:pt idx="5">
                  <c:v>0.0009656724414204027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Plots!$C$21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Plots!$R$21:$X$21</c:f>
              <c:numCache>
                <c:formatCode>General</c:formatCode>
                <c:ptCount val="7"/>
                <c:pt idx="0">
                  <c:v>0.021715820314228813</c:v>
                </c:pt>
                <c:pt idx="1">
                  <c:v>0</c:v>
                </c:pt>
                <c:pt idx="2">
                  <c:v>0.14450298387742772</c:v>
                </c:pt>
                <c:pt idx="3">
                  <c:v>0.2617110252998903</c:v>
                </c:pt>
                <c:pt idx="4">
                  <c:v>0</c:v>
                </c:pt>
                <c:pt idx="5">
                  <c:v>0.23388109259710488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Plots!$C$22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Plots!$R$22:$X$22</c:f>
              <c:numCache>
                <c:formatCode>General</c:formatCode>
                <c:ptCount val="7"/>
                <c:pt idx="0">
                  <c:v>0.2237697091915348</c:v>
                </c:pt>
                <c:pt idx="1">
                  <c:v>0.22314035444687694</c:v>
                </c:pt>
                <c:pt idx="2">
                  <c:v>0.18912035504393246</c:v>
                </c:pt>
                <c:pt idx="3">
                  <c:v>0.1962622338423794</c:v>
                </c:pt>
                <c:pt idx="4">
                  <c:v>0.17197479395983756</c:v>
                </c:pt>
                <c:pt idx="5">
                  <c:v>0.09798103482558786</c:v>
                </c:pt>
                <c:pt idx="6">
                  <c:v>0.29778308531547776</c:v>
                </c:pt>
              </c:numCache>
            </c:numRef>
          </c:val>
        </c:ser>
        <c:ser>
          <c:idx val="9"/>
          <c:order val="9"/>
          <c:tx>
            <c:strRef>
              <c:f>Plots!$C$23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0"/>
          <c:cat>
            <c:strRef>
              <c:f>Plots!$R$2:$X$2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Plots!$R$23:$X$23</c:f>
              <c:numCache>
                <c:formatCode>General</c:formatCode>
                <c:ptCount val="7"/>
                <c:pt idx="0">
                  <c:v>0.3177177903645081</c:v>
                </c:pt>
                <c:pt idx="1">
                  <c:v>0.31682420561816105</c:v>
                </c:pt>
                <c:pt idx="2">
                  <c:v>0.2685211574640711</c:v>
                </c:pt>
                <c:pt idx="3">
                  <c:v>0.2786615020133483</c:v>
                </c:pt>
                <c:pt idx="4">
                  <c:v>0.26534191032455556</c:v>
                </c:pt>
                <c:pt idx="5">
                  <c:v>0.1391176580372987</c:v>
                </c:pt>
                <c:pt idx="6">
                  <c:v>0.2694227914759084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574952996"/>
        <c:axId val="2003426937"/>
      </c:barChart>
      <c:catAx>
        <c:axId val="1574952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03426937"/>
        <c:crosses val="autoZero"/>
        <c:auto val="1"/>
        <c:lblAlgn val="ctr"/>
        <c:lblOffset val="100"/>
        <c:noMultiLvlLbl val="1"/>
      </c:catAx>
      <c:valAx>
        <c:axId val="200342693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300" b="1"/>
                </a:pP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i</a:t>
                </a: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/W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574952996"/>
        <c:crosses val="autoZero"/>
        <c:crossBetween val="between"/>
      </c:valAx>
    </c:plotArea>
    <c:plotVisOnly val="1"/>
    <c:dispBlanksAs val="zero"/>
    <c:showDLblsOverMax val="1"/>
  </c:chart>
  <c:spPr bwMode="auto">
    <a:xfrm>
      <a:off x="19114473" y="16258614"/>
      <a:ext cx="3692337" cy="3464718"/>
    </a:xfrm>
    <a:prstGeom prst="rect">
      <a:avLst/>
    </a:prstGeom>
    <a:ln>
      <a:noFill/>
    </a:ln>
  </c:spPr>
  <c:txPr>
    <a:bodyPr/>
    <a:lstStyle/>
    <a:p>
      <a:pPr>
        <a:defRPr lang="en-US" sz="1000" b="0" i="0" u="none" strike="noStrike">
          <a:solidFill>
            <a:schemeClr val="tx1"/>
          </a:solidFill>
          <a:latin typeface="Charter"/>
          <a:ea typeface="+mn-ea"/>
          <a:cs typeface="+mn-cs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400" b="0" i="0" u="none" strike="noStrike" spc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harter"/>
                <a:ea typeface="+mn-ea"/>
                <a:cs typeface="+mn-cs"/>
              </a:defRPr>
            </a:pPr>
            <a:r>
              <a:rPr lang="en-US" sz="1800" b="1" i="0" u="none" strike="noStrike">
                <a:solidFill>
                  <a:sysClr val="windowText" lastClr="000000"/>
                </a:solidFill>
                <a:latin typeface="Charter"/>
              </a:rPr>
              <a:t>Local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spc="0">
              <a:solidFill>
                <a:sysClr val="windowText" lastClr="000000">
                  <a:lumMod val="65000"/>
                  <a:lumOff val="35000"/>
                </a:sysClr>
              </a:solidFill>
              <a:latin typeface="Charter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FFD18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spPr bwMode="auto">
              <a:prstGeom prst="rect">
                <a:avLst/>
              </a:prstGeom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Plots!$R$173:$X$173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Plots!$R$175:$X$175</c:f>
              <c:numCache>
                <c:formatCode>General</c:formatCode>
                <c:ptCount val="7"/>
                <c:pt idx="0">
                  <c:v>32.50600098830188</c:v>
                </c:pt>
                <c:pt idx="1">
                  <c:v>32.079688557464806</c:v>
                </c:pt>
                <c:pt idx="2">
                  <c:v>27.142813975685332</c:v>
                </c:pt>
                <c:pt idx="3">
                  <c:v>28.530830396420825</c:v>
                </c:pt>
                <c:pt idx="4">
                  <c:v>26.70912349993736</c:v>
                </c:pt>
                <c:pt idx="5">
                  <c:v>13.997961149154058</c:v>
                </c:pt>
                <c:pt idx="6">
                  <c:v>27.330688492969223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7"/>
        <c:axId val="831235584"/>
        <c:axId val="1448012063"/>
      </c:barChart>
      <c:catAx>
        <c:axId val="83123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1448012063"/>
        <c:crosses val="autoZero"/>
        <c:auto val="1"/>
        <c:lblAlgn val="ctr"/>
        <c:lblOffset val="100"/>
        <c:noMultiLvlLbl val="0"/>
      </c:catAx>
      <c:valAx>
        <c:axId val="144801206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/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sz="1300" b="1">
                    <a:solidFill>
                      <a:schemeClr val="tx1"/>
                    </a:solidFill>
                  </a:rPr>
                  <a:t>System efficiency [%]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/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83123558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23041842" y="16240126"/>
      <a:ext cx="3844636" cy="3255817"/>
    </a:xfrm>
    <a:prstGeom prst="rect">
      <a:avLst/>
    </a:prstGeom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400" b="0" i="0" u="none" strike="noStrike" spc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harter"/>
                <a:ea typeface="+mn-ea"/>
                <a:cs typeface="+mn-cs"/>
              </a:defRPr>
            </a:pPr>
            <a:r>
              <a:rPr lang="de-DE" sz="1800" b="1" i="0" u="none" strike="noStrike" spc="0">
                <a:solidFill>
                  <a:sysClr val="windowText" lastClr="000000"/>
                </a:solidFill>
                <a:latin typeface="Charter"/>
              </a:rPr>
              <a:t>CAS-HAM</a:t>
            </a:r>
            <a:endParaRPr lang="en-US" sz="1800" b="1" i="0" u="none" strike="noStrike">
              <a:solidFill>
                <a:sysClr val="windowText" lastClr="000000"/>
              </a:solidFill>
              <a:latin typeface="Charter"/>
            </a:endParaRPr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spc="0">
              <a:solidFill>
                <a:sysClr val="windowText" lastClr="000000">
                  <a:lumMod val="65000"/>
                  <a:lumOff val="35000"/>
                </a:sysClr>
              </a:solidFill>
              <a:latin typeface="Charter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FFD18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spPr bwMode="auto">
              <a:prstGeom prst="rect">
                <a:avLst/>
              </a:prstGeom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Plots!$R$173:$X$173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Plots!$R$178:$X$178</c:f>
              <c:numCache>
                <c:formatCode>General</c:formatCode>
                <c:ptCount val="7"/>
                <c:pt idx="0">
                  <c:v>31.77177903645081</c:v>
                </c:pt>
                <c:pt idx="1">
                  <c:v>31.682420561816105</c:v>
                </c:pt>
                <c:pt idx="2">
                  <c:v>26.85211574640711</c:v>
                </c:pt>
                <c:pt idx="3">
                  <c:v>27.866150201334825</c:v>
                </c:pt>
                <c:pt idx="4">
                  <c:v>26.534191032455556</c:v>
                </c:pt>
                <c:pt idx="5">
                  <c:v>13.91176580372987</c:v>
                </c:pt>
                <c:pt idx="6">
                  <c:v>26.942279147590842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7"/>
        <c:axId val="831235584"/>
        <c:axId val="1448012063"/>
      </c:barChart>
      <c:catAx>
        <c:axId val="83123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1448012063"/>
        <c:crosses val="autoZero"/>
        <c:auto val="1"/>
        <c:lblAlgn val="ctr"/>
        <c:lblOffset val="100"/>
        <c:noMultiLvlLbl val="0"/>
      </c:catAx>
      <c:valAx>
        <c:axId val="144801206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/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sz="1300" b="1">
                    <a:solidFill>
                      <a:schemeClr val="tx1"/>
                    </a:solidFill>
                  </a:rPr>
                  <a:t>System efficiency [%]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/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83123558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26990386" y="16240126"/>
      <a:ext cx="3844636" cy="3255817"/>
    </a:xfrm>
    <a:prstGeom prst="rect">
      <a:avLst/>
    </a:prstGeom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400" b="0" i="0" u="none" strike="noStrike" spc="0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r>
              <a:rPr lang="de-DE" sz="1800" b="1" i="0" u="none" strike="noStrike" spc="0">
                <a:solidFill>
                  <a:schemeClr val="tx1"/>
                </a:solidFill>
                <a:latin typeface="Charter"/>
              </a:rPr>
              <a:t>YAN-HAM</a:t>
            </a:r>
            <a:endParaRPr lang="en-US" sz="1800" b="1" i="0" u="none" strike="noStrike">
              <a:solidFill>
                <a:schemeClr val="tx1"/>
              </a:solidFill>
              <a:latin typeface="Charter"/>
            </a:endParaRPr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spc="0">
              <a:solidFill>
                <a:schemeClr val="tx1"/>
              </a:solidFill>
              <a:latin typeface="Charter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FFD18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spPr bwMode="auto">
              <a:prstGeom prst="rect">
                <a:avLst/>
              </a:prstGeom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Plots!$R$173:$X$173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Plots!$R$181:$X$181</c:f>
              <c:numCache>
                <c:formatCode>General</c:formatCode>
                <c:ptCount val="7"/>
                <c:pt idx="0">
                  <c:v>30.88560033810697</c:v>
                </c:pt>
                <c:pt idx="1">
                  <c:v>31.08436950732366</c:v>
                </c:pt>
                <c:pt idx="2">
                  <c:v>26.412632855739304</c:v>
                </c:pt>
                <c:pt idx="3">
                  <c:v>26.769339491623057</c:v>
                </c:pt>
                <c:pt idx="4">
                  <c:v>26.29124039109232</c:v>
                </c:pt>
                <c:pt idx="5">
                  <c:v>13.791942673203172</c:v>
                </c:pt>
                <c:pt idx="6">
                  <c:v>26.35201378363785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7"/>
        <c:axId val="831235584"/>
        <c:axId val="1448012063"/>
      </c:barChart>
      <c:catAx>
        <c:axId val="83123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1448012063"/>
        <c:crosses val="autoZero"/>
        <c:auto val="1"/>
        <c:lblAlgn val="ctr"/>
        <c:lblOffset val="100"/>
        <c:noMultiLvlLbl val="0"/>
      </c:catAx>
      <c:valAx>
        <c:axId val="1448012063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/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sz="1300" b="1">
                    <a:solidFill>
                      <a:schemeClr val="tx1"/>
                    </a:solidFill>
                  </a:rPr>
                  <a:t>System efficiency [%]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/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83123558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23041842" y="19495943"/>
      <a:ext cx="3844636" cy="3255817"/>
    </a:xfrm>
    <a:prstGeom prst="rect">
      <a:avLst/>
    </a:prstGeom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sz="1400" b="0" i="0" u="none" strike="noStrike" spc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harter"/>
                <a:ea typeface="+mn-ea"/>
                <a:cs typeface="+mn-cs"/>
              </a:defRPr>
            </a:pPr>
            <a:r>
              <a:rPr lang="de-DE" sz="1800" b="1" i="0" u="none" strike="noStrike">
                <a:solidFill>
                  <a:sysClr val="windowText" lastClr="000000"/>
                </a:solidFill>
                <a:latin typeface="Charter"/>
              </a:rPr>
              <a:t>HED-HAM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400" b="0" i="0" u="none" strike="noStrike" spc="0">
              <a:solidFill>
                <a:sysClr val="windowText" lastClr="000000">
                  <a:lumMod val="65000"/>
                  <a:lumOff val="35000"/>
                </a:sysClr>
              </a:solidFill>
              <a:latin typeface="Charter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 bwMode="auto">
            <a:prstGeom prst="rect">
              <a:avLst/>
            </a:prstGeom>
            <a:solidFill>
              <a:srgbClr val="FFD18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spPr bwMode="auto">
              <a:prstGeom prst="rect">
                <a:avLst/>
              </a:prstGeom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Plots!$R$173:$X$173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Plots!$R$184:$X$184</c:f>
              <c:numCache>
                <c:formatCode>General</c:formatCode>
                <c:ptCount val="7"/>
                <c:pt idx="0">
                  <c:v>28.709517886504077</c:v>
                </c:pt>
                <c:pt idx="1">
                  <c:v>29.646086391989147</c:v>
                </c:pt>
                <c:pt idx="2">
                  <c:v>25.346435830438452</c:v>
                </c:pt>
                <c:pt idx="3">
                  <c:v>23.44961914106508</c:v>
                </c:pt>
                <c:pt idx="4">
                  <c:v>25.714352717696443</c:v>
                </c:pt>
                <c:pt idx="5">
                  <c:v>13.50689506968732</c:v>
                </c:pt>
                <c:pt idx="6">
                  <c:v>24.930225715664832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7"/>
        <c:axId val="831235584"/>
        <c:axId val="1448012063"/>
      </c:barChart>
      <c:catAx>
        <c:axId val="83123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1448012063"/>
        <c:crosses val="autoZero"/>
        <c:auto val="1"/>
        <c:lblAlgn val="ctr"/>
        <c:lblOffset val="100"/>
        <c:noMultiLvlLbl val="0"/>
      </c:catAx>
      <c:valAx>
        <c:axId val="1448012063"/>
        <c:scaling>
          <c:orientation val="minMax"/>
          <c:max val="45.00000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/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sz="1300" b="1">
                    <a:solidFill>
                      <a:schemeClr val="tx1"/>
                    </a:solidFill>
                  </a:rPr>
                  <a:t>System efficiency [%]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/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/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83123558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26990386" y="19495943"/>
      <a:ext cx="3844636" cy="3255817"/>
    </a:xfrm>
    <a:prstGeom prst="rect">
      <a:avLst/>
    </a:prstGeom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1708"/>
          <c:y val="0.079610"/>
          <c:w val="0.921784"/>
          <c:h val="0.74091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Plots!$C$58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Plots!$AA$58:$BA$58</c:f>
              <c:numCache>
                <c:formatCode>General</c:formatCode>
                <c:ptCount val="27"/>
                <c:pt idx="0">
                  <c:v>0.043487337358884444</c:v>
                </c:pt>
                <c:pt idx="1">
                  <c:v>0.15898072092827725</c:v>
                </c:pt>
                <c:pt idx="2">
                  <c:v>0.4341445954901878</c:v>
                </c:pt>
                <c:pt idx="4">
                  <c:v>0.05017267918286371</c:v>
                </c:pt>
                <c:pt idx="5">
                  <c:v>0.1815867399549491</c:v>
                </c:pt>
                <c:pt idx="6">
                  <c:v>0.49086825855002986</c:v>
                </c:pt>
                <c:pt idx="8">
                  <c:v>0.051196611411085426</c:v>
                </c:pt>
                <c:pt idx="9">
                  <c:v>0.18529259179076438</c:v>
                </c:pt>
                <c:pt idx="10">
                  <c:v>0.5008859781122753</c:v>
                </c:pt>
                <c:pt idx="12">
                  <c:v>0.04392660339281256</c:v>
                </c:pt>
                <c:pt idx="13">
                  <c:v>0.16696112542855948</c:v>
                </c:pt>
                <c:pt idx="14">
                  <c:v>0.47273522620042663</c:v>
                </c:pt>
                <c:pt idx="16">
                  <c:v>0.05401071546976833</c:v>
                </c:pt>
                <c:pt idx="17">
                  <c:v>0.19852554119335733</c:v>
                </c:pt>
                <c:pt idx="18">
                  <c:v>0.5466538252063116</c:v>
                </c:pt>
                <c:pt idx="20">
                  <c:v>0.09292166102325734</c:v>
                </c:pt>
                <c:pt idx="21">
                  <c:v>0.3559985482460292</c:v>
                </c:pt>
                <c:pt idx="22">
                  <c:v>1.0314223117100219</c:v>
                </c:pt>
                <c:pt idx="24">
                  <c:v>0.04382034223237682</c:v>
                </c:pt>
                <c:pt idx="25">
                  <c:v>0.15799029413998145</c:v>
                </c:pt>
                <c:pt idx="26">
                  <c:v>0.4072068667244939</c:v>
                </c:pt>
              </c:numCache>
            </c:numRef>
          </c:val>
        </c:ser>
        <c:ser>
          <c:idx val="1"/>
          <c:order val="1"/>
          <c:tx>
            <c:strRef>
              <c:f>Plots!$C$59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Plots!$AA$59:$BA$59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0.010874496327375813</c:v>
                </c:pt>
                <c:pt idx="5">
                  <c:v>0.03540828232553705</c:v>
                </c:pt>
                <c:pt idx="6">
                  <c:v>0.09307848124836536</c:v>
                </c:pt>
                <c:pt idx="8">
                  <c:v>0.011096424823852872</c:v>
                </c:pt>
                <c:pt idx="9">
                  <c:v>0.036130900332180665</c:v>
                </c:pt>
                <c:pt idx="10">
                  <c:v>0.09497804209016873</c:v>
                </c:pt>
                <c:pt idx="12">
                  <c:v>0.0015568224126815146</c:v>
                </c:pt>
                <c:pt idx="13">
                  <c:v>0.006620372939270232</c:v>
                </c:pt>
                <c:pt idx="14">
                  <c:v>0.019640430830880868</c:v>
                </c:pt>
                <c:pt idx="16">
                  <c:v>0.008901766212012255</c:v>
                </c:pt>
                <c:pt idx="17">
                  <c:v>0.0646771701186791</c:v>
                </c:pt>
                <c:pt idx="18">
                  <c:v>0.1986367586302156</c:v>
                </c:pt>
                <c:pt idx="20">
                  <c:v>0.015314866601311409</c:v>
                </c:pt>
                <c:pt idx="21">
                  <c:v>0.1159799314914631</c:v>
                </c:pt>
                <c:pt idx="22">
                  <c:v>0.3747863370381426</c:v>
                </c:pt>
                <c:pt idx="24">
                  <c:v>0.0755783273059714</c:v>
                </c:pt>
                <c:pt idx="25">
                  <c:v>0.14292818325285397</c:v>
                </c:pt>
                <c:pt idx="26">
                  <c:v>0.21298718983937148</c:v>
                </c:pt>
              </c:numCache>
            </c:numRef>
          </c:val>
        </c:ser>
        <c:ser>
          <c:idx val="2"/>
          <c:order val="2"/>
          <c:tx>
            <c:strRef>
              <c:f>Plots!$C$60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Plots!$AA$60:$BA$60</c:f>
              <c:numCache>
                <c:formatCode>General</c:formatCode>
                <c:ptCount val="27"/>
                <c:pt idx="0">
                  <c:v>0.0003407232928410606</c:v>
                </c:pt>
                <c:pt idx="1">
                  <c:v>0.000784861197463723</c:v>
                </c:pt>
                <c:pt idx="2">
                  <c:v>0.0018485996924671917</c:v>
                </c:pt>
                <c:pt idx="4">
                  <c:v>0.0003931029467443574</c:v>
                </c:pt>
                <c:pt idx="5">
                  <c:v>0.0008964633279583115</c:v>
                </c:pt>
                <c:pt idx="6">
                  <c:v>0.0020901306182861375</c:v>
                </c:pt>
                <c:pt idx="8">
                  <c:v>0.00040112545586158926</c:v>
                </c:pt>
                <c:pt idx="9">
                  <c:v>0.0009147584979166444</c:v>
                </c:pt>
                <c:pt idx="10">
                  <c:v>0.0021327863451899363</c:v>
                </c:pt>
                <c:pt idx="12">
                  <c:v>0.0003441649422636975</c:v>
                </c:pt>
                <c:pt idx="13">
                  <c:v>0.0008242591181409232</c:v>
                </c:pt>
                <c:pt idx="14">
                  <c:v>0.002012919665130942</c:v>
                </c:pt>
                <c:pt idx="16">
                  <c:v>0.00032142087562654886</c:v>
                </c:pt>
                <c:pt idx="17">
                  <c:v>0.0007686943028818056</c:v>
                </c:pt>
                <c:pt idx="18">
                  <c:v>0.001873862339134673</c:v>
                </c:pt>
                <c:pt idx="20">
                  <c:v>0.0005529821516155679</c:v>
                </c:pt>
                <c:pt idx="21">
                  <c:v>0.0013784324889681888</c:v>
                </c:pt>
                <c:pt idx="22">
                  <c:v>0.0035355893191220244</c:v>
                </c:pt>
                <c:pt idx="24">
                  <c:v>0.00026077737811989045</c:v>
                </c:pt>
                <c:pt idx="25">
                  <c:v>0.0007799716262595976</c:v>
                </c:pt>
                <c:pt idx="26">
                  <c:v>0.0017338980985067715</c:v>
                </c:pt>
              </c:numCache>
            </c:numRef>
          </c:val>
        </c:ser>
        <c:ser>
          <c:idx val="3"/>
          <c:order val="3"/>
          <c:tx>
            <c:strRef>
              <c:f>Plots!$C$61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Plots!$AA$61:$BA$61</c:f>
              <c:numCache>
                <c:formatCode>General</c:formatCode>
                <c:ptCount val="27"/>
                <c:pt idx="0">
                  <c:v>0.019291990949821744</c:v>
                </c:pt>
                <c:pt idx="1">
                  <c:v>0.06515227293510552</c:v>
                </c:pt>
                <c:pt idx="2">
                  <c:v>0.18696553473351504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0.005843141050232235</c:v>
                </c:pt>
                <c:pt idx="17">
                  <c:v>0.019784353546729375</c:v>
                </c:pt>
                <c:pt idx="18">
                  <c:v>0.057028141079318584</c:v>
                </c:pt>
                <c:pt idx="20">
                  <c:v>0.010052715785345782</c:v>
                </c:pt>
                <c:pt idx="21">
                  <c:v>0.03547755668255296</c:v>
                </c:pt>
                <c:pt idx="22">
                  <c:v>0.10760026618739355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Plots!$C$62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Plots!$AA$62:$BA$62</c:f>
              <c:numCache>
                <c:formatCode>General</c:formatCode>
                <c:ptCount val="27"/>
                <c:pt idx="0">
                  <c:v>0.011316160792974815</c:v>
                </c:pt>
                <c:pt idx="1">
                  <c:v>0.0317182575711532</c:v>
                </c:pt>
                <c:pt idx="2">
                  <c:v>0.07427519022720994</c:v>
                </c:pt>
                <c:pt idx="4">
                  <c:v>0.001701081587418887</c:v>
                </c:pt>
                <c:pt idx="5">
                  <c:v>0.0030980976058889967</c:v>
                </c:pt>
                <c:pt idx="6">
                  <c:v>0.0061477187396838506</c:v>
                </c:pt>
                <c:pt idx="8">
                  <c:v>0.0017357975381825381</c:v>
                </c:pt>
                <c:pt idx="9">
                  <c:v>0.0031613240876418335</c:v>
                </c:pt>
                <c:pt idx="10">
                  <c:v>0.0062731823874325006</c:v>
                </c:pt>
                <c:pt idx="12">
                  <c:v>0.002108573183693615</c:v>
                </c:pt>
                <c:pt idx="13">
                  <c:v>0.004968897685643401</c:v>
                </c:pt>
                <c:pt idx="14">
                  <c:v>0.01092897636187586</c:v>
                </c:pt>
                <c:pt idx="16">
                  <c:v>0.0012429499332792502</c:v>
                </c:pt>
                <c:pt idx="17">
                  <c:v>0.017077087033052878</c:v>
                </c:pt>
                <c:pt idx="18">
                  <c:v>0.05804595116172672</c:v>
                </c:pt>
                <c:pt idx="20">
                  <c:v>0.002138408487362151</c:v>
                </c:pt>
                <c:pt idx="21">
                  <c:v>0.030622851626515714</c:v>
                </c:pt>
                <c:pt idx="22">
                  <c:v>0.10952066256929568</c:v>
                </c:pt>
                <c:pt idx="24">
                  <c:v>0.000002835601172205475</c:v>
                </c:pt>
                <c:pt idx="25">
                  <c:v>0.000002984843339163658</c:v>
                </c:pt>
                <c:pt idx="26">
                  <c:v>0.000003150667969117194</c:v>
                </c:pt>
              </c:numCache>
            </c:numRef>
          </c:val>
        </c:ser>
        <c:ser>
          <c:idx val="5"/>
          <c:order val="5"/>
          <c:tx>
            <c:strRef>
              <c:f>Plots!$C$63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Plots!$AA$63:$BA$63</c:f>
              <c:numCache>
                <c:formatCode>General</c:formatCode>
                <c:ptCount val="27"/>
                <c:pt idx="0">
                  <c:v>0.011286065138036691</c:v>
                </c:pt>
                <c:pt idx="1">
                  <c:v>0.01783158304585511</c:v>
                </c:pt>
                <c:pt idx="2">
                  <c:v>0.03333677621041468</c:v>
                </c:pt>
                <c:pt idx="4">
                  <c:v>0.0051029338963569995</c:v>
                </c:pt>
                <c:pt idx="5">
                  <c:v>0.008899991631445777</c:v>
                </c:pt>
                <c:pt idx="6">
                  <c:v>0.017755358242716283</c:v>
                </c:pt>
                <c:pt idx="8">
                  <c:v>0.005207075404445918</c:v>
                </c:pt>
                <c:pt idx="9">
                  <c:v>0.00908162411372018</c:v>
                </c:pt>
                <c:pt idx="10">
                  <c:v>0.018117712492567634</c:v>
                </c:pt>
                <c:pt idx="12">
                  <c:v>0.007903252501007183</c:v>
                </c:pt>
                <c:pt idx="13">
                  <c:v>0.014605135409504678</c:v>
                </c:pt>
                <c:pt idx="14">
                  <c:v>0.03068445418246043</c:v>
                </c:pt>
                <c:pt idx="16">
                  <c:v>0.003510489766391592</c:v>
                </c:pt>
                <c:pt idx="17">
                  <c:v>0.006828564924447976</c:v>
                </c:pt>
                <c:pt idx="18">
                  <c:v>0.014873682494734712</c:v>
                </c:pt>
                <c:pt idx="20">
                  <c:v>0.006039552286265105</c:v>
                </c:pt>
                <c:pt idx="21">
                  <c:v>0.012245070256927604</c:v>
                </c:pt>
                <c:pt idx="22">
                  <c:v>0.028063551876857946</c:v>
                </c:pt>
                <c:pt idx="24">
                  <c:v>0.005140870940772209</c:v>
                </c:pt>
                <c:pt idx="25">
                  <c:v>0.00981467751636203</c:v>
                </c:pt>
                <c:pt idx="26">
                  <c:v>0.017963409659482142</c:v>
                </c:pt>
              </c:numCache>
            </c:numRef>
          </c:val>
        </c:ser>
        <c:ser>
          <c:idx val="6"/>
          <c:order val="6"/>
          <c:tx>
            <c:strRef>
              <c:f>Plots!$C$64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Plots!$AA$64:$BA$64</c:f>
              <c:numCache>
                <c:formatCode>General</c:formatCode>
                <c:ptCount val="27"/>
                <c:pt idx="0">
                  <c:v>0.022780550041458715</c:v>
                </c:pt>
                <c:pt idx="1">
                  <c:v>0.06474884556759285</c:v>
                </c:pt>
                <c:pt idx="2">
                  <c:v>0.17628047910672495</c:v>
                </c:pt>
                <c:pt idx="4">
                  <c:v>0.0034063705389041337</c:v>
                </c:pt>
                <c:pt idx="5">
                  <c:v>0.006226708899730833</c:v>
                </c:pt>
                <c:pt idx="6">
                  <c:v>0.012362010470870126</c:v>
                </c:pt>
                <c:pt idx="8">
                  <c:v>0.0034758883050042184</c:v>
                </c:pt>
                <c:pt idx="9">
                  <c:v>0.006353784591562075</c:v>
                </c:pt>
                <c:pt idx="10">
                  <c:v>0.012614296398847065</c:v>
                </c:pt>
                <c:pt idx="12">
                  <c:v>0.00421714636738723</c:v>
                </c:pt>
                <c:pt idx="13">
                  <c:v>0.009937795371286803</c:v>
                </c:pt>
                <c:pt idx="14">
                  <c:v>0.02185795272375172</c:v>
                </c:pt>
                <c:pt idx="16">
                  <c:v>0.0025101067791075257</c:v>
                </c:pt>
                <c:pt idx="17">
                  <c:v>0.03433241089608643</c:v>
                </c:pt>
                <c:pt idx="18">
                  <c:v>0.11655985823442352</c:v>
                </c:pt>
                <c:pt idx="20">
                  <c:v>0.004318463275883915</c:v>
                </c:pt>
                <c:pt idx="21">
                  <c:v>0.06156531982395564</c:v>
                </c:pt>
                <c:pt idx="22">
                  <c:v>0.219924260819667</c:v>
                </c:pt>
                <c:pt idx="24">
                  <c:v>0.00000567120234441095</c:v>
                </c:pt>
                <c:pt idx="25">
                  <c:v>0.000005969686678327316</c:v>
                </c:pt>
                <c:pt idx="26">
                  <c:v>0.000006301335938234388</c:v>
                </c:pt>
              </c:numCache>
            </c:numRef>
          </c:val>
        </c:ser>
        <c:ser>
          <c:idx val="7"/>
          <c:order val="7"/>
          <c:tx>
            <c:strRef>
              <c:f>Plots!$C$65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Plots!$AA$65:$BA$65</c:f>
              <c:numCache>
                <c:formatCode>General</c:formatCode>
                <c:ptCount val="27"/>
                <c:pt idx="0">
                  <c:v>0.004981599455018656</c:v>
                </c:pt>
                <c:pt idx="1">
                  <c:v>0.019995365632340535</c:v>
                </c:pt>
                <c:pt idx="2">
                  <c:v>0.07352312458938697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0.028143873352985533</c:v>
                </c:pt>
                <c:pt idx="9">
                  <c:v>0.07612144487971338</c:v>
                </c:pt>
                <c:pt idx="10">
                  <c:v>0.30323754301571076</c:v>
                </c:pt>
                <c:pt idx="12">
                  <c:v>0.04506315241005555</c:v>
                </c:pt>
                <c:pt idx="13">
                  <c:v>0.09775895454769046</c:v>
                </c:pt>
                <c:pt idx="14">
                  <c:v>0.27718107670222975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0.05646580155212565</c:v>
                </c:pt>
                <c:pt idx="21">
                  <c:v>0.09308315643667531</c:v>
                </c:pt>
                <c:pt idx="22">
                  <c:v>0.18231300535609946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Plots!$C$66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Plots!$AA$66:$BA$66</c:f>
              <c:numCache>
                <c:formatCode>General</c:formatCode>
                <c:ptCount val="27"/>
                <c:pt idx="0">
                  <c:v>0.024189398809287922</c:v>
                </c:pt>
                <c:pt idx="1">
                  <c:v>0.04023892437556602</c:v>
                </c:pt>
                <c:pt idx="2">
                  <c:v>0.06828057755799903</c:v>
                </c:pt>
                <c:pt idx="4">
                  <c:v>0.024189398809287922</c:v>
                </c:pt>
                <c:pt idx="5">
                  <c:v>0.04023892437556602</c:v>
                </c:pt>
                <c:pt idx="6">
                  <c:v>0.06828057755799903</c:v>
                </c:pt>
                <c:pt idx="8">
                  <c:v>0.024189398809287922</c:v>
                </c:pt>
                <c:pt idx="9">
                  <c:v>0.04023892437556602</c:v>
                </c:pt>
                <c:pt idx="10">
                  <c:v>0.06828057755799903</c:v>
                </c:pt>
                <c:pt idx="12">
                  <c:v>0.024189398809287922</c:v>
                </c:pt>
                <c:pt idx="13">
                  <c:v>0.04023892437556602</c:v>
                </c:pt>
                <c:pt idx="14">
                  <c:v>0.06828057755799903</c:v>
                </c:pt>
                <c:pt idx="16">
                  <c:v>0.02289384122665432</c:v>
                </c:pt>
                <c:pt idx="17">
                  <c:v>0.035122442880505436</c:v>
                </c:pt>
                <c:pt idx="18">
                  <c:v>0.06066917676002661</c:v>
                </c:pt>
                <c:pt idx="20">
                  <c:v>0.024189398809287922</c:v>
                </c:pt>
                <c:pt idx="21">
                  <c:v>0.04023892437556602</c:v>
                </c:pt>
                <c:pt idx="22">
                  <c:v>0.06828057755799903</c:v>
                </c:pt>
                <c:pt idx="24">
                  <c:v>0.010436556778254301</c:v>
                </c:pt>
                <c:pt idx="25">
                  <c:v>0.020822614955538103</c:v>
                </c:pt>
                <c:pt idx="26">
                  <c:v>0.05573326554874335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5"/>
        <c:overlap val="100"/>
        <c:axId val="1419763927"/>
        <c:axId val="546506633"/>
      </c:barChart>
      <c:catAx>
        <c:axId val="141976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300"/>
            </a:pPr>
            <a:endParaRPr lang="de-DE"/>
          </a:p>
        </c:txPr>
        <c:crossAx val="546506633"/>
        <c:crosses val="autoZero"/>
        <c:auto val="1"/>
        <c:lblAlgn val="ctr"/>
        <c:lblOffset val="100"/>
        <c:noMultiLvlLbl val="1"/>
      </c:catAx>
      <c:valAx>
        <c:axId val="546506633"/>
        <c:scaling>
          <c:orientation val="minMax"/>
          <c:max val="2.500000"/>
          <c:min val="0.000000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5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Levilized cost of electricity </a:t>
                </a:r>
                <a:r>
                  <a:rPr lang="de-DE" sz="1500"/>
                  <a:t>[USD/kWh</a:t>
                </a:r>
                <a:r>
                  <a:rPr lang="de-DE" sz="1500" baseline="-25000"/>
                  <a:t>e</a:t>
                </a:r>
                <a:r>
                  <a:rPr lang="de-DE" sz="1500"/>
                  <a:t>]</a:t>
                </a:r>
                <a:endParaRPr lang="de-DE" sz="1500"/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spPr bwMode="auto">
          <a:ln/>
        </c:spPr>
        <c:txPr>
          <a:bodyPr/>
          <a:lstStyle/>
          <a:p>
            <a:pPr>
              <a:defRPr sz="1200"/>
            </a:pPr>
            <a:endParaRPr lang="de-DE"/>
          </a:p>
        </c:txPr>
        <c:crossAx val="1419763927"/>
        <c:crosses val="autoZero"/>
        <c:crossBetween val="between"/>
        <c:majorUnit val="0.500000"/>
        <c:minorUnit val="0.100000"/>
      </c:valAx>
    </c:plotArea>
    <c:legend>
      <c:legendPos val="b"/>
      <c:layout>
        <c:manualLayout>
          <c:xMode val="edge"/>
          <c:yMode val="edge"/>
          <c:x val="0.060248"/>
          <c:y val="0.916275"/>
          <c:w val="0.922678"/>
          <c:h val="0.083725"/>
        </c:manualLayout>
      </c:layout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  <c:userShapes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1708"/>
          <c:y val="0.079610"/>
          <c:w val="0.921784"/>
          <c:h val="0.74091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Plots!$C$69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Plots!$AA$69:$BA$69</c:f>
              <c:numCache>
                <c:formatCode>General</c:formatCode>
                <c:ptCount val="27"/>
                <c:pt idx="0">
                  <c:v>0.04348733735888444</c:v>
                </c:pt>
                <c:pt idx="1">
                  <c:v>0.15898072092827722</c:v>
                </c:pt>
                <c:pt idx="2">
                  <c:v>0.4341445954901878</c:v>
                </c:pt>
                <c:pt idx="4">
                  <c:v>0.0501726791828637</c:v>
                </c:pt>
                <c:pt idx="5">
                  <c:v>0.1815867399549491</c:v>
                </c:pt>
                <c:pt idx="6">
                  <c:v>0.4908682585500298</c:v>
                </c:pt>
                <c:pt idx="8">
                  <c:v>0.05119661141108542</c:v>
                </c:pt>
                <c:pt idx="9">
                  <c:v>0.18529259179076438</c:v>
                </c:pt>
                <c:pt idx="10">
                  <c:v>0.5008859781122754</c:v>
                </c:pt>
                <c:pt idx="12">
                  <c:v>0.04392660339281257</c:v>
                </c:pt>
                <c:pt idx="13">
                  <c:v>0.16696112542855948</c:v>
                </c:pt>
                <c:pt idx="14">
                  <c:v>0.47273522620042663</c:v>
                </c:pt>
                <c:pt idx="16">
                  <c:v>0.054010715469768336</c:v>
                </c:pt>
                <c:pt idx="17">
                  <c:v>0.19852554119335733</c:v>
                </c:pt>
                <c:pt idx="18">
                  <c:v>0.5466538252063116</c:v>
                </c:pt>
                <c:pt idx="20">
                  <c:v>0.09292166102325736</c:v>
                </c:pt>
                <c:pt idx="21">
                  <c:v>0.35599854824602917</c:v>
                </c:pt>
                <c:pt idx="22">
                  <c:v>1.0314223117100216</c:v>
                </c:pt>
                <c:pt idx="24">
                  <c:v>0.04382034223237681</c:v>
                </c:pt>
                <c:pt idx="25">
                  <c:v>0.15799029413998145</c:v>
                </c:pt>
                <c:pt idx="26">
                  <c:v>0.4072068667244939</c:v>
                </c:pt>
              </c:numCache>
            </c:numRef>
          </c:val>
        </c:ser>
        <c:ser>
          <c:idx val="1"/>
          <c:order val="1"/>
          <c:tx>
            <c:strRef>
              <c:f>Plots!$C$70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Plots!$AA$70:$BA$70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0.010874496327375811</c:v>
                </c:pt>
                <c:pt idx="5">
                  <c:v>0.035408282325537055</c:v>
                </c:pt>
                <c:pt idx="6">
                  <c:v>0.09307848124836535</c:v>
                </c:pt>
                <c:pt idx="8">
                  <c:v>0.01109642482385287</c:v>
                </c:pt>
                <c:pt idx="9">
                  <c:v>0.036130900332180665</c:v>
                </c:pt>
                <c:pt idx="10">
                  <c:v>0.09497804209016873</c:v>
                </c:pt>
                <c:pt idx="12">
                  <c:v>0.0015568224126815146</c:v>
                </c:pt>
                <c:pt idx="13">
                  <c:v>0.006620372939270234</c:v>
                </c:pt>
                <c:pt idx="14">
                  <c:v>0.019640430830880868</c:v>
                </c:pt>
                <c:pt idx="16">
                  <c:v>0.008901766212012257</c:v>
                </c:pt>
                <c:pt idx="17">
                  <c:v>0.0646771701186791</c:v>
                </c:pt>
                <c:pt idx="18">
                  <c:v>0.19863675863021557</c:v>
                </c:pt>
                <c:pt idx="20">
                  <c:v>0.015314866601311412</c:v>
                </c:pt>
                <c:pt idx="21">
                  <c:v>0.11597993149146309</c:v>
                </c:pt>
                <c:pt idx="22">
                  <c:v>0.3747863370381425</c:v>
                </c:pt>
                <c:pt idx="24">
                  <c:v>0.07557832730597137</c:v>
                </c:pt>
                <c:pt idx="25">
                  <c:v>0.14292818325285397</c:v>
                </c:pt>
                <c:pt idx="26">
                  <c:v>0.2129871898393715</c:v>
                </c:pt>
              </c:numCache>
            </c:numRef>
          </c:val>
        </c:ser>
        <c:ser>
          <c:idx val="2"/>
          <c:order val="2"/>
          <c:tx>
            <c:strRef>
              <c:f>Plots!$C$71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Plots!$AA$71:$BA$71</c:f>
              <c:numCache>
                <c:formatCode>General</c:formatCode>
                <c:ptCount val="27"/>
                <c:pt idx="0">
                  <c:v>0.0003407232928410606</c:v>
                </c:pt>
                <c:pt idx="1">
                  <c:v>0.0007848611974637228</c:v>
                </c:pt>
                <c:pt idx="2">
                  <c:v>0.0018485996924671917</c:v>
                </c:pt>
                <c:pt idx="4">
                  <c:v>0.0003931029467443574</c:v>
                </c:pt>
                <c:pt idx="5">
                  <c:v>0.0008964633279583113</c:v>
                </c:pt>
                <c:pt idx="6">
                  <c:v>0.0020901306182861375</c:v>
                </c:pt>
                <c:pt idx="8">
                  <c:v>0.0004011254558615892</c:v>
                </c:pt>
                <c:pt idx="9">
                  <c:v>0.0009147584979166442</c:v>
                </c:pt>
                <c:pt idx="10">
                  <c:v>0.0021327863451899363</c:v>
                </c:pt>
                <c:pt idx="12">
                  <c:v>0.0003441649422636975</c:v>
                </c:pt>
                <c:pt idx="13">
                  <c:v>0.0008242591181409233</c:v>
                </c:pt>
                <c:pt idx="14">
                  <c:v>0.002012919665130942</c:v>
                </c:pt>
                <c:pt idx="16">
                  <c:v>0.00032142087562654886</c:v>
                </c:pt>
                <c:pt idx="17">
                  <c:v>0.0007686943028818057</c:v>
                </c:pt>
                <c:pt idx="18">
                  <c:v>0.001873862339134673</c:v>
                </c:pt>
                <c:pt idx="20">
                  <c:v>0.0005529821516155679</c:v>
                </c:pt>
                <c:pt idx="21">
                  <c:v>0.0013784324889681888</c:v>
                </c:pt>
                <c:pt idx="22">
                  <c:v>0.0035355893191220244</c:v>
                </c:pt>
                <c:pt idx="24">
                  <c:v>0.0002607773781198904</c:v>
                </c:pt>
                <c:pt idx="25">
                  <c:v>0.0007799716262595974</c:v>
                </c:pt>
                <c:pt idx="26">
                  <c:v>0.0017338980985067715</c:v>
                </c:pt>
              </c:numCache>
            </c:numRef>
          </c:val>
        </c:ser>
        <c:ser>
          <c:idx val="3"/>
          <c:order val="3"/>
          <c:tx>
            <c:strRef>
              <c:f>Plots!$C$72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Plots!$AA$72:$BA$72</c:f>
              <c:numCache>
                <c:formatCode>General</c:formatCode>
                <c:ptCount val="27"/>
                <c:pt idx="0">
                  <c:v>0.019291990949821744</c:v>
                </c:pt>
                <c:pt idx="1">
                  <c:v>0.06515227293510552</c:v>
                </c:pt>
                <c:pt idx="2">
                  <c:v>0.18696553473351507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0.0058431410502322355</c:v>
                </c:pt>
                <c:pt idx="17">
                  <c:v>0.019784353546729378</c:v>
                </c:pt>
                <c:pt idx="18">
                  <c:v>0.057028141079318584</c:v>
                </c:pt>
                <c:pt idx="20">
                  <c:v>0.010052715785345782</c:v>
                </c:pt>
                <c:pt idx="21">
                  <c:v>0.03547755668255296</c:v>
                </c:pt>
                <c:pt idx="22">
                  <c:v>0.10760026618739355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Plots!$C$73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Plots!$AA$73:$BA$73</c:f>
              <c:numCache>
                <c:formatCode>General</c:formatCode>
                <c:ptCount val="27"/>
                <c:pt idx="0">
                  <c:v>0.011316160792974813</c:v>
                </c:pt>
                <c:pt idx="1">
                  <c:v>0.031718257571153194</c:v>
                </c:pt>
                <c:pt idx="2">
                  <c:v>0.07427519022720995</c:v>
                </c:pt>
                <c:pt idx="4">
                  <c:v>0.0017010815874188869</c:v>
                </c:pt>
                <c:pt idx="5">
                  <c:v>0.0030980976058889967</c:v>
                </c:pt>
                <c:pt idx="6">
                  <c:v>0.00614771873968385</c:v>
                </c:pt>
                <c:pt idx="8">
                  <c:v>0.001735797538182538</c:v>
                </c:pt>
                <c:pt idx="9">
                  <c:v>0.003161324087641833</c:v>
                </c:pt>
                <c:pt idx="10">
                  <c:v>0.0062731823874325006</c:v>
                </c:pt>
                <c:pt idx="12">
                  <c:v>0.0021085731836936153</c:v>
                </c:pt>
                <c:pt idx="13">
                  <c:v>0.004968897685643402</c:v>
                </c:pt>
                <c:pt idx="14">
                  <c:v>0.01092897636187586</c:v>
                </c:pt>
                <c:pt idx="16">
                  <c:v>0.0012429499332792505</c:v>
                </c:pt>
                <c:pt idx="17">
                  <c:v>0.01707708703305288</c:v>
                </c:pt>
                <c:pt idx="18">
                  <c:v>0.058045951161726714</c:v>
                </c:pt>
                <c:pt idx="20">
                  <c:v>0.0021384084873621516</c:v>
                </c:pt>
                <c:pt idx="21">
                  <c:v>0.030622851626515717</c:v>
                </c:pt>
                <c:pt idx="22">
                  <c:v>0.10952066256929568</c:v>
                </c:pt>
                <c:pt idx="24">
                  <c:v>0.000002835601172205475</c:v>
                </c:pt>
                <c:pt idx="25">
                  <c:v>0.0000029848433391636578</c:v>
                </c:pt>
                <c:pt idx="26">
                  <c:v>0.0000031506679691171946</c:v>
                </c:pt>
              </c:numCache>
            </c:numRef>
          </c:val>
        </c:ser>
        <c:ser>
          <c:idx val="5"/>
          <c:order val="5"/>
          <c:tx>
            <c:strRef>
              <c:f>Plots!$C$74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Plots!$AA$74:$BA$74</c:f>
              <c:numCache>
                <c:formatCode>General</c:formatCode>
                <c:ptCount val="27"/>
                <c:pt idx="0">
                  <c:v>0.027784951014168634</c:v>
                </c:pt>
                <c:pt idx="1">
                  <c:v>0.04473642384142669</c:v>
                </c:pt>
                <c:pt idx="2">
                  <c:v>0.08494569619007392</c:v>
                </c:pt>
                <c:pt idx="4">
                  <c:v>0.01207552954051784</c:v>
                </c:pt>
                <c:pt idx="5">
                  <c:v>0.02176454677274716</c:v>
                </c:pt>
                <c:pt idx="6">
                  <c:v>0.04438040368163556</c:v>
                </c:pt>
                <c:pt idx="8">
                  <c:v>0.012321968918895757</c:v>
                </c:pt>
                <c:pt idx="9">
                  <c:v>0.022208721196680777</c:v>
                </c:pt>
                <c:pt idx="10">
                  <c:v>0.04528612620575058</c:v>
                </c:pt>
                <c:pt idx="12">
                  <c:v>0.01975258018022426</c:v>
                </c:pt>
                <c:pt idx="13">
                  <c:v>0.038016238677249216</c:v>
                </c:pt>
                <c:pt idx="14">
                  <c:v>0.08201144864793211</c:v>
                </c:pt>
                <c:pt idx="16">
                  <c:v>0.007283991997185395</c:v>
                </c:pt>
                <c:pt idx="17">
                  <c:v>0.015598292654117921</c:v>
                </c:pt>
                <c:pt idx="18">
                  <c:v>0.035751206312857824</c:v>
                </c:pt>
                <c:pt idx="20">
                  <c:v>0.012531599134942617</c:v>
                </c:pt>
                <c:pt idx="21">
                  <c:v>0.027971058568097652</c:v>
                </c:pt>
                <c:pt idx="22">
                  <c:v>0.06745510625067513</c:v>
                </c:pt>
                <c:pt idx="24">
                  <c:v>0.009266184343030354</c:v>
                </c:pt>
                <c:pt idx="25">
                  <c:v>0.024702605421828835</c:v>
                </c:pt>
                <c:pt idx="26">
                  <c:v>0.041856886091802194</c:v>
                </c:pt>
              </c:numCache>
            </c:numRef>
          </c:val>
        </c:ser>
        <c:ser>
          <c:idx val="6"/>
          <c:order val="6"/>
          <c:tx>
            <c:strRef>
              <c:f>Plots!$C$75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Plots!$AA$75:$BA$75</c:f>
              <c:numCache>
                <c:formatCode>General</c:formatCode>
                <c:ptCount val="27"/>
                <c:pt idx="0">
                  <c:v>0.02278055004145871</c:v>
                </c:pt>
                <c:pt idx="1">
                  <c:v>0.06474884556759285</c:v>
                </c:pt>
                <c:pt idx="2">
                  <c:v>0.17628047910672495</c:v>
                </c:pt>
                <c:pt idx="4">
                  <c:v>0.0034063705389041337</c:v>
                </c:pt>
                <c:pt idx="5">
                  <c:v>0.0062267088997308324</c:v>
                </c:pt>
                <c:pt idx="6">
                  <c:v>0.012362010470870124</c:v>
                </c:pt>
                <c:pt idx="8">
                  <c:v>0.0034758883050042184</c:v>
                </c:pt>
                <c:pt idx="9">
                  <c:v>0.006353784591562075</c:v>
                </c:pt>
                <c:pt idx="10">
                  <c:v>0.012614296398847067</c:v>
                </c:pt>
                <c:pt idx="12">
                  <c:v>0.004217146367387231</c:v>
                </c:pt>
                <c:pt idx="13">
                  <c:v>0.009937795371286804</c:v>
                </c:pt>
                <c:pt idx="14">
                  <c:v>0.02185795272375172</c:v>
                </c:pt>
                <c:pt idx="16">
                  <c:v>0.0025101067791075257</c:v>
                </c:pt>
                <c:pt idx="17">
                  <c:v>0.034332410896086435</c:v>
                </c:pt>
                <c:pt idx="18">
                  <c:v>0.11655985823442352</c:v>
                </c:pt>
                <c:pt idx="20">
                  <c:v>0.004318463275883915</c:v>
                </c:pt>
                <c:pt idx="21">
                  <c:v>0.06156531982395563</c:v>
                </c:pt>
                <c:pt idx="22">
                  <c:v>0.219924260819667</c:v>
                </c:pt>
                <c:pt idx="24">
                  <c:v>0.00000567120234441095</c:v>
                </c:pt>
                <c:pt idx="25">
                  <c:v>0.0000059696866783273155</c:v>
                </c:pt>
                <c:pt idx="26">
                  <c:v>0.000006301335938234389</c:v>
                </c:pt>
              </c:numCache>
            </c:numRef>
          </c:val>
        </c:ser>
        <c:ser>
          <c:idx val="7"/>
          <c:order val="7"/>
          <c:tx>
            <c:strRef>
              <c:f>Plots!$C$76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Plots!$AA$76:$BA$76</c:f>
              <c:numCache>
                <c:formatCode>General</c:formatCode>
                <c:ptCount val="27"/>
                <c:pt idx="0">
                  <c:v>0.004981599455018657</c:v>
                </c:pt>
                <c:pt idx="1">
                  <c:v>0.01999536563234053</c:v>
                </c:pt>
                <c:pt idx="2">
                  <c:v>0.07352312458938697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0.02814387335298554</c:v>
                </c:pt>
                <c:pt idx="9">
                  <c:v>0.0761214448797134</c:v>
                </c:pt>
                <c:pt idx="10">
                  <c:v>0.3032375430157108</c:v>
                </c:pt>
                <c:pt idx="12">
                  <c:v>0.04506315241005555</c:v>
                </c:pt>
                <c:pt idx="13">
                  <c:v>0.09775895454769047</c:v>
                </c:pt>
                <c:pt idx="14">
                  <c:v>0.2771810767022298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0.05646580155212566</c:v>
                </c:pt>
                <c:pt idx="21">
                  <c:v>0.09308315643667531</c:v>
                </c:pt>
                <c:pt idx="22">
                  <c:v>0.18231300535609946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Plots!$C$77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Plots!$AA$77:$BA$77</c:f>
              <c:numCache>
                <c:formatCode>General</c:formatCode>
                <c:ptCount val="27"/>
                <c:pt idx="0">
                  <c:v>0.024189398809287922</c:v>
                </c:pt>
                <c:pt idx="1">
                  <c:v>0.04023892437556602</c:v>
                </c:pt>
                <c:pt idx="2">
                  <c:v>0.06828057755799903</c:v>
                </c:pt>
                <c:pt idx="4">
                  <c:v>0.024189398809287922</c:v>
                </c:pt>
                <c:pt idx="5">
                  <c:v>0.04023892437556602</c:v>
                </c:pt>
                <c:pt idx="6">
                  <c:v>0.06828057755799903</c:v>
                </c:pt>
                <c:pt idx="8">
                  <c:v>0.024189398809287922</c:v>
                </c:pt>
                <c:pt idx="9">
                  <c:v>0.04023892437556602</c:v>
                </c:pt>
                <c:pt idx="10">
                  <c:v>0.06828057755799903</c:v>
                </c:pt>
                <c:pt idx="12">
                  <c:v>0.024189398809287922</c:v>
                </c:pt>
                <c:pt idx="13">
                  <c:v>0.04023892437556602</c:v>
                </c:pt>
                <c:pt idx="14">
                  <c:v>0.06828057755799903</c:v>
                </c:pt>
                <c:pt idx="16">
                  <c:v>0.02289384122665432</c:v>
                </c:pt>
                <c:pt idx="17">
                  <c:v>0.035122442880505436</c:v>
                </c:pt>
                <c:pt idx="18">
                  <c:v>0.06066917676002661</c:v>
                </c:pt>
                <c:pt idx="20">
                  <c:v>0.024189398809287922</c:v>
                </c:pt>
                <c:pt idx="21">
                  <c:v>0.04023892437556602</c:v>
                </c:pt>
                <c:pt idx="22">
                  <c:v>0.06828057755799903</c:v>
                </c:pt>
                <c:pt idx="24">
                  <c:v>0.010436556778254301</c:v>
                </c:pt>
                <c:pt idx="25">
                  <c:v>0.020822614955538103</c:v>
                </c:pt>
                <c:pt idx="26">
                  <c:v>0.05573326554874335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5"/>
        <c:overlap val="100"/>
        <c:axId val="1419763927"/>
        <c:axId val="546506633"/>
      </c:barChart>
      <c:catAx>
        <c:axId val="141976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300"/>
            </a:pPr>
            <a:endParaRPr lang="de-DE"/>
          </a:p>
        </c:txPr>
        <c:crossAx val="546506633"/>
        <c:crosses val="autoZero"/>
        <c:auto val="1"/>
        <c:lblAlgn val="ctr"/>
        <c:lblOffset val="100"/>
        <c:noMultiLvlLbl val="1"/>
      </c:catAx>
      <c:valAx>
        <c:axId val="546506633"/>
        <c:scaling>
          <c:orientation val="minMax"/>
          <c:max val="2.500000"/>
          <c:min val="0.000000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500"/>
                  <a:t>Levilized cost</a:t>
                </a:r>
                <a:r>
                  <a:rPr lang="de-DE" sz="1500"/>
                  <a:t> of electricity</a:t>
                </a:r>
                <a:r>
                  <a:rPr lang="de-DE" sz="1500"/>
                  <a:t> [USD/kWh</a:t>
                </a:r>
                <a:r>
                  <a:rPr lang="de-DE" sz="1500" baseline="-25000"/>
                  <a:t>e</a:t>
                </a:r>
                <a:r>
                  <a:rPr lang="de-DE" sz="1500"/>
                  <a:t>]</a:t>
                </a:r>
                <a:endParaRPr lang="de-DE" sz="1500"/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spPr bwMode="auto">
          <a:ln/>
        </c:spPr>
        <c:txPr>
          <a:bodyPr/>
          <a:lstStyle/>
          <a:p>
            <a:pPr>
              <a:defRPr sz="1200"/>
            </a:pPr>
            <a:endParaRPr lang="de-DE"/>
          </a:p>
        </c:txPr>
        <c:crossAx val="1419763927"/>
        <c:crosses val="autoZero"/>
        <c:crossBetween val="between"/>
        <c:majorUnit val="0.500000"/>
        <c:minorUnit val="0.100000"/>
      </c:valAx>
    </c:plotArea>
    <c:legend>
      <c:legendPos val="b"/>
      <c:layout>
        <c:manualLayout>
          <c:xMode val="edge"/>
          <c:yMode val="edge"/>
          <c:x val="0.060248"/>
          <c:y val="0.916275"/>
          <c:w val="0.922678"/>
          <c:h val="0.083725"/>
        </c:manualLayout>
      </c:layout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  <c:userShapes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1708"/>
          <c:y val="0.079610"/>
          <c:w val="0.921784"/>
          <c:h val="0.74091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Plots!$C$80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Plots!$AA$80:$BA$80</c:f>
              <c:numCache>
                <c:formatCode>General</c:formatCode>
                <c:ptCount val="27"/>
                <c:pt idx="0">
                  <c:v>0.04348733735888444</c:v>
                </c:pt>
                <c:pt idx="1">
                  <c:v>0.15898072092827722</c:v>
                </c:pt>
                <c:pt idx="2">
                  <c:v>0.43414459549018775</c:v>
                </c:pt>
                <c:pt idx="4">
                  <c:v>0.0501726791828637</c:v>
                </c:pt>
                <c:pt idx="5">
                  <c:v>0.18158673995494906</c:v>
                </c:pt>
                <c:pt idx="6">
                  <c:v>0.49086825855002986</c:v>
                </c:pt>
                <c:pt idx="8">
                  <c:v>0.05119661141108542</c:v>
                </c:pt>
                <c:pt idx="9">
                  <c:v>0.18529259179076435</c:v>
                </c:pt>
                <c:pt idx="10">
                  <c:v>0.5008859781122753</c:v>
                </c:pt>
                <c:pt idx="12">
                  <c:v>0.04392660339281257</c:v>
                </c:pt>
                <c:pt idx="13">
                  <c:v>0.1669611254285595</c:v>
                </c:pt>
                <c:pt idx="14">
                  <c:v>0.4727352262004266</c:v>
                </c:pt>
                <c:pt idx="16">
                  <c:v>0.054010715469768336</c:v>
                </c:pt>
                <c:pt idx="17">
                  <c:v>0.19852554119335736</c:v>
                </c:pt>
                <c:pt idx="18">
                  <c:v>0.5466538252063117</c:v>
                </c:pt>
                <c:pt idx="20">
                  <c:v>0.09292166102325736</c:v>
                </c:pt>
                <c:pt idx="21">
                  <c:v>0.3559985482460292</c:v>
                </c:pt>
                <c:pt idx="22">
                  <c:v>1.0314223117100219</c:v>
                </c:pt>
                <c:pt idx="24">
                  <c:v>0.04382034223237682</c:v>
                </c:pt>
                <c:pt idx="25">
                  <c:v>0.15799029413998147</c:v>
                </c:pt>
                <c:pt idx="26">
                  <c:v>0.40720686672449397</c:v>
                </c:pt>
              </c:numCache>
            </c:numRef>
          </c:val>
        </c:ser>
        <c:ser>
          <c:idx val="1"/>
          <c:order val="1"/>
          <c:tx>
            <c:strRef>
              <c:f>Plots!$C$81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Plots!$AA$81:$BA$81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0.010874496327375811</c:v>
                </c:pt>
                <c:pt idx="5">
                  <c:v>0.03540828232553705</c:v>
                </c:pt>
                <c:pt idx="6">
                  <c:v>0.09307848124836536</c:v>
                </c:pt>
                <c:pt idx="8">
                  <c:v>0.01109642482385287</c:v>
                </c:pt>
                <c:pt idx="9">
                  <c:v>0.036130900332180665</c:v>
                </c:pt>
                <c:pt idx="10">
                  <c:v>0.09497804209016872</c:v>
                </c:pt>
                <c:pt idx="12">
                  <c:v>0.0015568224126815149</c:v>
                </c:pt>
                <c:pt idx="13">
                  <c:v>0.006620372939270234</c:v>
                </c:pt>
                <c:pt idx="14">
                  <c:v>0.019640430830880868</c:v>
                </c:pt>
                <c:pt idx="16">
                  <c:v>0.008901766212012255</c:v>
                </c:pt>
                <c:pt idx="17">
                  <c:v>0.0646771701186791</c:v>
                </c:pt>
                <c:pt idx="18">
                  <c:v>0.1986367586302156</c:v>
                </c:pt>
                <c:pt idx="20">
                  <c:v>0.01531486660131141</c:v>
                </c:pt>
                <c:pt idx="21">
                  <c:v>0.1159799314914631</c:v>
                </c:pt>
                <c:pt idx="22">
                  <c:v>0.3747863370381426</c:v>
                </c:pt>
                <c:pt idx="24">
                  <c:v>0.07557832730597139</c:v>
                </c:pt>
                <c:pt idx="25">
                  <c:v>0.142928183252854</c:v>
                </c:pt>
                <c:pt idx="26">
                  <c:v>0.21298718983937154</c:v>
                </c:pt>
              </c:numCache>
            </c:numRef>
          </c:val>
        </c:ser>
        <c:ser>
          <c:idx val="2"/>
          <c:order val="2"/>
          <c:tx>
            <c:strRef>
              <c:f>Plots!$C$82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Plots!$AA$82:$BA$82</c:f>
              <c:numCache>
                <c:formatCode>General</c:formatCode>
                <c:ptCount val="27"/>
                <c:pt idx="0">
                  <c:v>0.00034072329284106056</c:v>
                </c:pt>
                <c:pt idx="1">
                  <c:v>0.0007848611974637228</c:v>
                </c:pt>
                <c:pt idx="2">
                  <c:v>0.0018485996924671915</c:v>
                </c:pt>
                <c:pt idx="4">
                  <c:v>0.0003931029467443573</c:v>
                </c:pt>
                <c:pt idx="5">
                  <c:v>0.0008964633279583112</c:v>
                </c:pt>
                <c:pt idx="6">
                  <c:v>0.0020901306182861375</c:v>
                </c:pt>
                <c:pt idx="8">
                  <c:v>0.00040112545586158915</c:v>
                </c:pt>
                <c:pt idx="9">
                  <c:v>0.0009147584979166441</c:v>
                </c:pt>
                <c:pt idx="10">
                  <c:v>0.002132786345189936</c:v>
                </c:pt>
                <c:pt idx="12">
                  <c:v>0.00034416494226369756</c:v>
                </c:pt>
                <c:pt idx="13">
                  <c:v>0.0008242591181409233</c:v>
                </c:pt>
                <c:pt idx="14">
                  <c:v>0.002012919665130942</c:v>
                </c:pt>
                <c:pt idx="16">
                  <c:v>0.00032142087562654886</c:v>
                </c:pt>
                <c:pt idx="17">
                  <c:v>0.0007686943028818057</c:v>
                </c:pt>
                <c:pt idx="18">
                  <c:v>0.0018738623391346733</c:v>
                </c:pt>
                <c:pt idx="20">
                  <c:v>0.000552982151615568</c:v>
                </c:pt>
                <c:pt idx="21">
                  <c:v>0.001378432488968189</c:v>
                </c:pt>
                <c:pt idx="22">
                  <c:v>0.003535589319122025</c:v>
                </c:pt>
                <c:pt idx="24">
                  <c:v>0.00026077737811989045</c:v>
                </c:pt>
                <c:pt idx="25">
                  <c:v>0.0007799716262595975</c:v>
                </c:pt>
                <c:pt idx="26">
                  <c:v>0.0017338980985067717</c:v>
                </c:pt>
              </c:numCache>
            </c:numRef>
          </c:val>
        </c:ser>
        <c:ser>
          <c:idx val="3"/>
          <c:order val="3"/>
          <c:tx>
            <c:strRef>
              <c:f>Plots!$C$83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Plots!$AA$83:$BA$83</c:f>
              <c:numCache>
                <c:formatCode>General</c:formatCode>
                <c:ptCount val="27"/>
                <c:pt idx="0">
                  <c:v>0.019291990949821744</c:v>
                </c:pt>
                <c:pt idx="1">
                  <c:v>0.0651522729351055</c:v>
                </c:pt>
                <c:pt idx="2">
                  <c:v>0.18696553473351504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0.005843141050232235</c:v>
                </c:pt>
                <c:pt idx="17">
                  <c:v>0.019784353546729378</c:v>
                </c:pt>
                <c:pt idx="18">
                  <c:v>0.05702814107931859</c:v>
                </c:pt>
                <c:pt idx="20">
                  <c:v>0.010052715785345782</c:v>
                </c:pt>
                <c:pt idx="21">
                  <c:v>0.03547755668255296</c:v>
                </c:pt>
                <c:pt idx="22">
                  <c:v>0.10760026618739356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Plots!$C$84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Plots!$AA$84:$BA$84</c:f>
              <c:numCache>
                <c:formatCode>General</c:formatCode>
                <c:ptCount val="27"/>
                <c:pt idx="0">
                  <c:v>0.011316160792974813</c:v>
                </c:pt>
                <c:pt idx="1">
                  <c:v>0.031718257571153194</c:v>
                </c:pt>
                <c:pt idx="2">
                  <c:v>0.07427519022720994</c:v>
                </c:pt>
                <c:pt idx="4">
                  <c:v>0.0017010815874188873</c:v>
                </c:pt>
                <c:pt idx="5">
                  <c:v>0.003098097605888996</c:v>
                </c:pt>
                <c:pt idx="6">
                  <c:v>0.0061477187396838506</c:v>
                </c:pt>
                <c:pt idx="8">
                  <c:v>0.0017357975381825381</c:v>
                </c:pt>
                <c:pt idx="9">
                  <c:v>0.0031613240876418327</c:v>
                </c:pt>
                <c:pt idx="10">
                  <c:v>0.0062731823874325</c:v>
                </c:pt>
                <c:pt idx="12">
                  <c:v>0.0021085731836936153</c:v>
                </c:pt>
                <c:pt idx="13">
                  <c:v>0.004968897685643403</c:v>
                </c:pt>
                <c:pt idx="14">
                  <c:v>0.01092897636187586</c:v>
                </c:pt>
                <c:pt idx="16">
                  <c:v>0.0012429499332792505</c:v>
                </c:pt>
                <c:pt idx="17">
                  <c:v>0.017077087033052885</c:v>
                </c:pt>
                <c:pt idx="18">
                  <c:v>0.05804595116172673</c:v>
                </c:pt>
                <c:pt idx="20">
                  <c:v>0.0021384084873621516</c:v>
                </c:pt>
                <c:pt idx="21">
                  <c:v>0.03062285162651572</c:v>
                </c:pt>
                <c:pt idx="22">
                  <c:v>0.10952066256929571</c:v>
                </c:pt>
                <c:pt idx="24">
                  <c:v>0.0000028356011722054754</c:v>
                </c:pt>
                <c:pt idx="25">
                  <c:v>0.0000029848433391636586</c:v>
                </c:pt>
                <c:pt idx="26">
                  <c:v>0.000003150667969117195</c:v>
                </c:pt>
              </c:numCache>
            </c:numRef>
          </c:val>
        </c:ser>
        <c:ser>
          <c:idx val="5"/>
          <c:order val="5"/>
          <c:tx>
            <c:strRef>
              <c:f>Plots!$C$85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Plots!$AA$85:$BA$85</c:f>
              <c:numCache>
                <c:formatCode>General</c:formatCode>
                <c:ptCount val="27"/>
                <c:pt idx="0">
                  <c:v>0.06718417293386986</c:v>
                </c:pt>
                <c:pt idx="1">
                  <c:v>0.11204773321728037</c:v>
                </c:pt>
                <c:pt idx="2">
                  <c:v>0.2187034913501503</c:v>
                </c:pt>
                <c:pt idx="4">
                  <c:v>0.028653342495858426</c:v>
                </c:pt>
                <c:pt idx="5">
                  <c:v>0.0534094409354663</c:v>
                </c:pt>
                <c:pt idx="6">
                  <c:v>0.11123978810750296</c:v>
                </c:pt>
                <c:pt idx="8">
                  <c:v>0.029238104587610638</c:v>
                </c:pt>
                <c:pt idx="9">
                  <c:v>0.05449942952598602</c:v>
                </c:pt>
                <c:pt idx="10">
                  <c:v>0.11350998786479892</c:v>
                </c:pt>
                <c:pt idx="12">
                  <c:v>0.05194877381581378</c:v>
                </c:pt>
                <c:pt idx="13">
                  <c:v>0.11065381857545964</c:v>
                </c:pt>
                <c:pt idx="14">
                  <c:v>0.2532099611955723</c:v>
                </c:pt>
                <c:pt idx="16">
                  <c:v>0.016153829394857957</c:v>
                </c:pt>
                <c:pt idx="17">
                  <c:v>0.03668932914419461</c:v>
                </c:pt>
                <c:pt idx="18">
                  <c:v>0.0861338473460043</c:v>
                </c:pt>
                <c:pt idx="20">
                  <c:v>0.02779153444276638</c:v>
                </c:pt>
                <c:pt idx="21">
                  <c:v>0.0657917758739803</c:v>
                </c:pt>
                <c:pt idx="22">
                  <c:v>0.1625166931056685</c:v>
                </c:pt>
                <c:pt idx="24">
                  <c:v>0.02003617720258939</c:v>
                </c:pt>
                <c:pt idx="25">
                  <c:v>0.06345780191053917</c:v>
                </c:pt>
                <c:pt idx="26">
                  <c:v>0.10408943133754756</c:v>
                </c:pt>
              </c:numCache>
            </c:numRef>
          </c:val>
        </c:ser>
        <c:ser>
          <c:idx val="6"/>
          <c:order val="6"/>
          <c:tx>
            <c:strRef>
              <c:f>Plots!$C$86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Plots!$AA$86:$BA$86</c:f>
              <c:numCache>
                <c:formatCode>General</c:formatCode>
                <c:ptCount val="27"/>
                <c:pt idx="0">
                  <c:v>0.02278055004145871</c:v>
                </c:pt>
                <c:pt idx="1">
                  <c:v>0.06474884556759285</c:v>
                </c:pt>
                <c:pt idx="2">
                  <c:v>0.17628047910672492</c:v>
                </c:pt>
                <c:pt idx="4">
                  <c:v>0.0034063705389041337</c:v>
                </c:pt>
                <c:pt idx="5">
                  <c:v>0.006226708899730832</c:v>
                </c:pt>
                <c:pt idx="6">
                  <c:v>0.012362010470870124</c:v>
                </c:pt>
                <c:pt idx="8">
                  <c:v>0.0034758883050042184</c:v>
                </c:pt>
                <c:pt idx="9">
                  <c:v>0.006353784591562073</c:v>
                </c:pt>
                <c:pt idx="10">
                  <c:v>0.012614296398847064</c:v>
                </c:pt>
                <c:pt idx="12">
                  <c:v>0.004217146367387231</c:v>
                </c:pt>
                <c:pt idx="13">
                  <c:v>0.009937795371286806</c:v>
                </c:pt>
                <c:pt idx="14">
                  <c:v>0.02185795272375172</c:v>
                </c:pt>
                <c:pt idx="16">
                  <c:v>0.0025101067791075257</c:v>
                </c:pt>
                <c:pt idx="17">
                  <c:v>0.034332410896086435</c:v>
                </c:pt>
                <c:pt idx="18">
                  <c:v>0.11655985823442355</c:v>
                </c:pt>
                <c:pt idx="20">
                  <c:v>0.004318463275883915</c:v>
                </c:pt>
                <c:pt idx="21">
                  <c:v>0.06156531982395564</c:v>
                </c:pt>
                <c:pt idx="22">
                  <c:v>0.21992426081966707</c:v>
                </c:pt>
                <c:pt idx="24">
                  <c:v>0.000005671202344410951</c:v>
                </c:pt>
                <c:pt idx="25">
                  <c:v>0.000005969686678327317</c:v>
                </c:pt>
                <c:pt idx="26">
                  <c:v>0.00000630133593823439</c:v>
                </c:pt>
              </c:numCache>
            </c:numRef>
          </c:val>
        </c:ser>
        <c:ser>
          <c:idx val="7"/>
          <c:order val="7"/>
          <c:tx>
            <c:strRef>
              <c:f>Plots!$C$87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Plots!$AA$87:$BA$87</c:f>
              <c:numCache>
                <c:formatCode>General</c:formatCode>
                <c:ptCount val="27"/>
                <c:pt idx="0">
                  <c:v>0.004981599455018657</c:v>
                </c:pt>
                <c:pt idx="1">
                  <c:v>0.01999536563234053</c:v>
                </c:pt>
                <c:pt idx="2">
                  <c:v>0.07352312458938697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0.02814387335298554</c:v>
                </c:pt>
                <c:pt idx="9">
                  <c:v>0.07612144487971337</c:v>
                </c:pt>
                <c:pt idx="10">
                  <c:v>0.30323754301571076</c:v>
                </c:pt>
                <c:pt idx="12">
                  <c:v>0.04506315241005555</c:v>
                </c:pt>
                <c:pt idx="13">
                  <c:v>0.09775895454769049</c:v>
                </c:pt>
                <c:pt idx="14">
                  <c:v>0.2771810767022298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0.056465801552125654</c:v>
                </c:pt>
                <c:pt idx="21">
                  <c:v>0.09308315643667531</c:v>
                </c:pt>
                <c:pt idx="22">
                  <c:v>0.18231300535609948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Plots!$C$88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Plots!$AA$46:$BA$46</c:f>
              <c:strCache>
                <c:ptCount val="27"/>
                <c:pt idx="0">
                  <c:v xml:space="preserve">min  </c:v>
                </c:pt>
                <c:pt idx="1">
                  <c:v>mean</c:v>
                </c:pt>
                <c:pt idx="2">
                  <c:v xml:space="preserve">  max</c:v>
                </c:pt>
                <c:pt idx="4">
                  <c:v xml:space="preserve">min  </c:v>
                </c:pt>
                <c:pt idx="5">
                  <c:v>mean</c:v>
                </c:pt>
                <c:pt idx="6">
                  <c:v xml:space="preserve">  max</c:v>
                </c:pt>
                <c:pt idx="8">
                  <c:v xml:space="preserve">min  </c:v>
                </c:pt>
                <c:pt idx="9">
                  <c:v>mean</c:v>
                </c:pt>
                <c:pt idx="10">
                  <c:v xml:space="preserve">  max</c:v>
                </c:pt>
                <c:pt idx="12">
                  <c:v xml:space="preserve">min  </c:v>
                </c:pt>
                <c:pt idx="13">
                  <c:v>mean</c:v>
                </c:pt>
                <c:pt idx="14">
                  <c:v xml:space="preserve">  max</c:v>
                </c:pt>
                <c:pt idx="16">
                  <c:v xml:space="preserve">min  </c:v>
                </c:pt>
                <c:pt idx="17">
                  <c:v>mean</c:v>
                </c:pt>
                <c:pt idx="18">
                  <c:v xml:space="preserve">  max</c:v>
                </c:pt>
                <c:pt idx="20">
                  <c:v xml:space="preserve">min  </c:v>
                </c:pt>
                <c:pt idx="21">
                  <c:v>mean</c:v>
                </c:pt>
                <c:pt idx="22">
                  <c:v xml:space="preserve">  max</c:v>
                </c:pt>
                <c:pt idx="24">
                  <c:v xml:space="preserve">min  </c:v>
                </c:pt>
                <c:pt idx="25">
                  <c:v>mean</c:v>
                </c:pt>
                <c:pt idx="26">
                  <c:v xml:space="preserve">  max</c:v>
                </c:pt>
              </c:strCache>
            </c:strRef>
          </c:cat>
          <c:val>
            <c:numRef>
              <c:f>Plots!$AA$88:$BA$88</c:f>
              <c:numCache>
                <c:formatCode>General</c:formatCode>
                <c:ptCount val="27"/>
                <c:pt idx="0">
                  <c:v>0.024189398809287922</c:v>
                </c:pt>
                <c:pt idx="1">
                  <c:v>0.04023892437556602</c:v>
                </c:pt>
                <c:pt idx="2">
                  <c:v>0.06828057755799903</c:v>
                </c:pt>
                <c:pt idx="4">
                  <c:v>0.024189398809287922</c:v>
                </c:pt>
                <c:pt idx="5">
                  <c:v>0.04023892437556602</c:v>
                </c:pt>
                <c:pt idx="6">
                  <c:v>0.06828057755799902</c:v>
                </c:pt>
                <c:pt idx="8">
                  <c:v>0.024189398809287922</c:v>
                </c:pt>
                <c:pt idx="9">
                  <c:v>0.04023892437556602</c:v>
                </c:pt>
                <c:pt idx="10">
                  <c:v>0.06828057755799903</c:v>
                </c:pt>
                <c:pt idx="12">
                  <c:v>0.024189398809287922</c:v>
                </c:pt>
                <c:pt idx="13">
                  <c:v>0.04023892437556602</c:v>
                </c:pt>
                <c:pt idx="14">
                  <c:v>0.06828057755799903</c:v>
                </c:pt>
                <c:pt idx="16">
                  <c:v>0.02289384122665432</c:v>
                </c:pt>
                <c:pt idx="17">
                  <c:v>0.035122442880505436</c:v>
                </c:pt>
                <c:pt idx="18">
                  <c:v>0.06066917676002661</c:v>
                </c:pt>
                <c:pt idx="20">
                  <c:v>0.024189398809287922</c:v>
                </c:pt>
                <c:pt idx="21">
                  <c:v>0.04023892437556602</c:v>
                </c:pt>
                <c:pt idx="22">
                  <c:v>0.06828057755799903</c:v>
                </c:pt>
                <c:pt idx="24">
                  <c:v>0.010436556778254301</c:v>
                </c:pt>
                <c:pt idx="25">
                  <c:v>0.020822614955538103</c:v>
                </c:pt>
                <c:pt idx="26">
                  <c:v>0.05573326554874335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5"/>
        <c:overlap val="100"/>
        <c:axId val="1419763927"/>
        <c:axId val="546506633"/>
      </c:barChart>
      <c:catAx>
        <c:axId val="141976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300"/>
            </a:pPr>
            <a:endParaRPr lang="de-DE"/>
          </a:p>
        </c:txPr>
        <c:crossAx val="546506633"/>
        <c:crosses val="autoZero"/>
        <c:auto val="1"/>
        <c:lblAlgn val="ctr"/>
        <c:lblOffset val="100"/>
        <c:noMultiLvlLbl val="1"/>
      </c:catAx>
      <c:valAx>
        <c:axId val="546506633"/>
        <c:scaling>
          <c:orientation val="minMax"/>
          <c:max val="2.500000"/>
          <c:min val="0.000000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5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Levilized cost of electricity </a:t>
                </a:r>
                <a:r>
                  <a:rPr lang="de-DE" sz="1500"/>
                  <a:t>[USD/kWh</a:t>
                </a:r>
                <a:r>
                  <a:rPr lang="de-DE" sz="1500" baseline="-25000"/>
                  <a:t>e</a:t>
                </a:r>
                <a:r>
                  <a:rPr lang="de-DE" sz="1500"/>
                  <a:t>]</a:t>
                </a:r>
                <a:endParaRPr lang="de-DE" sz="1500"/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spPr bwMode="auto">
          <a:ln/>
        </c:spPr>
        <c:txPr>
          <a:bodyPr/>
          <a:lstStyle/>
          <a:p>
            <a:pPr>
              <a:defRPr sz="1200"/>
            </a:pPr>
            <a:endParaRPr lang="de-DE"/>
          </a:p>
        </c:txPr>
        <c:crossAx val="1419763927"/>
        <c:crosses val="autoZero"/>
        <c:crossBetween val="between"/>
        <c:majorUnit val="0.500000"/>
        <c:minorUnit val="0.100000"/>
      </c:valAx>
    </c:plotArea>
    <c:legend>
      <c:legendPos val="b"/>
      <c:layout>
        <c:manualLayout>
          <c:xMode val="edge"/>
          <c:yMode val="edge"/>
          <c:x val="0.060248"/>
          <c:y val="0.916275"/>
          <c:w val="0.922678"/>
          <c:h val="0.083725"/>
        </c:manualLayout>
      </c:layout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zero"/>
    <c:showDLblsOverMax val="1"/>
  </c:chart>
  <c:spPr bwMode="auto">
    <a:xfrm>
      <a:off x="0" y="0"/>
      <a:ext cx="0" cy="0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  <c:userShapes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Plots!$C$36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Plots!$R$36:$X$36</c:f>
              <c:numCache>
                <c:formatCode>General</c:formatCode>
                <c:ptCount val="7"/>
                <c:pt idx="0">
                  <c:v>0.20902626633167393</c:v>
                </c:pt>
                <c:pt idx="1">
                  <c:v>0.2465369411240741</c:v>
                </c:pt>
                <c:pt idx="2">
                  <c:v>0.21508268824651575</c:v>
                </c:pt>
                <c:pt idx="3">
                  <c:v>0.1793005652032249</c:v>
                </c:pt>
                <c:pt idx="4">
                  <c:v>0.23378814601360398</c:v>
                </c:pt>
                <c:pt idx="5">
                  <c:v>0.22020858918811093</c:v>
                </c:pt>
                <c:pt idx="6">
                  <c:v>0.18037947552222838</c:v>
                </c:pt>
              </c:numCache>
            </c:numRef>
          </c:val>
        </c:ser>
        <c:ser>
          <c:idx val="1"/>
          <c:order val="1"/>
          <c:tx>
            <c:strRef>
              <c:f>Plots!$C$37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Plots!$R$37:$X$37</c:f>
              <c:numCache>
                <c:formatCode>General</c:formatCode>
                <c:ptCount val="7"/>
                <c:pt idx="0">
                  <c:v>0</c:v>
                </c:pt>
                <c:pt idx="1">
                  <c:v>0.1713392410012971</c:v>
                </c:pt>
                <c:pt idx="2">
                  <c:v>0.14947903705080098</c:v>
                </c:pt>
                <c:pt idx="3">
                  <c:v>0.02213205438799106</c:v>
                </c:pt>
                <c:pt idx="4">
                  <c:v>0.28084912536179246</c:v>
                </c:pt>
                <c:pt idx="5">
                  <c:v>0.26453603711385987</c:v>
                </c:pt>
                <c:pt idx="6">
                  <c:v>0.20635276217975487</c:v>
                </c:pt>
              </c:numCache>
            </c:numRef>
          </c:val>
        </c:ser>
        <c:ser>
          <c:idx val="2"/>
          <c:order val="2"/>
          <c:tx>
            <c:strRef>
              <c:f>Plots!$C$38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Plots!$R$38:$X$38</c:f>
              <c:numCache>
                <c:formatCode>General</c:formatCode>
                <c:ptCount val="7"/>
                <c:pt idx="0">
                  <c:v>0.0006843926953049845</c:v>
                </c:pt>
                <c:pt idx="1">
                  <c:v>0.000807209948248457</c:v>
                </c:pt>
                <c:pt idx="2">
                  <c:v>0.0007042225998952149</c:v>
                </c:pt>
                <c:pt idx="3">
                  <c:v>0.0005870649619432603</c:v>
                </c:pt>
                <c:pt idx="4">
                  <c:v>0.0006003656919932245</c:v>
                </c:pt>
                <c:pt idx="5">
                  <c:v>0.000565493521742026</c:v>
                </c:pt>
                <c:pt idx="6">
                  <c:v>0.0005905975244014322</c:v>
                </c:pt>
              </c:numCache>
            </c:numRef>
          </c:val>
        </c:ser>
        <c:ser>
          <c:idx val="3"/>
          <c:order val="3"/>
          <c:tx>
            <c:strRef>
              <c:f>Plots!$C$39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Plots!$R$39:$X$39</c:f>
              <c:numCache>
                <c:formatCode>General</c:formatCode>
                <c:ptCount val="7"/>
                <c:pt idx="0">
                  <c:v>0.15626455777389076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0.022717629387381925</c:v>
                </c:pt>
                <c:pt idx="5">
                  <c:v>0.021398078569828956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Plots!$C$40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Plots!$R$40:$X$40</c:f>
              <c:numCache>
                <c:formatCode>General</c:formatCode>
                <c:ptCount val="7"/>
                <c:pt idx="0">
                  <c:v>0.00427238787199255</c:v>
                </c:pt>
                <c:pt idx="1">
                  <c:v>0.0000989588387456855</c:v>
                </c:pt>
                <c:pt idx="2">
                  <c:v>0.00008633324063375873</c:v>
                </c:pt>
                <c:pt idx="3">
                  <c:v>0</c:v>
                </c:pt>
                <c:pt idx="4">
                  <c:v>0.0005027814700513654</c:v>
                </c:pt>
                <c:pt idx="5">
                  <c:v>0.0004735774677963916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Plots!$C$41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Plots!$R$41:$X$41</c:f>
              <c:numCache>
                <c:formatCode>General</c:formatCode>
                <c:ptCount val="7"/>
                <c:pt idx="0">
                  <c:v>0.11252091140724084</c:v>
                </c:pt>
                <c:pt idx="1">
                  <c:v>0.07576219427426943</c:v>
                </c:pt>
                <c:pt idx="2">
                  <c:v>0.06609612473354992</c:v>
                </c:pt>
                <c:pt idx="3">
                  <c:v>0.17809545620491912</c:v>
                </c:pt>
                <c:pt idx="4">
                  <c:v>0.036741824562911904</c:v>
                </c:pt>
                <c:pt idx="5">
                  <c:v>0.03460768002636502</c:v>
                </c:pt>
                <c:pt idx="6">
                  <c:v>0.08783030760172401</c:v>
                </c:pt>
              </c:numCache>
            </c:numRef>
          </c:val>
        </c:ser>
        <c:ser>
          <c:idx val="6"/>
          <c:order val="6"/>
          <c:tx>
            <c:strRef>
              <c:f>Plots!$C$42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Plots!$R$42:$X$42</c:f>
              <c:numCache>
                <c:formatCode>General</c:formatCode>
                <c:ptCount val="7"/>
                <c:pt idx="0">
                  <c:v>0.00831142102371821</c:v>
                </c:pt>
                <c:pt idx="1">
                  <c:v>0.0001962065476789306</c:v>
                </c:pt>
                <c:pt idx="2">
                  <c:v>0.00017117366482256443</c:v>
                </c:pt>
                <c:pt idx="3">
                  <c:v>0</c:v>
                </c:pt>
                <c:pt idx="4">
                  <c:v>0.0009953855642398015</c:v>
                </c:pt>
                <c:pt idx="5">
                  <c:v>0.0009375687114038015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Plots!$C$43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Plots!$R$43:$X$43</c:f>
              <c:numCache>
                <c:formatCode>General</c:formatCode>
                <c:ptCount val="7"/>
                <c:pt idx="0">
                  <c:v>0.019622783194362305</c:v>
                </c:pt>
                <c:pt idx="1">
                  <c:v>0</c:v>
                </c:pt>
                <c:pt idx="2">
                  <c:v>0.13640026144480527</c:v>
                </c:pt>
                <c:pt idx="3">
                  <c:v>0.2202322109067691</c:v>
                </c:pt>
                <c:pt idx="4">
                  <c:v>0</c:v>
                </c:pt>
                <c:pt idx="5">
                  <c:v>0.22707450808623897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Plots!$C$44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Plots!$R$44:$X$44</c:f>
              <c:numCache>
                <c:formatCode>General</c:formatCode>
                <c:ptCount val="7"/>
                <c:pt idx="0">
                  <c:v>0.2022021008367756</c:v>
                </c:pt>
                <c:pt idx="1">
                  <c:v>0.20879838434579484</c:v>
                </c:pt>
                <c:pt idx="2">
                  <c:v>0.178515800714592</c:v>
                </c:pt>
                <c:pt idx="3">
                  <c:v>0.1651564569245018</c:v>
                </c:pt>
                <c:pt idx="4">
                  <c:v>0.16666121477106097</c:v>
                </c:pt>
                <c:pt idx="5">
                  <c:v>0.09512951661778075</c:v>
                </c:pt>
                <c:pt idx="6">
                  <c:v>0.2755446000152429</c:v>
                </c:pt>
              </c:numCache>
            </c:numRef>
          </c:val>
        </c:ser>
        <c:ser>
          <c:idx val="9"/>
          <c:order val="9"/>
          <c:tx>
            <c:strRef>
              <c:f>Plots!$C$45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Plots!$R$45:$X$45</c:f>
              <c:numCache>
                <c:formatCode>General</c:formatCode>
                <c:ptCount val="7"/>
                <c:pt idx="0">
                  <c:v>0.28709517886504077</c:v>
                </c:pt>
                <c:pt idx="1">
                  <c:v>0.29646086391989146</c:v>
                </c:pt>
                <c:pt idx="2">
                  <c:v>0.2534643583043845</c:v>
                </c:pt>
                <c:pt idx="3">
                  <c:v>0.2344961914106508</c:v>
                </c:pt>
                <c:pt idx="4">
                  <c:v>0.2571435271769644</c:v>
                </c:pt>
                <c:pt idx="5">
                  <c:v>0.1350689506968732</c:v>
                </c:pt>
                <c:pt idx="6">
                  <c:v>0.24930225715664833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843335064"/>
        <c:axId val="915009826"/>
      </c:barChart>
      <c:catAx>
        <c:axId val="184333506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5009826"/>
        <c:crosses val="autoZero"/>
        <c:auto val="1"/>
        <c:lblAlgn val="ctr"/>
        <c:lblOffset val="100"/>
        <c:noMultiLvlLbl val="1"/>
      </c:catAx>
      <c:valAx>
        <c:axId val="9150098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noFill/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W_loss/W_tot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8433350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025030"/>
          <c:y val="0.905268"/>
          <c:w val="0.972453"/>
          <c:h val="0.094732"/>
        </c:manualLayout>
      </c:layout>
      <c:overlay val="0"/>
      <c:txPr>
        <a:bodyPr/>
        <a:lstStyle/>
        <a:p>
          <a:pPr algn="ctr">
            <a:defRPr sz="1200"/>
          </a:pPr>
          <a:endParaRPr lang="de-DE"/>
        </a:p>
      </c:txPr>
    </c:legend>
    <c:plotVisOnly val="1"/>
    <c:dispBlanksAs val="zero"/>
    <c:showDLblsOverMax val="1"/>
  </c:chart>
  <c:spPr bwMode="auto">
    <a:xfrm>
      <a:off x="15361228" y="16430008"/>
      <a:ext cx="7427643" cy="7455476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/>
              <a:t>Local</a:t>
            </a:r>
            <a:endParaRPr/>
          </a:p>
        </c:rich>
      </c:tx>
      <c:layout>
        <c:manualLayout>
          <c:xMode val="edge"/>
          <c:yMode val="edge"/>
          <c:x val="0.416866"/>
          <c:y val="0.02956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2891"/>
          <c:y val="0.159789"/>
          <c:w val="0.749274"/>
          <c:h val="0.624194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Plots!$C$3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Plots!$K$3:$Q$3</c:f>
              <c:numCache>
                <c:formatCode>General</c:formatCode>
                <c:ptCount val="7"/>
                <c:pt idx="0">
                  <c:v>0.26910929963763214</c:v>
                </c:pt>
                <c:pt idx="1">
                  <c:v>0.3116245356260475</c:v>
                </c:pt>
                <c:pt idx="2">
                  <c:v>0.24625941140782653</c:v>
                </c:pt>
                <c:pt idx="3">
                  <c:v>0.24774673885043855</c:v>
                </c:pt>
                <c:pt idx="4">
                  <c:v>0.2610178389763124</c:v>
                </c:pt>
                <c:pt idx="5">
                  <c:v>0.2468417966588382</c:v>
                </c:pt>
                <c:pt idx="6">
                  <c:v>0.24454521249643676</c:v>
                </c:pt>
              </c:numCache>
            </c:numRef>
          </c:val>
        </c:ser>
        <c:ser>
          <c:idx val="1"/>
          <c:order val="1"/>
          <c:tx>
            <c:strRef>
              <c:f>Plots!$C$4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Plots!$K$4:$Q$4</c:f>
              <c:numCache>
                <c:formatCode>General</c:formatCode>
                <c:ptCount val="7"/>
                <c:pt idx="0">
                  <c:v>0</c:v>
                </c:pt>
                <c:pt idx="1">
                  <c:v>0.20559118611648786</c:v>
                </c:pt>
                <c:pt idx="2">
                  <c:v>0.16246719592207665</c:v>
                </c:pt>
                <c:pt idx="3">
                  <c:v>0.044400655667565285</c:v>
                </c:pt>
                <c:pt idx="4">
                  <c:v>0.34215448017056427</c:v>
                </c:pt>
                <c:pt idx="5">
                  <c:v>0.32357185605171435</c:v>
                </c:pt>
                <c:pt idx="6">
                  <c:v>0.2190160850199864</c:v>
                </c:pt>
              </c:numCache>
            </c:numRef>
          </c:val>
        </c:ser>
        <c:ser>
          <c:idx val="2"/>
          <c:order val="2"/>
          <c:tx>
            <c:strRef>
              <c:f>Plots!$C$5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Plots!$K$5:$Q$5</c:f>
              <c:numCache>
                <c:formatCode>General</c:formatCode>
                <c:ptCount val="7"/>
                <c:pt idx="0">
                  <c:v>0.001186998354957294</c:v>
                </c:pt>
                <c:pt idx="1">
                  <c:v>0.002090149472491607</c:v>
                </c:pt>
                <c:pt idx="2">
                  <c:v>0.0016517280252535379</c:v>
                </c:pt>
                <c:pt idx="3">
                  <c:v>0.0010100246313797677</c:v>
                </c:pt>
                <c:pt idx="4">
                  <c:v>0.00020732323542421537</c:v>
                </c:pt>
                <c:pt idx="5">
                  <c:v>0.00019606338065606652</c:v>
                </c:pt>
                <c:pt idx="6">
                  <c:v>0.001449057813967715</c:v>
                </c:pt>
              </c:numCache>
            </c:numRef>
          </c:val>
        </c:ser>
        <c:ser>
          <c:idx val="3"/>
          <c:order val="3"/>
          <c:tx>
            <c:strRef>
              <c:f>Plots!$C$6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Plots!$K$6:$Q$6</c:f>
              <c:numCache>
                <c:formatCode>General</c:formatCode>
                <c:ptCount val="7"/>
                <c:pt idx="0">
                  <c:v>0.21530897060716642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0.04585561395135857</c:v>
                </c:pt>
                <c:pt idx="5">
                  <c:v>0.0433651668370247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Plots!$C$7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Plots!$K$7:$Q$7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Plots!$C$8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Plots!$K$8:$Q$8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strRef>
              <c:f>Plots!$C$9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Plots!$K$9:$Q$9</c:f>
              <c:numCache>
                <c:formatCode>General</c:formatCode>
                <c:ptCount val="7"/>
                <c:pt idx="0">
                  <c:v>0.0233180312394189</c:v>
                </c:pt>
                <c:pt idx="1">
                  <c:v>0.0005134928679154301</c:v>
                </c:pt>
                <c:pt idx="2">
                  <c:v>0.00040578464452720376</c:v>
                </c:pt>
                <c:pt idx="3">
                  <c:v>0</c:v>
                </c:pt>
                <c:pt idx="4">
                  <c:v>0.0027409583645905673</c:v>
                </c:pt>
                <c:pt idx="5">
                  <c:v>0.002592095199071842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Plots!$C$10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Plots!$K$10:$Q$10</c:f>
              <c:numCache>
                <c:formatCode>General</c:formatCode>
                <c:ptCount val="7"/>
                <c:pt idx="0">
                  <c:v>0.02222849812548386</c:v>
                </c:pt>
                <c:pt idx="1">
                  <c:v>0</c:v>
                </c:pt>
                <c:pt idx="2">
                  <c:v>0.2173452231466946</c:v>
                </c:pt>
                <c:pt idx="3">
                  <c:v>0.31044779868991457</c:v>
                </c:pt>
                <c:pt idx="4">
                  <c:v>0</c:v>
                </c:pt>
                <c:pt idx="5">
                  <c:v>0.2024157043228801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Plots!$C$11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Plots!$K$11:$Q$11</c:f>
              <c:numCache>
                <c:formatCode>General</c:formatCode>
                <c:ptCount val="7"/>
                <c:pt idx="0">
                  <c:v>0.2203586549566104</c:v>
                </c:pt>
                <c:pt idx="1">
                  <c:v>0.22568489888101703</c:v>
                </c:pt>
                <c:pt idx="2">
                  <c:v>0.17477920872120206</c:v>
                </c:pt>
                <c:pt idx="3">
                  <c:v>0.18630554761552987</c:v>
                </c:pt>
                <c:pt idx="4">
                  <c:v>0.15661070338578748</c:v>
                </c:pt>
                <c:pt idx="5">
                  <c:v>0.08507813924841291</c:v>
                </c:pt>
                <c:pt idx="6">
                  <c:v>0.294244304568285</c:v>
                </c:pt>
              </c:numCache>
            </c:numRef>
          </c:val>
        </c:ser>
        <c:ser>
          <c:idx val="9"/>
          <c:order val="9"/>
          <c:tx>
            <c:strRef>
              <c:f>Plots!$C$12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Plots!$K$12:$Q$12</c:f>
              <c:numCache>
                <c:formatCode>General</c:formatCode>
                <c:ptCount val="7"/>
                <c:pt idx="0">
                  <c:v>0.24848954707873094</c:v>
                </c:pt>
                <c:pt idx="1">
                  <c:v>0.25449573703604045</c:v>
                </c:pt>
                <c:pt idx="2">
                  <c:v>0.1970914481324193</c:v>
                </c:pt>
                <c:pt idx="3">
                  <c:v>0.21008923454517203</c:v>
                </c:pt>
                <c:pt idx="4">
                  <c:v>0.1914130819159625</c:v>
                </c:pt>
                <c:pt idx="5">
                  <c:v>0.09593917830140175</c:v>
                </c:pt>
                <c:pt idx="6">
                  <c:v>0.2407453401013242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574952996"/>
        <c:axId val="2003426937"/>
      </c:barChart>
      <c:catAx>
        <c:axId val="1574952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03426937"/>
        <c:crosses val="autoZero"/>
        <c:auto val="1"/>
        <c:lblAlgn val="ctr"/>
        <c:lblOffset val="100"/>
        <c:noMultiLvlLbl val="1"/>
      </c:catAx>
      <c:valAx>
        <c:axId val="200342693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i</a:t>
                </a: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/W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574952996"/>
        <c:crosses val="autoZero"/>
        <c:crossBetween val="between"/>
      </c:valAx>
    </c:plotArea>
    <c:plotVisOnly val="1"/>
    <c:dispBlanksAs val="zero"/>
    <c:showDLblsOverMax val="1"/>
  </c:chart>
  <c:spPr bwMode="auto">
    <a:xfrm>
      <a:off x="15374980" y="16317569"/>
      <a:ext cx="3692338" cy="3464718"/>
    </a:xfrm>
    <a:prstGeom prst="rect">
      <a:avLst/>
    </a:prstGeom>
    <a:ln>
      <a:noFill/>
    </a:ln>
  </c:spPr>
  <c:txPr>
    <a:bodyPr/>
    <a:lstStyle/>
    <a:p>
      <a:pPr>
        <a:defRPr lang="en-US" sz="1000" b="0" i="0" u="none" strike="noStrike">
          <a:solidFill>
            <a:schemeClr val="tx1"/>
          </a:solidFill>
          <a:latin typeface="Charter"/>
          <a:ea typeface="+mn-ea"/>
          <a:cs typeface="+mn-cs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YAN-HAM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Plots!$C$25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Plots!$K$25:$Q$25</c:f>
              <c:numCache>
                <c:formatCode>General</c:formatCode>
                <c:ptCount val="7"/>
                <c:pt idx="0">
                  <c:v>0.2555456743965773</c:v>
                </c:pt>
                <c:pt idx="1">
                  <c:v>0.30326243586333096</c:v>
                </c:pt>
                <c:pt idx="2">
                  <c:v>0.24100784220591467</c:v>
                </c:pt>
                <c:pt idx="3">
                  <c:v>0.23453880905690783</c:v>
                </c:pt>
                <c:pt idx="4">
                  <c:v>0.2575272321026648</c:v>
                </c:pt>
                <c:pt idx="5">
                  <c:v>0.24371777885664475</c:v>
                </c:pt>
                <c:pt idx="6">
                  <c:v>0.23638068075536028</c:v>
                </c:pt>
              </c:numCache>
            </c:numRef>
          </c:val>
        </c:ser>
        <c:ser>
          <c:idx val="1"/>
          <c:order val="1"/>
          <c:tx>
            <c:strRef>
              <c:f>Plots!$C$26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Plots!$K$26:$Q$26</c:f>
              <c:numCache>
                <c:formatCode>General</c:formatCode>
                <c:ptCount val="7"/>
                <c:pt idx="0">
                  <c:v>0</c:v>
                </c:pt>
                <c:pt idx="1">
                  <c:v>0.20007437401699274</c:v>
                </c:pt>
                <c:pt idx="2">
                  <c:v>0.15900252540431767</c:v>
                </c:pt>
                <c:pt idx="3">
                  <c:v>0.04203355793879169</c:v>
                </c:pt>
                <c:pt idx="4">
                  <c:v>0.3375788282342188</c:v>
                </c:pt>
                <c:pt idx="5">
                  <c:v>0.31947674634064943</c:v>
                </c:pt>
                <c:pt idx="6">
                  <c:v>0.21170388389489578</c:v>
                </c:pt>
              </c:numCache>
            </c:numRef>
          </c:val>
        </c:ser>
        <c:ser>
          <c:idx val="2"/>
          <c:order val="2"/>
          <c:tx>
            <c:strRef>
              <c:f>Plots!$C$27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Plots!$K$27:$Q$27</c:f>
              <c:numCache>
                <c:formatCode>General</c:formatCode>
                <c:ptCount val="7"/>
                <c:pt idx="0">
                  <c:v>0.0011271713594946202</c:v>
                </c:pt>
                <c:pt idx="1">
                  <c:v>0.0013376424113727325</c:v>
                </c:pt>
                <c:pt idx="2">
                  <c:v>0.001063047291994134</c:v>
                </c:pt>
                <c:pt idx="3">
                  <c:v>0.0010774316930029211</c:v>
                </c:pt>
                <c:pt idx="4">
                  <c:v>0.00019523643984644228</c:v>
                </c:pt>
                <c:pt idx="5">
                  <c:v>0.00018476722280106188</c:v>
                </c:pt>
                <c:pt idx="6">
                  <c:v>0.0014088521040925618</c:v>
                </c:pt>
              </c:numCache>
            </c:numRef>
          </c:val>
        </c:ser>
        <c:ser>
          <c:idx val="3"/>
          <c:order val="3"/>
          <c:tx>
            <c:strRef>
              <c:f>Plots!$C$28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Plots!$K$28:$Q$28</c:f>
              <c:numCache>
                <c:formatCode>General</c:formatCode>
                <c:ptCount val="7"/>
                <c:pt idx="0">
                  <c:v>0.20445698521578348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0.045242384135796156</c:v>
                </c:pt>
                <c:pt idx="5">
                  <c:v>0.04281633938953535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Plots!$C$29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Plots!$K$29:$Q$29</c:f>
              <c:numCache>
                <c:formatCode>General</c:formatCode>
                <c:ptCount val="7"/>
                <c:pt idx="0">
                  <c:v>0.011736192917089106</c:v>
                </c:pt>
                <c:pt idx="1">
                  <c:v>0.00025435656613284293</c:v>
                </c:pt>
                <c:pt idx="2">
                  <c:v>0.00020214151146042035</c:v>
                </c:pt>
                <c:pt idx="3">
                  <c:v>0</c:v>
                </c:pt>
                <c:pt idx="4">
                  <c:v>0.001382592792598111</c:v>
                </c:pt>
                <c:pt idx="5">
                  <c:v>0.0013084536408983932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Plots!$C$30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Plots!$K$30:$Q$30</c:f>
              <c:numCache>
                <c:formatCode>General</c:formatCode>
                <c:ptCount val="7"/>
                <c:pt idx="0">
                  <c:v>0.03866572652352049</c:v>
                </c:pt>
                <c:pt idx="1">
                  <c:v>0.027275957664580186</c:v>
                </c:pt>
                <c:pt idx="2">
                  <c:v>0.021676669852387784</c:v>
                </c:pt>
                <c:pt idx="3">
                  <c:v>0.053190970910710726</c:v>
                </c:pt>
                <c:pt idx="4">
                  <c:v>0.011999780123744508</c:v>
                </c:pt>
                <c:pt idx="5">
                  <c:v>0.011356312630119176</c:v>
                </c:pt>
                <c:pt idx="6">
                  <c:v>0.0333784206736152</c:v>
                </c:pt>
              </c:numCache>
            </c:numRef>
          </c:val>
        </c:ser>
        <c:ser>
          <c:idx val="6"/>
          <c:order val="6"/>
          <c:tx>
            <c:strRef>
              <c:f>Plots!$C$31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Plots!$K$31:$Q$31</c:f>
              <c:numCache>
                <c:formatCode>General</c:formatCode>
                <c:ptCount val="7"/>
                <c:pt idx="0">
                  <c:v>0.022142757707376153</c:v>
                </c:pt>
                <c:pt idx="1">
                  <c:v>0.0004997138547182066</c:v>
                </c:pt>
                <c:pt idx="2">
                  <c:v>0.00039713114320663985</c:v>
                </c:pt>
                <c:pt idx="3">
                  <c:v>0</c:v>
                </c:pt>
                <c:pt idx="4">
                  <c:v>0.002704303367578305</c:v>
                </c:pt>
                <c:pt idx="5">
                  <c:v>0.002559289767996186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Plots!$C$32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Plots!$K$32:$Q$32</c:f>
              <c:numCache>
                <c:formatCode>General</c:formatCode>
                <c:ptCount val="7"/>
                <c:pt idx="0">
                  <c:v>0.021108139153677496</c:v>
                </c:pt>
                <c:pt idx="1">
                  <c:v>0</c:v>
                </c:pt>
                <c:pt idx="2">
                  <c:v>0.21271025925420986</c:v>
                </c:pt>
                <c:pt idx="3">
                  <c:v>0.29389713590953426</c:v>
                </c:pt>
                <c:pt idx="4">
                  <c:v>0</c:v>
                </c:pt>
                <c:pt idx="5">
                  <c:v>0.1998539409898163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Plots!$C$33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Plots!$K$33:$Q$33</c:f>
              <c:numCache>
                <c:formatCode>General</c:formatCode>
                <c:ptCount val="7"/>
                <c:pt idx="0">
                  <c:v>0.20925215578144626</c:v>
                </c:pt>
                <c:pt idx="1">
                  <c:v>0.21962889422274992</c:v>
                </c:pt>
                <c:pt idx="2">
                  <c:v>0.17105198016815917</c:v>
                </c:pt>
                <c:pt idx="3">
                  <c:v>0.17637318441079475</c:v>
                </c:pt>
                <c:pt idx="4">
                  <c:v>0.15451633926159886</c:v>
                </c:pt>
                <c:pt idx="5">
                  <c:v>0.08400139444592356</c:v>
                </c:pt>
                <c:pt idx="6">
                  <c:v>0.2844204894146199</c:v>
                </c:pt>
              </c:numCache>
            </c:numRef>
          </c:val>
        </c:ser>
        <c:ser>
          <c:idx val="9"/>
          <c:order val="9"/>
          <c:tx>
            <c:strRef>
              <c:f>Plots!$C$34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0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Plots!$K$34:$Q$34</c:f>
              <c:numCache>
                <c:formatCode>General</c:formatCode>
                <c:ptCount val="7"/>
                <c:pt idx="0">
                  <c:v>0.23596519694503504</c:v>
                </c:pt>
                <c:pt idx="1">
                  <c:v>0.2476666254001224</c:v>
                </c:pt>
                <c:pt idx="2">
                  <c:v>0.19288840316834965</c:v>
                </c:pt>
                <c:pt idx="3">
                  <c:v>0.19888891008025777</c:v>
                </c:pt>
                <c:pt idx="4">
                  <c:v>0.18885330354195395</c:v>
                </c:pt>
                <c:pt idx="5">
                  <c:v>0.09472497671561586</c:v>
                </c:pt>
                <c:pt idx="6">
                  <c:v>0.23270767315741625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843335064"/>
        <c:axId val="915009826"/>
      </c:barChart>
      <c:catAx>
        <c:axId val="184333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5009826"/>
        <c:crosses val="autoZero"/>
        <c:auto val="1"/>
        <c:lblAlgn val="ctr"/>
        <c:lblOffset val="100"/>
        <c:noMultiLvlLbl val="1"/>
      </c:catAx>
      <c:valAx>
        <c:axId val="9150098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300"/>
                </a:pPr>
                <a:r>
                  <a:rPr lang="de-DE" sz="1300"/>
                  <a:t>W</a:t>
                </a:r>
                <a:r>
                  <a:rPr lang="de-DE" sz="1300" baseline="-25000"/>
                  <a:t>i</a:t>
                </a:r>
                <a:r>
                  <a:rPr lang="de-DE" sz="1300"/>
                  <a:t>/W</a:t>
                </a:r>
                <a:r>
                  <a:rPr lang="de-DE" sz="1300" baseline="-25000"/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843335064"/>
        <c:crosses val="autoZero"/>
        <c:crossBetween val="between"/>
      </c:valAx>
    </c:plotArea>
    <c:plotVisOnly val="1"/>
    <c:dispBlanksAs val="zero"/>
    <c:showDLblsOverMax val="1"/>
  </c:chart>
  <c:spPr bwMode="auto">
    <a:xfrm>
      <a:off x="15335251" y="19673456"/>
      <a:ext cx="3686733" cy="3464719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HED-HAM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Plots!$C$36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Plots!$K$36:$Q$36</c:f>
              <c:numCache>
                <c:formatCode>General</c:formatCode>
                <c:ptCount val="7"/>
                <c:pt idx="0">
                  <c:v>0.24000237409586336</c:v>
                </c:pt>
                <c:pt idx="1">
                  <c:v>0.2908172928383825</c:v>
                </c:pt>
                <c:pt idx="2">
                  <c:v>0.23308101977466672</c:v>
                </c:pt>
                <c:pt idx="3">
                  <c:v>0.2089885553545262</c:v>
                </c:pt>
                <c:pt idx="4">
                  <c:v>0.2530667226290344</c:v>
                </c:pt>
                <c:pt idx="5">
                  <c:v>0.23971910372241167</c:v>
                </c:pt>
                <c:pt idx="6">
                  <c:v>0.22444615547122876</c:v>
                </c:pt>
              </c:numCache>
            </c:numRef>
          </c:val>
        </c:ser>
        <c:ser>
          <c:idx val="1"/>
          <c:order val="1"/>
          <c:tx>
            <c:strRef>
              <c:f>Plots!$C$37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Plots!$K$37:$Q$37</c:f>
              <c:numCache>
                <c:formatCode>General</c:formatCode>
                <c:ptCount val="7"/>
                <c:pt idx="0">
                  <c:v>0</c:v>
                </c:pt>
                <c:pt idx="1">
                  <c:v>0.19186381475936468</c:v>
                </c:pt>
                <c:pt idx="2">
                  <c:v>0.1537728831924134</c:v>
                </c:pt>
                <c:pt idx="3">
                  <c:v>0.037454494568988</c:v>
                </c:pt>
                <c:pt idx="4">
                  <c:v>0.3317317822766266</c:v>
                </c:pt>
                <c:pt idx="5">
                  <c:v>0.3142350945926682</c:v>
                </c:pt>
                <c:pt idx="6">
                  <c:v>0.20101525508217416</c:v>
                </c:pt>
              </c:numCache>
            </c:numRef>
          </c:val>
        </c:ser>
        <c:ser>
          <c:idx val="2"/>
          <c:order val="2"/>
          <c:tx>
            <c:strRef>
              <c:f>Plots!$C$38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Plots!$K$38:$Q$38</c:f>
              <c:numCache>
                <c:formatCode>General</c:formatCode>
                <c:ptCount val="7"/>
                <c:pt idx="0">
                  <c:v>0.0010586123319456053</c:v>
                </c:pt>
                <c:pt idx="1">
                  <c:v>0.0012827488632207748</c:v>
                </c:pt>
                <c:pt idx="2">
                  <c:v>0.0010280833379480256</c:v>
                </c:pt>
                <c:pt idx="3">
                  <c:v>0.0012193883294143821</c:v>
                </c:pt>
                <c:pt idx="4">
                  <c:v>0.00017716190805475244</c:v>
                </c:pt>
                <c:pt idx="5">
                  <c:v>0.00016781777300246695</c:v>
                </c:pt>
                <c:pt idx="6">
                  <c:v>0.001350081304212249</c:v>
                </c:pt>
              </c:numCache>
            </c:numRef>
          </c:val>
        </c:ser>
        <c:ser>
          <c:idx val="3"/>
          <c:order val="3"/>
          <c:tx>
            <c:strRef>
              <c:f>Plots!$C$39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Plots!$K$39:$Q$39</c:f>
              <c:numCache>
                <c:formatCode>General</c:formatCode>
                <c:ptCount val="7"/>
                <c:pt idx="0">
                  <c:v>0.1920211013868294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0.044458761831468754</c:v>
                </c:pt>
                <c:pt idx="5">
                  <c:v>0.042113852141953276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Plots!$C$40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Plots!$K$40:$Q$40</c:f>
              <c:numCache>
                <c:formatCode>General</c:formatCode>
                <c:ptCount val="7"/>
                <c:pt idx="0">
                  <c:v>0.011022351169119145</c:v>
                </c:pt>
                <c:pt idx="1">
                  <c:v>0.000243918399480758</c:v>
                </c:pt>
                <c:pt idx="2">
                  <c:v>0.00019549301466187125</c:v>
                </c:pt>
                <c:pt idx="3">
                  <c:v>0</c:v>
                </c:pt>
                <c:pt idx="4">
                  <c:v>0.001358645545546984</c:v>
                </c:pt>
                <c:pt idx="5">
                  <c:v>0.0012869858552378597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Plots!$C$41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Plots!$K$41:$Q$41</c:f>
              <c:numCache>
                <c:formatCode>General</c:formatCode>
                <c:ptCount val="7"/>
                <c:pt idx="0">
                  <c:v>0.09713788551152544</c:v>
                </c:pt>
                <c:pt idx="1">
                  <c:v>0.06719415523563037</c:v>
                </c:pt>
                <c:pt idx="2">
                  <c:v>0.053854026603300166</c:v>
                </c:pt>
                <c:pt idx="3">
                  <c:v>0.15607538481398578</c:v>
                </c:pt>
                <c:pt idx="4">
                  <c:v>0.029127165584490237</c:v>
                </c:pt>
                <c:pt idx="5">
                  <c:v>0.027590897591555523</c:v>
                </c:pt>
                <c:pt idx="6">
                  <c:v>0.08216941299341693</c:v>
                </c:pt>
              </c:numCache>
            </c:numRef>
          </c:val>
        </c:ser>
        <c:ser>
          <c:idx val="6"/>
          <c:order val="6"/>
          <c:tx>
            <c:strRef>
              <c:f>Plots!$C$42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Plots!$K$42:$Q$42</c:f>
              <c:numCache>
                <c:formatCode>General</c:formatCode>
                <c:ptCount val="7"/>
                <c:pt idx="0">
                  <c:v>0.020795947461636686</c:v>
                </c:pt>
                <c:pt idx="1">
                  <c:v>0.0004792068295872629</c:v>
                </c:pt>
                <c:pt idx="2">
                  <c:v>0.0003840693771441456</c:v>
                </c:pt>
                <c:pt idx="3">
                  <c:v>0</c:v>
                </c:pt>
                <c:pt idx="4">
                  <c:v>0.0026574633860657984</c:v>
                </c:pt>
                <c:pt idx="5">
                  <c:v>0.002517299526641636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Plots!$C$43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Plots!$K$43:$Q$43</c:f>
              <c:numCache>
                <c:formatCode>General</c:formatCode>
                <c:ptCount val="7"/>
                <c:pt idx="0">
                  <c:v>0.019824258507176274</c:v>
                </c:pt>
                <c:pt idx="1">
                  <c:v>0</c:v>
                </c:pt>
                <c:pt idx="2">
                  <c:v>0.2057141530736805</c:v>
                </c:pt>
                <c:pt idx="3">
                  <c:v>0.2618804883658437</c:v>
                </c:pt>
                <c:pt idx="4">
                  <c:v>0</c:v>
                </c:pt>
                <c:pt idx="5">
                  <c:v>0.19657493940009418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Plots!$C$44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Plots!$K$44:$Q$44</c:f>
              <c:numCache>
                <c:formatCode>General</c:formatCode>
                <c:ptCount val="7"/>
                <c:pt idx="0">
                  <c:v>0.19652461068187496</c:v>
                </c:pt>
                <c:pt idx="1">
                  <c:v>0.2106158656449369</c:v>
                </c:pt>
                <c:pt idx="2">
                  <c:v>0.1654260276643071</c:v>
                </c:pt>
                <c:pt idx="3">
                  <c:v>0.15715939362660367</c:v>
                </c:pt>
                <c:pt idx="4">
                  <c:v>0.1518400335774206</c:v>
                </c:pt>
                <c:pt idx="5">
                  <c:v>0.08262318441632453</c:v>
                </c:pt>
                <c:pt idx="6">
                  <c:v>0.27006050233193235</c:v>
                </c:pt>
              </c:numCache>
            </c:numRef>
          </c:val>
        </c:ser>
        <c:ser>
          <c:idx val="9"/>
          <c:order val="9"/>
          <c:tx>
            <c:strRef>
              <c:f>Plots!$C$45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1"/>
          <c:cat>
            <c:strRef>
              <c:f>Plots!$K$24:$Q$24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Plots!$K$45:$Q$45</c:f>
              <c:numCache>
                <c:formatCode>General</c:formatCode>
                <c:ptCount val="7"/>
                <c:pt idx="0">
                  <c:v>0.22161285885402904</c:v>
                </c:pt>
                <c:pt idx="1">
                  <c:v>0.23750299742939673</c:v>
                </c:pt>
                <c:pt idx="2">
                  <c:v>0.18654424396187808</c:v>
                </c:pt>
                <c:pt idx="3">
                  <c:v>0.17722229494063824</c:v>
                </c:pt>
                <c:pt idx="4">
                  <c:v>0.1855822632612919</c:v>
                </c:pt>
                <c:pt idx="5">
                  <c:v>0.09317082498011064</c:v>
                </c:pt>
                <c:pt idx="6">
                  <c:v>0.22095859281703556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843335064"/>
        <c:axId val="915009826"/>
      </c:barChart>
      <c:catAx>
        <c:axId val="184333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5009826"/>
        <c:crosses val="autoZero"/>
        <c:auto val="1"/>
        <c:lblAlgn val="ctr"/>
        <c:lblOffset val="100"/>
        <c:noMultiLvlLbl val="1"/>
      </c:catAx>
      <c:valAx>
        <c:axId val="9150098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300"/>
                </a:pP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i</a:t>
                </a: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/W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843335064"/>
        <c:crosses val="autoZero"/>
        <c:crossBetween val="between"/>
      </c:valAx>
    </c:plotArea>
    <c:plotVisOnly val="1"/>
    <c:dispBlanksAs val="zero"/>
    <c:showDLblsOverMax val="1"/>
  </c:chart>
  <c:spPr bwMode="auto">
    <a:xfrm>
      <a:off x="19129972" y="19707010"/>
      <a:ext cx="3686733" cy="3464719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>
                <a:solidFill>
                  <a:sysClr val="windowText" lastClr="000000"/>
                </a:solidFill>
                <a:latin typeface="Charter"/>
              </a:rPr>
              <a:t>CAS-HAM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Plots!$C$14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Plots!$K$14:$Q$14</c:f>
              <c:numCache>
                <c:formatCode>General</c:formatCode>
                <c:ptCount val="7"/>
                <c:pt idx="0">
                  <c:v>0.26178448688469663</c:v>
                </c:pt>
                <c:pt idx="1">
                  <c:v>0.30839735011963726</c:v>
                </c:pt>
                <c:pt idx="2">
                  <c:v>0.2442396934282125</c:v>
                </c:pt>
                <c:pt idx="3">
                  <c:v>0.2427890772086367</c:v>
                </c:pt>
                <c:pt idx="4">
                  <c:v>0.2594074101539169</c:v>
                </c:pt>
                <c:pt idx="5">
                  <c:v>0.24540106167053408</c:v>
                </c:pt>
                <c:pt idx="6">
                  <c:v>0.24130983391446573</c:v>
                </c:pt>
              </c:numCache>
            </c:numRef>
          </c:val>
        </c:ser>
        <c:ser>
          <c:idx val="1"/>
          <c:order val="1"/>
          <c:tx>
            <c:strRef>
              <c:f>Plots!$C$15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Plots!$K$15:$Q$15</c:f>
              <c:numCache>
                <c:formatCode>General</c:formatCode>
                <c:ptCount val="7"/>
                <c:pt idx="0">
                  <c:v>0</c:v>
                </c:pt>
                <c:pt idx="1">
                  <c:v>0.20346208259532922</c:v>
                </c:pt>
                <c:pt idx="2">
                  <c:v>0.16113470708510025</c:v>
                </c:pt>
                <c:pt idx="3">
                  <c:v>0.04351215385117277</c:v>
                </c:pt>
                <c:pt idx="4">
                  <c:v>0.34004345420107707</c:v>
                </c:pt>
                <c:pt idx="5">
                  <c:v>0.3216832727544192</c:v>
                </c:pt>
                <c:pt idx="6">
                  <c:v>0.2161184615361853</c:v>
                </c:pt>
              </c:numCache>
            </c:numRef>
          </c:val>
        </c:ser>
        <c:ser>
          <c:idx val="2"/>
          <c:order val="2"/>
          <c:tx>
            <c:strRef>
              <c:f>Plots!$C$16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Plots!$K$16:$Q$16</c:f>
              <c:numCache>
                <c:formatCode>General</c:formatCode>
                <c:ptCount val="7"/>
                <c:pt idx="0">
                  <c:v>0.0011546897699332727</c:v>
                </c:pt>
                <c:pt idx="1">
                  <c:v>0.001360291702137839</c:v>
                </c:pt>
                <c:pt idx="2">
                  <c:v>0.0010773024741431846</c:v>
                </c:pt>
                <c:pt idx="3">
                  <c:v>0.00104151710757846</c:v>
                </c:pt>
                <c:pt idx="4">
                  <c:v>0.00020273383140302553</c:v>
                </c:pt>
                <c:pt idx="5">
                  <c:v>0.00019178749532759373</c:v>
                </c:pt>
                <c:pt idx="6">
                  <c:v>0.001433125400851059</c:v>
                </c:pt>
              </c:numCache>
            </c:numRef>
          </c:val>
        </c:ser>
        <c:ser>
          <c:idx val="3"/>
          <c:order val="3"/>
          <c:tx>
            <c:strRef>
              <c:f>Plots!$C$17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Plots!$K$17:$Q$17</c:f>
              <c:numCache>
                <c:formatCode>General</c:formatCode>
                <c:ptCount val="7"/>
                <c:pt idx="0">
                  <c:v>0.20944853436119346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0.04557269381584014</c:v>
                </c:pt>
                <c:pt idx="5">
                  <c:v>0.04311205851427945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Plots!$C$18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Plots!$K$18:$Q$18</c:f>
              <c:numCache>
                <c:formatCode>General</c:formatCode>
                <c:ptCount val="7"/>
                <c:pt idx="0">
                  <c:v>0.01202271667495358</c:v>
                </c:pt>
                <c:pt idx="1">
                  <c:v>0.0002586633941575441</c:v>
                </c:pt>
                <c:pt idx="2">
                  <c:v>0.0002048521754990161</c:v>
                </c:pt>
                <c:pt idx="3">
                  <c:v>0</c:v>
                </c:pt>
                <c:pt idx="4">
                  <c:v>0.0013926869508012524</c:v>
                </c:pt>
                <c:pt idx="5">
                  <c:v>0.0013174907227921598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Plots!$C$19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Plots!$K$19:$Q$19</c:f>
              <c:numCache>
                <c:formatCode>General</c:formatCode>
                <c:ptCount val="7"/>
                <c:pt idx="0">
                  <c:v>0.015196011041995135</c:v>
                </c:pt>
                <c:pt idx="1">
                  <c:v>0.010805554601897392</c:v>
                </c:pt>
                <c:pt idx="2">
                  <c:v>0.008557613553635985</c:v>
                </c:pt>
                <c:pt idx="3">
                  <c:v>0.019959302576887775</c:v>
                </c:pt>
                <c:pt idx="4">
                  <c:v>0.004780426985475321</c:v>
                </c:pt>
                <c:pt idx="5">
                  <c:v>0.004522314365569025</c:v>
                </c:pt>
                <c:pt idx="6">
                  <c:v>0.013226946844252772</c:v>
                </c:pt>
              </c:numCache>
            </c:numRef>
          </c:val>
        </c:ser>
        <c:ser>
          <c:idx val="6"/>
          <c:order val="6"/>
          <c:tx>
            <c:strRef>
              <c:f>Plots!$C$20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Plots!$K$20:$Q$20</c:f>
              <c:numCache>
                <c:formatCode>General</c:formatCode>
                <c:ptCount val="7"/>
                <c:pt idx="0">
                  <c:v>0.02268334409621788</c:v>
                </c:pt>
                <c:pt idx="1">
                  <c:v>0.0005081751327837587</c:v>
                </c:pt>
                <c:pt idx="2">
                  <c:v>0.0004024565664743799</c:v>
                </c:pt>
                <c:pt idx="3">
                  <c:v>0</c:v>
                </c:pt>
                <c:pt idx="4">
                  <c:v>0.002724047189597177</c:v>
                </c:pt>
                <c:pt idx="5">
                  <c:v>0.002576965985555861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Plots!$C$21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Plots!$K$21:$Q$21</c:f>
              <c:numCache>
                <c:formatCode>General</c:formatCode>
                <c:ptCount val="7"/>
                <c:pt idx="0">
                  <c:v>0.02162346668744958</c:v>
                </c:pt>
                <c:pt idx="1">
                  <c:v>0</c:v>
                </c:pt>
                <c:pt idx="2">
                  <c:v>0.2155626473967444</c:v>
                </c:pt>
                <c:pt idx="3">
                  <c:v>0.3042354257219057</c:v>
                </c:pt>
                <c:pt idx="4">
                  <c:v>0</c:v>
                </c:pt>
                <c:pt idx="5">
                  <c:v>0.201234269933131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Plots!$C$22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Plots!$K$22:$Q$22</c:f>
              <c:numCache>
                <c:formatCode>General</c:formatCode>
                <c:ptCount val="7"/>
                <c:pt idx="0">
                  <c:v>0.21436077272727333</c:v>
                </c:pt>
                <c:pt idx="1">
                  <c:v>0.22334770475340673</c:v>
                </c:pt>
                <c:pt idx="2">
                  <c:v>0.17334574184048931</c:v>
                </c:pt>
                <c:pt idx="3">
                  <c:v>0.1825773860608948</c:v>
                </c:pt>
                <c:pt idx="4">
                  <c:v>0.15564444609235012</c:v>
                </c:pt>
                <c:pt idx="5">
                  <c:v>0.08458156592244409</c:v>
                </c:pt>
                <c:pt idx="6">
                  <c:v>0.2903513977673347</c:v>
                </c:pt>
              </c:numCache>
            </c:numRef>
          </c:val>
        </c:ser>
        <c:ser>
          <c:idx val="9"/>
          <c:order val="9"/>
          <c:tx>
            <c:strRef>
              <c:f>Plots!$C$23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0"/>
          <c:cat>
            <c:strRef>
              <c:f>Plots!$K$2:$Q$2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Plots!$K$23:$Q$23</c:f>
              <c:numCache>
                <c:formatCode>General</c:formatCode>
                <c:ptCount val="7"/>
                <c:pt idx="0">
                  <c:v>0.241725977756287</c:v>
                </c:pt>
                <c:pt idx="1">
                  <c:v>0.2518601777006503</c:v>
                </c:pt>
                <c:pt idx="2">
                  <c:v>0.19547498547970088</c:v>
                </c:pt>
                <c:pt idx="3">
                  <c:v>0.2058851374729238</c:v>
                </c:pt>
                <c:pt idx="4">
                  <c:v>0.1902321007795389</c:v>
                </c:pt>
                <c:pt idx="5">
                  <c:v>0.0953792126359474</c:v>
                </c:pt>
                <c:pt idx="6">
                  <c:v>0.23756023453691044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574952996"/>
        <c:axId val="2003426937"/>
      </c:barChart>
      <c:catAx>
        <c:axId val="1574952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03426937"/>
        <c:crosses val="autoZero"/>
        <c:auto val="1"/>
        <c:lblAlgn val="ctr"/>
        <c:lblOffset val="100"/>
        <c:noMultiLvlLbl val="1"/>
      </c:catAx>
      <c:valAx>
        <c:axId val="200342693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300" b="1"/>
                </a:pP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i</a:t>
                </a: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/W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574952996"/>
        <c:crosses val="autoZero"/>
        <c:crossBetween val="between"/>
      </c:valAx>
    </c:plotArea>
    <c:plotVisOnly val="1"/>
    <c:dispBlanksAs val="zero"/>
    <c:showDLblsOverMax val="1"/>
  </c:chart>
  <c:spPr bwMode="auto">
    <a:xfrm>
      <a:off x="19114473" y="16374342"/>
      <a:ext cx="3692337" cy="3464718"/>
    </a:xfrm>
    <a:prstGeom prst="rect">
      <a:avLst/>
    </a:prstGeom>
    <a:ln>
      <a:noFill/>
    </a:ln>
  </c:spPr>
  <c:txPr>
    <a:bodyPr/>
    <a:lstStyle/>
    <a:p>
      <a:pPr>
        <a:defRPr lang="en-US" sz="1000" b="0" i="0" u="none" strike="noStrike">
          <a:solidFill>
            <a:schemeClr val="tx1"/>
          </a:solidFill>
          <a:latin typeface="Charter"/>
          <a:ea typeface="+mn-ea"/>
          <a:cs typeface="+mn-cs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Plots!$C$36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Plots!$R$36:$X$36</c:f>
              <c:numCache>
                <c:formatCode>General</c:formatCode>
                <c:ptCount val="7"/>
                <c:pt idx="0">
                  <c:v>0.20902626633167393</c:v>
                </c:pt>
                <c:pt idx="1">
                  <c:v>0.2465369411240741</c:v>
                </c:pt>
                <c:pt idx="2">
                  <c:v>0.21508268824651575</c:v>
                </c:pt>
                <c:pt idx="3">
                  <c:v>0.1793005652032249</c:v>
                </c:pt>
                <c:pt idx="4">
                  <c:v>0.23378814601360398</c:v>
                </c:pt>
                <c:pt idx="5">
                  <c:v>0.22020858918811093</c:v>
                </c:pt>
                <c:pt idx="6">
                  <c:v>0.18037947552222838</c:v>
                </c:pt>
              </c:numCache>
            </c:numRef>
          </c:val>
        </c:ser>
        <c:ser>
          <c:idx val="1"/>
          <c:order val="1"/>
          <c:tx>
            <c:strRef>
              <c:f>Plots!$C$37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Plots!$R$37:$X$37</c:f>
              <c:numCache>
                <c:formatCode>General</c:formatCode>
                <c:ptCount val="7"/>
                <c:pt idx="0">
                  <c:v>0</c:v>
                </c:pt>
                <c:pt idx="1">
                  <c:v>0.1713392410012971</c:v>
                </c:pt>
                <c:pt idx="2">
                  <c:v>0.14947903705080098</c:v>
                </c:pt>
                <c:pt idx="3">
                  <c:v>0.02213205438799106</c:v>
                </c:pt>
                <c:pt idx="4">
                  <c:v>0.28084912536179246</c:v>
                </c:pt>
                <c:pt idx="5">
                  <c:v>0.26453603711385987</c:v>
                </c:pt>
                <c:pt idx="6">
                  <c:v>0.20635276217975487</c:v>
                </c:pt>
              </c:numCache>
            </c:numRef>
          </c:val>
        </c:ser>
        <c:ser>
          <c:idx val="2"/>
          <c:order val="2"/>
          <c:tx>
            <c:strRef>
              <c:f>Plots!$C$38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Plots!$R$38:$X$38</c:f>
              <c:numCache>
                <c:formatCode>General</c:formatCode>
                <c:ptCount val="7"/>
                <c:pt idx="0">
                  <c:v>0.0006843926953049845</c:v>
                </c:pt>
                <c:pt idx="1">
                  <c:v>0.000807209948248457</c:v>
                </c:pt>
                <c:pt idx="2">
                  <c:v>0.0007042225998952149</c:v>
                </c:pt>
                <c:pt idx="3">
                  <c:v>0.0005870649619432603</c:v>
                </c:pt>
                <c:pt idx="4">
                  <c:v>0.0006003656919932245</c:v>
                </c:pt>
                <c:pt idx="5">
                  <c:v>0.000565493521742026</c:v>
                </c:pt>
                <c:pt idx="6">
                  <c:v>0.0005905975244014322</c:v>
                </c:pt>
              </c:numCache>
            </c:numRef>
          </c:val>
        </c:ser>
        <c:ser>
          <c:idx val="3"/>
          <c:order val="3"/>
          <c:tx>
            <c:strRef>
              <c:f>Plots!$C$39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Plots!$R$39:$X$39</c:f>
              <c:numCache>
                <c:formatCode>General</c:formatCode>
                <c:ptCount val="7"/>
                <c:pt idx="0">
                  <c:v>0.15626455777389076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0.022717629387381925</c:v>
                </c:pt>
                <c:pt idx="5">
                  <c:v>0.021398078569828956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Plots!$C$40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Plots!$R$40:$X$40</c:f>
              <c:numCache>
                <c:formatCode>General</c:formatCode>
                <c:ptCount val="7"/>
                <c:pt idx="0">
                  <c:v>0.00427238787199255</c:v>
                </c:pt>
                <c:pt idx="1">
                  <c:v>0.0000989588387456855</c:v>
                </c:pt>
                <c:pt idx="2">
                  <c:v>0.00008633324063375873</c:v>
                </c:pt>
                <c:pt idx="3">
                  <c:v>0</c:v>
                </c:pt>
                <c:pt idx="4">
                  <c:v>0.0005027814700513654</c:v>
                </c:pt>
                <c:pt idx="5">
                  <c:v>0.0004735774677963916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Plots!$C$41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Plots!$R$41:$X$41</c:f>
              <c:numCache>
                <c:formatCode>General</c:formatCode>
                <c:ptCount val="7"/>
                <c:pt idx="0">
                  <c:v>0.11252091140724084</c:v>
                </c:pt>
                <c:pt idx="1">
                  <c:v>0.07576219427426943</c:v>
                </c:pt>
                <c:pt idx="2">
                  <c:v>0.06609612473354992</c:v>
                </c:pt>
                <c:pt idx="3">
                  <c:v>0.17809545620491912</c:v>
                </c:pt>
                <c:pt idx="4">
                  <c:v>0.036741824562911904</c:v>
                </c:pt>
                <c:pt idx="5">
                  <c:v>0.03460768002636502</c:v>
                </c:pt>
                <c:pt idx="6">
                  <c:v>0.08783030760172401</c:v>
                </c:pt>
              </c:numCache>
            </c:numRef>
          </c:val>
        </c:ser>
        <c:ser>
          <c:idx val="6"/>
          <c:order val="6"/>
          <c:tx>
            <c:strRef>
              <c:f>Plots!$C$42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Plots!$R$42:$X$42</c:f>
              <c:numCache>
                <c:formatCode>General</c:formatCode>
                <c:ptCount val="7"/>
                <c:pt idx="0">
                  <c:v>0.00831142102371821</c:v>
                </c:pt>
                <c:pt idx="1">
                  <c:v>0.0001962065476789306</c:v>
                </c:pt>
                <c:pt idx="2">
                  <c:v>0.00017117366482256443</c:v>
                </c:pt>
                <c:pt idx="3">
                  <c:v>0</c:v>
                </c:pt>
                <c:pt idx="4">
                  <c:v>0.0009953855642398015</c:v>
                </c:pt>
                <c:pt idx="5">
                  <c:v>0.0009375687114038015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Plots!$C$43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Plots!$R$43:$X$43</c:f>
              <c:numCache>
                <c:formatCode>General</c:formatCode>
                <c:ptCount val="7"/>
                <c:pt idx="0">
                  <c:v>0.019622783194362305</c:v>
                </c:pt>
                <c:pt idx="1">
                  <c:v>0</c:v>
                </c:pt>
                <c:pt idx="2">
                  <c:v>0.13640026144480527</c:v>
                </c:pt>
                <c:pt idx="3">
                  <c:v>0.2202322109067691</c:v>
                </c:pt>
                <c:pt idx="4">
                  <c:v>0</c:v>
                </c:pt>
                <c:pt idx="5">
                  <c:v>0.22707450808623897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Plots!$C$44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Plots!$R$44:$X$44</c:f>
              <c:numCache>
                <c:formatCode>General</c:formatCode>
                <c:ptCount val="7"/>
                <c:pt idx="0">
                  <c:v>0.2022021008367756</c:v>
                </c:pt>
                <c:pt idx="1">
                  <c:v>0.20879838434579484</c:v>
                </c:pt>
                <c:pt idx="2">
                  <c:v>0.178515800714592</c:v>
                </c:pt>
                <c:pt idx="3">
                  <c:v>0.1651564569245018</c:v>
                </c:pt>
                <c:pt idx="4">
                  <c:v>0.16666121477106097</c:v>
                </c:pt>
                <c:pt idx="5">
                  <c:v>0.09512951661778075</c:v>
                </c:pt>
                <c:pt idx="6">
                  <c:v>0.2755446000152429</c:v>
                </c:pt>
              </c:numCache>
            </c:numRef>
          </c:val>
        </c:ser>
        <c:ser>
          <c:idx val="9"/>
          <c:order val="9"/>
          <c:tx>
            <c:strRef>
              <c:f>Plots!$C$45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1"/>
          <c:cat>
            <c:strRef>
              <c:f>Plots!$R$24:$X$24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H2 from NH3</c:v>
                </c:pt>
                <c:pt idx="3">
                  <c:v>LOHC</c:v>
                </c:pt>
                <c:pt idx="4">
                  <c:v>CH4</c:v>
                </c:pt>
                <c:pt idx="5">
                  <c:v>H2 from CH4</c:v>
                </c:pt>
                <c:pt idx="6">
                  <c:v>Fe</c:v>
                </c:pt>
              </c:strCache>
            </c:strRef>
          </c:cat>
          <c:val>
            <c:numRef>
              <c:f>Plots!$R$45:$X$45</c:f>
              <c:numCache>
                <c:formatCode>General</c:formatCode>
                <c:ptCount val="7"/>
                <c:pt idx="0">
                  <c:v>0.28709517886504077</c:v>
                </c:pt>
                <c:pt idx="1">
                  <c:v>0.29646086391989146</c:v>
                </c:pt>
                <c:pt idx="2">
                  <c:v>0.2534643583043845</c:v>
                </c:pt>
                <c:pt idx="3">
                  <c:v>0.2344961914106508</c:v>
                </c:pt>
                <c:pt idx="4">
                  <c:v>0.2571435271769644</c:v>
                </c:pt>
                <c:pt idx="5">
                  <c:v>0.1350689506968732</c:v>
                </c:pt>
                <c:pt idx="6">
                  <c:v>0.24930225715664833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843335064"/>
        <c:axId val="915009826"/>
      </c:barChart>
      <c:catAx>
        <c:axId val="184333506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5009826"/>
        <c:crosses val="autoZero"/>
        <c:auto val="1"/>
        <c:lblAlgn val="ctr"/>
        <c:lblOffset val="100"/>
        <c:noMultiLvlLbl val="1"/>
      </c:catAx>
      <c:valAx>
        <c:axId val="9150098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noFill/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W_loss/W_tot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8433350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033000"/>
          <c:y val="0.905279"/>
          <c:w val="0.964483"/>
          <c:h val="0.094721"/>
        </c:manualLayout>
      </c:layout>
      <c:overlay val="0"/>
      <c:txPr>
        <a:bodyPr/>
        <a:lstStyle/>
        <a:p>
          <a:pPr algn="ctr">
            <a:defRPr sz="1200"/>
          </a:pPr>
          <a:endParaRPr lang="de-DE"/>
        </a:p>
      </c:txPr>
    </c:legend>
    <c:plotVisOnly val="1"/>
    <c:dispBlanksAs val="zero"/>
    <c:showDLblsOverMax val="1"/>
  </c:chart>
  <c:spPr bwMode="auto">
    <a:xfrm>
      <a:off x="15361228" y="16430009"/>
      <a:ext cx="7427643" cy="7455476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/>
              <a:t>Local</a:t>
            </a:r>
            <a:endParaRPr/>
          </a:p>
        </c:rich>
      </c:tx>
      <c:layout>
        <c:manualLayout>
          <c:xMode val="edge"/>
          <c:yMode val="edge"/>
          <c:x val="0.420114"/>
          <c:y val="0.03952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12891"/>
          <c:y val="0.166360"/>
          <c:w val="0.749274"/>
          <c:h val="0.617660"/>
        </c:manualLayout>
      </c:layout>
      <c:barChart>
        <c:barDir val="col"/>
        <c:grouping val="percentStacked"/>
        <c:varyColors val="1"/>
        <c:ser>
          <c:idx val="0"/>
          <c:order val="0"/>
          <c:tx>
            <c:strRef>
              <c:f>Plots!$C$3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Plots!$D$3:$J$3</c:f>
              <c:numCache>
                <c:formatCode>General</c:formatCode>
                <c:ptCount val="7"/>
                <c:pt idx="0">
                  <c:v>0.21490478488190365</c:v>
                </c:pt>
                <c:pt idx="1">
                  <c:v>0.2295037343055732</c:v>
                </c:pt>
                <c:pt idx="2">
                  <c:v>0.20886280986279518</c:v>
                </c:pt>
                <c:pt idx="3">
                  <c:v>0.1909157835509618</c:v>
                </c:pt>
                <c:pt idx="4">
                  <c:v>0.22343623799551018</c:v>
                </c:pt>
                <c:pt idx="5">
                  <c:v>0.20883823876472007</c:v>
                </c:pt>
                <c:pt idx="6">
                  <c:v>0.16065479922902182</c:v>
                </c:pt>
              </c:numCache>
            </c:numRef>
          </c:val>
        </c:ser>
        <c:ser>
          <c:idx val="1"/>
          <c:order val="1"/>
          <c:tx>
            <c:strRef>
              <c:f>Plots!$C$4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Plots!$D$4:$J$4</c:f>
              <c:numCache>
                <c:formatCode>General</c:formatCode>
                <c:ptCount val="7"/>
                <c:pt idx="0">
                  <c:v>0</c:v>
                </c:pt>
                <c:pt idx="1">
                  <c:v>0.15680273322656713</c:v>
                </c:pt>
                <c:pt idx="2">
                  <c:v>0.14270033363492762</c:v>
                </c:pt>
                <c:pt idx="3">
                  <c:v>0.0035303469101433714</c:v>
                </c:pt>
                <c:pt idx="4">
                  <c:v>0.22958954779620241</c:v>
                </c:pt>
                <c:pt idx="5">
                  <c:v>0.21458952778067678</c:v>
                </c:pt>
                <c:pt idx="6">
                  <c:v>0.22965114401350417</c:v>
                </c:pt>
              </c:numCache>
            </c:numRef>
          </c:val>
        </c:ser>
        <c:ser>
          <c:idx val="2"/>
          <c:order val="2"/>
          <c:tx>
            <c:strRef>
              <c:f>Plots!$C$5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Plots!$D$5:$J$5</c:f>
              <c:numCache>
                <c:formatCode>General</c:formatCode>
                <c:ptCount val="7"/>
                <c:pt idx="0">
                  <c:v>0.0006169546520925866</c:v>
                </c:pt>
                <c:pt idx="1">
                  <c:v>0.0006588657233957942</c:v>
                </c:pt>
                <c:pt idx="2">
                  <c:v>0.0005996091816419173</c:v>
                </c:pt>
                <c:pt idx="3">
                  <c:v>0.0005480863577997404</c:v>
                </c:pt>
                <c:pt idx="4">
                  <c:v>0.00048720968346756797</c:v>
                </c:pt>
                <c:pt idx="5">
                  <c:v>0.0004553782909938191</c:v>
                </c:pt>
                <c:pt idx="6">
                  <c:v>0.00046121227975363667</c:v>
                </c:pt>
              </c:numCache>
            </c:numRef>
          </c:val>
        </c:ser>
        <c:ser>
          <c:idx val="3"/>
          <c:order val="3"/>
          <c:tx>
            <c:strRef>
              <c:f>Plots!$C$6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Plots!$D$6:$J$6</c:f>
              <c:numCache>
                <c:formatCode>General</c:formatCode>
                <c:ptCount val="7"/>
                <c:pt idx="0">
                  <c:v>0.11921829025943702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0.009280530847346966</c:v>
                </c:pt>
                <c:pt idx="5">
                  <c:v>0.00867419597800667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Plots!$C$7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Plots!$D$7:$J$7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Plots!$C$8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Plots!$D$8:$J$8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6"/>
          <c:order val="6"/>
          <c:tx>
            <c:strRef>
              <c:f>Plots!$C$9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Plots!$D$9:$J$9</c:f>
              <c:numCache>
                <c:formatCode>General</c:formatCode>
                <c:ptCount val="7"/>
                <c:pt idx="0">
                  <c:v>0.0010155950082204991</c:v>
                </c:pt>
                <c:pt idx="1">
                  <c:v>0.000026657859439193246</c:v>
                </c:pt>
                <c:pt idx="2">
                  <c:v>0.000024260326065039242</c:v>
                </c:pt>
                <c:pt idx="3">
                  <c:v>0</c:v>
                </c:pt>
                <c:pt idx="4">
                  <c:v>0.0001387163078570329</c:v>
                </c:pt>
                <c:pt idx="5">
                  <c:v>0.00012965340663043915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Plots!$C$10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Plots!$D$10:$J$10</c:f>
              <c:numCache>
                <c:formatCode>General</c:formatCode>
                <c:ptCount val="7"/>
                <c:pt idx="0">
                  <c:v>0.0019867728071734777</c:v>
                </c:pt>
                <c:pt idx="1">
                  <c:v>0</c:v>
                </c:pt>
                <c:pt idx="2">
                  <c:v>0.10109472082039705</c:v>
                </c:pt>
                <c:pt idx="3">
                  <c:v>0.22255679373143605</c:v>
                </c:pt>
                <c:pt idx="4">
                  <c:v>0</c:v>
                </c:pt>
                <c:pt idx="5">
                  <c:v>0.2661256454315187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Plots!$C$11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Plots!$D$11:$J$11</c:f>
              <c:numCache>
                <c:formatCode>General</c:formatCode>
                <c:ptCount val="7"/>
                <c:pt idx="0">
                  <c:v>0.2516578889086456</c:v>
                </c:pt>
                <c:pt idx="1">
                  <c:v>0.2329430433763094</c:v>
                </c:pt>
                <c:pt idx="2">
                  <c:v>0.2077529411461858</c:v>
                </c:pt>
                <c:pt idx="3">
                  <c:v>0.22133061599087042</c:v>
                </c:pt>
                <c:pt idx="4">
                  <c:v>0.19334439265306178</c:v>
                </c:pt>
                <c:pt idx="5">
                  <c:v>0.11445119693203244</c:v>
                </c:pt>
                <c:pt idx="6">
                  <c:v>0.30461642223886026</c:v>
                </c:pt>
              </c:numCache>
            </c:numRef>
          </c:val>
        </c:ser>
        <c:ser>
          <c:idx val="9"/>
          <c:order val="9"/>
          <c:tx>
            <c:strRef>
              <c:f>Plots!$C$12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Plots!$D$12:$J$12</c:f>
              <c:numCache>
                <c:formatCode>General</c:formatCode>
                <c:ptCount val="7"/>
                <c:pt idx="0">
                  <c:v>0.4105997134825272</c:v>
                </c:pt>
                <c:pt idx="1">
                  <c:v>0.3800649655087154</c:v>
                </c:pt>
                <c:pt idx="2">
                  <c:v>0.3389653250279874</c:v>
                </c:pt>
                <c:pt idx="3">
                  <c:v>0.3611183734587886</c:v>
                </c:pt>
                <c:pt idx="4">
                  <c:v>0.34372336471655407</c:v>
                </c:pt>
                <c:pt idx="5">
                  <c:v>0.1867361634154211</c:v>
                </c:pt>
                <c:pt idx="6">
                  <c:v>0.3046164222388601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574952996"/>
        <c:axId val="2003426937"/>
      </c:barChart>
      <c:catAx>
        <c:axId val="1574952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03426937"/>
        <c:crosses val="autoZero"/>
        <c:auto val="1"/>
        <c:lblAlgn val="ctr"/>
        <c:lblOffset val="100"/>
        <c:noMultiLvlLbl val="1"/>
      </c:catAx>
      <c:valAx>
        <c:axId val="200342693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/>
                </a:pP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i</a:t>
                </a: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/W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574952996"/>
        <c:crosses val="autoZero"/>
        <c:crossBetween val="between"/>
      </c:valAx>
    </c:plotArea>
    <c:plotVisOnly val="1"/>
    <c:dispBlanksAs val="zero"/>
    <c:showDLblsOverMax val="1"/>
  </c:chart>
  <c:spPr bwMode="auto">
    <a:xfrm>
      <a:off x="15374980" y="16317569"/>
      <a:ext cx="3692338" cy="3464718"/>
    </a:xfrm>
    <a:prstGeom prst="rect">
      <a:avLst/>
    </a:prstGeom>
    <a:ln>
      <a:noFill/>
    </a:ln>
  </c:spPr>
  <c:txPr>
    <a:bodyPr/>
    <a:lstStyle/>
    <a:p>
      <a:pPr>
        <a:defRPr lang="en-US" sz="1000" b="0" i="0" u="none" strike="noStrike">
          <a:solidFill>
            <a:schemeClr val="tx1"/>
          </a:solidFill>
          <a:latin typeface="Charter"/>
          <a:ea typeface="+mn-ea"/>
          <a:cs typeface="+mn-cs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YAN-HAM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Plots!$C$25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Plots!$D$25:$J$25</c:f>
              <c:numCache>
                <c:formatCode>General</c:formatCode>
                <c:ptCount val="7"/>
                <c:pt idx="0">
                  <c:v>0.20333961181588978</c:v>
                </c:pt>
                <c:pt idx="1">
                  <c:v>0.221572647932642</c:v>
                </c:pt>
                <c:pt idx="2">
                  <c:v>0.20227369174905113</c:v>
                </c:pt>
                <c:pt idx="3">
                  <c:v>0.17758731157739158</c:v>
                </c:pt>
                <c:pt idx="4">
                  <c:v>0.21930790954708765</c:v>
                </c:pt>
                <c:pt idx="5">
                  <c:v>0.205227370541617</c:v>
                </c:pt>
                <c:pt idx="6">
                  <c:v>0.15457633441721516</c:v>
                </c:pt>
              </c:numCache>
            </c:numRef>
          </c:val>
        </c:ser>
        <c:ser>
          <c:idx val="1"/>
          <c:order val="1"/>
          <c:tx>
            <c:strRef>
              <c:f>Plots!$C$26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Plots!$D$26:$J$26</c:f>
              <c:numCache>
                <c:formatCode>General</c:formatCode>
                <c:ptCount val="7"/>
                <c:pt idx="0">
                  <c:v>0</c:v>
                </c:pt>
                <c:pt idx="1">
                  <c:v>0.15138401520659897</c:v>
                </c:pt>
                <c:pt idx="2">
                  <c:v>0.13819848213820166</c:v>
                </c:pt>
                <c:pt idx="3">
                  <c:v>0.0032838815369110866</c:v>
                </c:pt>
                <c:pt idx="4">
                  <c:v>0.22534752747698034</c:v>
                </c:pt>
                <c:pt idx="5">
                  <c:v>0.21087921825375686</c:v>
                </c:pt>
                <c:pt idx="6">
                  <c:v>0.22096216363709315</c:v>
                </c:pt>
              </c:numCache>
            </c:numRef>
          </c:val>
        </c:ser>
        <c:ser>
          <c:idx val="2"/>
          <c:order val="2"/>
          <c:tx>
            <c:strRef>
              <c:f>Plots!$C$27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Plots!$D$27:$J$27</c:f>
              <c:numCache>
                <c:formatCode>General</c:formatCode>
                <c:ptCount val="7"/>
                <c:pt idx="0">
                  <c:v>0.0005837530305965406</c:v>
                </c:pt>
                <c:pt idx="1">
                  <c:v>0.0006360969393661429</c:v>
                </c:pt>
                <c:pt idx="2">
                  <c:v>0.0005806929575304637</c:v>
                </c:pt>
                <c:pt idx="3">
                  <c:v>0.0005098226086054613</c:v>
                </c:pt>
                <c:pt idx="4">
                  <c:v>0.0004782077345686829</c:v>
                </c:pt>
                <c:pt idx="5">
                  <c:v>0.00044750468025013193</c:v>
                </c:pt>
                <c:pt idx="6">
                  <c:v>0.0004437620533880927</c:v>
                </c:pt>
              </c:numCache>
            </c:numRef>
          </c:val>
        </c:ser>
        <c:ser>
          <c:idx val="3"/>
          <c:order val="3"/>
          <c:tx>
            <c:strRef>
              <c:f>Plots!$C$28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Plots!$D$28:$J$28</c:f>
              <c:numCache>
                <c:formatCode>General</c:formatCode>
                <c:ptCount val="7"/>
                <c:pt idx="0">
                  <c:v>0.11280251798967421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0.009109058753754243</c:v>
                </c:pt>
                <c:pt idx="5">
                  <c:v>0.008524216841986251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Plots!$C$29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Plots!$D$29:$J$29</c:f>
              <c:numCache>
                <c:formatCode>General</c:formatCode>
                <c:ptCount val="7"/>
                <c:pt idx="0">
                  <c:v>0.00048393036735686545</c:v>
                </c:pt>
                <c:pt idx="1">
                  <c:v>0.000012887618010221834</c:v>
                </c:pt>
                <c:pt idx="2">
                  <c:v>0.000011765107729233823</c:v>
                </c:pt>
                <c:pt idx="3">
                  <c:v>0</c:v>
                </c:pt>
                <c:pt idx="4">
                  <c:v>0.00006819920046669973</c:v>
                </c:pt>
                <c:pt idx="5">
                  <c:v>0.0000638205097742553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Plots!$C$30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Plots!$D$30:$J$30</c:f>
              <c:numCache>
                <c:formatCode>General</c:formatCode>
                <c:ptCount val="7"/>
                <c:pt idx="0">
                  <c:v>0.05333140497926774</c:v>
                </c:pt>
                <c:pt idx="1">
                  <c:v>0.034544660636831336</c:v>
                </c:pt>
                <c:pt idx="2">
                  <c:v>0.031535824039771336</c:v>
                </c:pt>
                <c:pt idx="3">
                  <c:v>0.06981335815020466</c:v>
                </c:pt>
                <c:pt idx="4">
                  <c:v>0.018408340171384773</c:v>
                </c:pt>
                <c:pt idx="5">
                  <c:v>0.017226443210420387</c:v>
                </c:pt>
                <c:pt idx="6">
                  <c:v>0.03783556321365468</c:v>
                </c:pt>
              </c:numCache>
            </c:numRef>
          </c:val>
        </c:ser>
        <c:ser>
          <c:idx val="6"/>
          <c:order val="6"/>
          <c:tx>
            <c:strRef>
              <c:f>Plots!$C$31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Plots!$D$31:$J$31</c:f>
              <c:numCache>
                <c:formatCode>General</c:formatCode>
                <c:ptCount val="7"/>
                <c:pt idx="0">
                  <c:v>0.0009609404222767574</c:v>
                </c:pt>
                <c:pt idx="1">
                  <c:v>0.00002573662917521539</c:v>
                </c:pt>
                <c:pt idx="2">
                  <c:v>0.000023494971265721068</c:v>
                </c:pt>
                <c:pt idx="3">
                  <c:v>0</c:v>
                </c:pt>
                <c:pt idx="4">
                  <c:v>0.0001361533105333611</c:v>
                </c:pt>
                <c:pt idx="5">
                  <c:v>0.00012741166503754588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Plots!$C$32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Plots!$D$32:$J$32</c:f>
              <c:numCache>
                <c:formatCode>General</c:formatCode>
                <c:ptCount val="7"/>
                <c:pt idx="0">
                  <c:v>0.001879853962297941</c:v>
                </c:pt>
                <c:pt idx="1">
                  <c:v>0</c:v>
                </c:pt>
                <c:pt idx="2">
                  <c:v>0.09790542610297392</c:v>
                </c:pt>
                <c:pt idx="3">
                  <c:v>0.20701935658190204</c:v>
                </c:pt>
                <c:pt idx="4">
                  <c:v>0</c:v>
                </c:pt>
                <c:pt idx="5">
                  <c:v>0.2615242628393005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Plots!$C$33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Plots!$D$33:$J$33</c:f>
              <c:numCache>
                <c:formatCode>General</c:formatCode>
                <c:ptCount val="7"/>
                <c:pt idx="0">
                  <c:v>0.23811483522440322</c:v>
                </c:pt>
                <c:pt idx="1">
                  <c:v>0.22489310291420292</c:v>
                </c:pt>
                <c:pt idx="2">
                  <c:v>0.2011988367147211</c:v>
                </c:pt>
                <c:pt idx="3">
                  <c:v>0.20587878242709434</c:v>
                </c:pt>
                <c:pt idx="4">
                  <c:v>0.1897720573698807</c:v>
                </c:pt>
                <c:pt idx="5">
                  <c:v>0.11247230555398564</c:v>
                </c:pt>
                <c:pt idx="6">
                  <c:v>0.29309108833932446</c:v>
                </c:pt>
              </c:numCache>
            </c:numRef>
          </c:val>
        </c:ser>
        <c:ser>
          <c:idx val="9"/>
          <c:order val="9"/>
          <c:tx>
            <c:strRef>
              <c:f>Plots!$C$34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0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Plots!$D$34:$J$34</c:f>
              <c:numCache>
                <c:formatCode>General</c:formatCode>
                <c:ptCount val="7"/>
                <c:pt idx="0">
                  <c:v>0.38850315220823695</c:v>
                </c:pt>
                <c:pt idx="1">
                  <c:v>0.3669308521231732</c:v>
                </c:pt>
                <c:pt idx="2">
                  <c:v>0.3282717862187554</c:v>
                </c:pt>
                <c:pt idx="3">
                  <c:v>0.33590748711789087</c:v>
                </c:pt>
                <c:pt idx="4">
                  <c:v>0.33737254643534365</c:v>
                </c:pt>
                <c:pt idx="5">
                  <c:v>0.18350744590387136</c:v>
                </c:pt>
                <c:pt idx="6">
                  <c:v>0.2930910883393245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843335064"/>
        <c:axId val="915009826"/>
      </c:barChart>
      <c:catAx>
        <c:axId val="184333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5009826"/>
        <c:crosses val="autoZero"/>
        <c:auto val="1"/>
        <c:lblAlgn val="ctr"/>
        <c:lblOffset val="100"/>
        <c:noMultiLvlLbl val="1"/>
      </c:catAx>
      <c:valAx>
        <c:axId val="9150098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300"/>
                </a:pPr>
                <a:r>
                  <a:rPr lang="de-DE" sz="1300"/>
                  <a:t>W</a:t>
                </a:r>
                <a:r>
                  <a:rPr lang="de-DE" sz="1300" baseline="-25000"/>
                  <a:t>i</a:t>
                </a:r>
                <a:r>
                  <a:rPr lang="de-DE" sz="1300"/>
                  <a:t>/W</a:t>
                </a:r>
                <a:r>
                  <a:rPr lang="de-DE" sz="1300" baseline="-25000"/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843335064"/>
        <c:crosses val="autoZero"/>
        <c:crossBetween val="between"/>
      </c:valAx>
    </c:plotArea>
    <c:plotVisOnly val="1"/>
    <c:dispBlanksAs val="zero"/>
    <c:showDLblsOverMax val="1"/>
  </c:chart>
  <c:spPr bwMode="auto">
    <a:xfrm>
      <a:off x="15335251" y="19673456"/>
      <a:ext cx="3686733" cy="3464719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HED-HAM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Plots!$C$36</c:f>
              <c:strCache>
                <c:ptCount val="1"/>
                <c:pt idx="0">
                  <c:v>Elektrolyser</c:v>
                </c:pt>
              </c:strCache>
            </c:strRef>
          </c:tx>
          <c:invertIfNegative val="1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Plots!$D$36:$J$36</c:f>
              <c:numCache>
                <c:formatCode>General</c:formatCode>
                <c:ptCount val="7"/>
                <c:pt idx="0">
                  <c:v>0.18666529210404573</c:v>
                </c:pt>
                <c:pt idx="1">
                  <c:v>0.21018131133343015</c:v>
                </c:pt>
                <c:pt idx="2">
                  <c:v>0.1927376027904028</c:v>
                </c:pt>
                <c:pt idx="3">
                  <c:v>0.15308189581726575</c:v>
                </c:pt>
                <c:pt idx="4">
                  <c:v>0.21348145594134166</c:v>
                </c:pt>
                <c:pt idx="5">
                  <c:v>0.2001163492100789</c:v>
                </c:pt>
                <c:pt idx="6">
                  <c:v>0.14579112436524116</c:v>
                </c:pt>
              </c:numCache>
            </c:numRef>
          </c:val>
        </c:ser>
        <c:ser>
          <c:idx val="1"/>
          <c:order val="1"/>
          <c:tx>
            <c:strRef>
              <c:f>Plots!$C$37</c:f>
              <c:strCache>
                <c:ptCount val="1"/>
                <c:pt idx="0">
                  <c:v>Conversion</c:v>
                </c:pt>
              </c:strCache>
            </c:strRef>
          </c:tx>
          <c:invertIfNegative val="1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Plots!$D$37:$J$37</c:f>
              <c:numCache>
                <c:formatCode>General</c:formatCode>
                <c:ptCount val="7"/>
                <c:pt idx="0">
                  <c:v>0</c:v>
                </c:pt>
                <c:pt idx="1">
                  <c:v>0.1436011670570258</c:v>
                </c:pt>
                <c:pt idx="2">
                  <c:v>0.1316831859164118</c:v>
                </c:pt>
                <c:pt idx="3">
                  <c:v>0.002830736086066628</c:v>
                </c:pt>
                <c:pt idx="4">
                  <c:v>0.21936061657747935</c:v>
                </c:pt>
                <c:pt idx="5">
                  <c:v>0.20562744223563306</c:v>
                </c:pt>
                <c:pt idx="6">
                  <c:v>0.208403973352602</c:v>
                </c:pt>
              </c:numCache>
            </c:numRef>
          </c:val>
        </c:ser>
        <c:ser>
          <c:idx val="2"/>
          <c:order val="2"/>
          <c:tx>
            <c:strRef>
              <c:f>Plots!$C$38</c:f>
              <c:strCache>
                <c:ptCount val="1"/>
                <c:pt idx="0">
                  <c:v>Water</c:v>
                </c:pt>
              </c:strCache>
            </c:strRef>
          </c:tx>
          <c:invertIfNegative val="1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Plots!$D$38:$J$38</c:f>
              <c:numCache>
                <c:formatCode>General</c:formatCode>
                <c:ptCount val="7"/>
                <c:pt idx="0">
                  <c:v>0.0005358839283690468</c:v>
                </c:pt>
                <c:pt idx="1">
                  <c:v>0.0006033943724489269</c:v>
                </c:pt>
                <c:pt idx="2">
                  <c:v>0.000553316487299545</c:v>
                </c:pt>
                <c:pt idx="3">
                  <c:v>0.0004394717773618173</c:v>
                </c:pt>
                <c:pt idx="4">
                  <c:v>0.000465502970818411</c:v>
                </c:pt>
                <c:pt idx="5">
                  <c:v>0.00043635993888022973</c:v>
                </c:pt>
                <c:pt idx="6">
                  <c:v>0.00041854122727129426</c:v>
                </c:pt>
              </c:numCache>
            </c:numRef>
          </c:val>
        </c:ser>
        <c:ser>
          <c:idx val="3"/>
          <c:order val="3"/>
          <c:tx>
            <c:strRef>
              <c:f>Plots!$C$39</c:f>
              <c:strCache>
                <c:ptCount val="1"/>
                <c:pt idx="0">
                  <c:v>Liquefaction</c:v>
                </c:pt>
              </c:strCache>
            </c:strRef>
          </c:tx>
          <c:invertIfNegative val="1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Plots!$D$39:$J$39</c:f>
              <c:numCache>
                <c:formatCode>General</c:formatCode>
                <c:ptCount val="7"/>
                <c:pt idx="0">
                  <c:v>0.10355244992637966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0.00886705422081076</c:v>
                </c:pt>
                <c:pt idx="5">
                  <c:v>0.008311928130207402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Plots!$C$40</c:f>
              <c:strCache>
                <c:ptCount val="1"/>
                <c:pt idx="0">
                  <c:v>Storage production</c:v>
                </c:pt>
              </c:strCache>
            </c:strRef>
          </c:tx>
          <c:invertIfNegative val="1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Plots!$D$40:$J$40</c:f>
              <c:numCache>
                <c:formatCode>General</c:formatCode>
                <c:ptCount val="7"/>
                <c:pt idx="0">
                  <c:v>0.00044424695500291467</c:v>
                </c:pt>
                <c:pt idx="1">
                  <c:v>0.000012225048888577733</c:v>
                </c:pt>
                <c:pt idx="2">
                  <c:v>0.000011210447788300496</c:v>
                </c:pt>
                <c:pt idx="3">
                  <c:v>0</c:v>
                </c:pt>
                <c:pt idx="4">
                  <c:v>0.00006638732109445906</c:v>
                </c:pt>
                <c:pt idx="5">
                  <c:v>0.0000622311117032609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Plots!$C$41</c:f>
              <c:strCache>
                <c:ptCount val="1"/>
                <c:pt idx="0">
                  <c:v>Transport</c:v>
                </c:pt>
              </c:strCache>
            </c:strRef>
          </c:tx>
          <c:invertIfNegative val="1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Plots!$D$41:$J$41</c:f>
              <c:numCache>
                <c:formatCode>General</c:formatCode>
                <c:ptCount val="7"/>
                <c:pt idx="0">
                  <c:v>0.13096042508790354</c:v>
                </c:pt>
                <c:pt idx="1">
                  <c:v>0.08417996916794321</c:v>
                </c:pt>
                <c:pt idx="2">
                  <c:v>0.07719356853122268</c:v>
                </c:pt>
                <c:pt idx="3">
                  <c:v>0.1981705599715224</c:v>
                </c:pt>
                <c:pt idx="4">
                  <c:v>0.044486735052763855</c:v>
                </c:pt>
                <c:pt idx="5">
                  <c:v>0.04170162212815945</c:v>
                </c:pt>
                <c:pt idx="6">
                  <c:v>0.09251933297424735</c:v>
                </c:pt>
              </c:numCache>
            </c:numRef>
          </c:val>
        </c:ser>
        <c:ser>
          <c:idx val="6"/>
          <c:order val="6"/>
          <c:tx>
            <c:strRef>
              <c:f>Plots!$C$42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1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Plots!$D$42:$J$42</c:f>
              <c:numCache>
                <c:formatCode>General</c:formatCode>
                <c:ptCount val="7"/>
                <c:pt idx="0">
                  <c:v>0.000882141079236897</c:v>
                </c:pt>
                <c:pt idx="1">
                  <c:v>0.000024413475759869067</c:v>
                </c:pt>
                <c:pt idx="2">
                  <c:v>0.000022387312953215738</c:v>
                </c:pt>
                <c:pt idx="3">
                  <c:v>0</c:v>
                </c:pt>
                <c:pt idx="4">
                  <c:v>0.00013253606321780823</c:v>
                </c:pt>
                <c:pt idx="5">
                  <c:v>0.00012423858078385803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Plots!$C$43</c:f>
              <c:strCache>
                <c:ptCount val="1"/>
                <c:pt idx="0">
                  <c:v>Reconversion</c:v>
                </c:pt>
              </c:strCache>
            </c:strRef>
          </c:tx>
          <c:invertIfNegative val="1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Plots!$D$43:$J$43</c:f>
              <c:numCache>
                <c:formatCode>General</c:formatCode>
                <c:ptCount val="7"/>
                <c:pt idx="0">
                  <c:v>0.0017257015780231609</c:v>
                </c:pt>
                <c:pt idx="1">
                  <c:v>0</c:v>
                </c:pt>
                <c:pt idx="2">
                  <c:v>0.09328972524351356</c:v>
                </c:pt>
                <c:pt idx="3">
                  <c:v>0.17845258929221078</c:v>
                </c:pt>
                <c:pt idx="4">
                  <c:v>0</c:v>
                </c:pt>
                <c:pt idx="5">
                  <c:v>0.2550112130323529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Plots!$C$44</c:f>
              <c:strCache>
                <c:ptCount val="1"/>
                <c:pt idx="0">
                  <c:v>Utilization</c:v>
                </c:pt>
              </c:strCache>
            </c:strRef>
          </c:tx>
          <c:invertIfNegative val="1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Plots!$D$44:$J$44</c:f>
              <c:numCache>
                <c:formatCode>General</c:formatCode>
                <c:ptCount val="7"/>
                <c:pt idx="0">
                  <c:v>0.21858886654959486</c:v>
                </c:pt>
                <c:pt idx="1">
                  <c:v>0.21333105742691127</c:v>
                </c:pt>
                <c:pt idx="2">
                  <c:v>0.19171342124275506</c:v>
                </c:pt>
                <c:pt idx="3">
                  <c:v>0.17746940388111765</c:v>
                </c:pt>
                <c:pt idx="4">
                  <c:v>0.18473029626689055</c:v>
                </c:pt>
                <c:pt idx="5">
                  <c:v>0.1096712739402364</c:v>
                </c:pt>
                <c:pt idx="6">
                  <c:v>0.27643351404031913</c:v>
                </c:pt>
              </c:numCache>
            </c:numRef>
          </c:val>
        </c:ser>
        <c:ser>
          <c:idx val="9"/>
          <c:order val="9"/>
          <c:tx>
            <c:strRef>
              <c:f>Plots!$C$45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1"/>
          <c:cat>
            <c:strRef>
              <c:f>Plots!$D$24:$J$24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Plots!$D$45:$J$45</c:f>
              <c:numCache>
                <c:formatCode>General</c:formatCode>
                <c:ptCount val="7"/>
                <c:pt idx="0">
                  <c:v>0.35664499279144435</c:v>
                </c:pt>
                <c:pt idx="1">
                  <c:v>0.3480664621175922</c:v>
                </c:pt>
                <c:pt idx="2">
                  <c:v>0.3127955820276531</c:v>
                </c:pt>
                <c:pt idx="3">
                  <c:v>0.28955534317445497</c:v>
                </c:pt>
                <c:pt idx="4">
                  <c:v>0.3284094155855831</c:v>
                </c:pt>
                <c:pt idx="5">
                  <c:v>0.1789373416919644</c:v>
                </c:pt>
                <c:pt idx="6">
                  <c:v>0.276433514040319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843335064"/>
        <c:axId val="915009826"/>
      </c:barChart>
      <c:catAx>
        <c:axId val="184333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5009826"/>
        <c:crosses val="autoZero"/>
        <c:auto val="1"/>
        <c:lblAlgn val="ctr"/>
        <c:lblOffset val="100"/>
        <c:noMultiLvlLbl val="1"/>
      </c:catAx>
      <c:valAx>
        <c:axId val="91500982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minorGridlines>
          <c:spPr bwMode="auto">
            <a:prstGeom prst="rect">
              <a:avLst/>
            </a:prstGeom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300"/>
                </a:pP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i</a:t>
                </a: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/W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843335064"/>
        <c:crosses val="autoZero"/>
        <c:crossBetween val="between"/>
      </c:valAx>
    </c:plotArea>
    <c:plotVisOnly val="1"/>
    <c:dispBlanksAs val="zero"/>
    <c:showDLblsOverMax val="1"/>
  </c:chart>
  <c:spPr bwMode="auto">
    <a:xfrm>
      <a:off x="19129972" y="19707010"/>
      <a:ext cx="3686733" cy="3464719"/>
    </a:xfrm>
    <a:prstGeom prst="rect">
      <a:avLst/>
    </a:prstGeom>
    <a:ln>
      <a:noFill/>
    </a:ln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1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>
                <a:solidFill>
                  <a:sysClr val="windowText" lastClr="000000"/>
                </a:solidFill>
                <a:latin typeface="Charter"/>
              </a:rPr>
              <a:t>CAS-HAM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percentStacked"/>
        <c:varyColors val="1"/>
        <c:ser>
          <c:idx val="0"/>
          <c:order val="0"/>
          <c:tx>
            <c:strRef>
              <c:f>Plots!$C$14</c:f>
              <c:strCache>
                <c:ptCount val="1"/>
                <c:pt idx="0">
                  <c:v>Elektrolyser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Plots!$D$14:$J$14</c:f>
              <c:numCache>
                <c:formatCode>General</c:formatCode>
                <c:ptCount val="7"/>
                <c:pt idx="0">
                  <c:v>0.2102507969442302</c:v>
                </c:pt>
                <c:pt idx="1">
                  <c:v>0.22634569503378577</c:v>
                </c:pt>
                <c:pt idx="2">
                  <c:v>0.20624403571110633</c:v>
                </c:pt>
                <c:pt idx="3">
                  <c:v>0.18585933236967636</c:v>
                </c:pt>
                <c:pt idx="4">
                  <c:v>0.221778266189554</c:v>
                </c:pt>
                <c:pt idx="5">
                  <c:v>0.2073891314081776</c:v>
                </c:pt>
                <c:pt idx="6">
                  <c:v>0.15823935951988577</c:v>
                </c:pt>
              </c:numCache>
            </c:numRef>
          </c:val>
        </c:ser>
        <c:ser>
          <c:idx val="1"/>
          <c:order val="1"/>
          <c:tx>
            <c:strRef>
              <c:f>Plots!$C$15</c:f>
              <c:strCache>
                <c:ptCount val="1"/>
                <c:pt idx="0">
                  <c:v>Conversion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Plots!$D$15:$J$15</c:f>
              <c:numCache>
                <c:formatCode>General</c:formatCode>
                <c:ptCount val="7"/>
                <c:pt idx="0">
                  <c:v>0</c:v>
                </c:pt>
                <c:pt idx="1">
                  <c:v>0.1546450812347534</c:v>
                </c:pt>
                <c:pt idx="2">
                  <c:v>0.14091112115901575</c:v>
                </c:pt>
                <c:pt idx="3">
                  <c:v>0.0034368448095202426</c:v>
                </c:pt>
                <c:pt idx="4">
                  <c:v>0.22788591636826916</c:v>
                </c:pt>
                <c:pt idx="5">
                  <c:v>0.21310051281299985</c:v>
                </c:pt>
                <c:pt idx="6">
                  <c:v>0.2261983464926036</c:v>
                </c:pt>
              </c:numCache>
            </c:numRef>
          </c:val>
        </c:ser>
        <c:ser>
          <c:idx val="2"/>
          <c:order val="2"/>
          <c:tx>
            <c:strRef>
              <c:f>Plots!$C$16</c:f>
              <c:strCache>
                <c:ptCount val="1"/>
                <c:pt idx="0">
                  <c:v>Water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Plots!$D$16:$J$16</c:f>
              <c:numCache>
                <c:formatCode>General</c:formatCode>
                <c:ptCount val="7"/>
                <c:pt idx="0">
                  <c:v>0.0006035938536789957</c:v>
                </c:pt>
                <c:pt idx="1">
                  <c:v>0.0006497995361479024</c:v>
                </c:pt>
                <c:pt idx="2">
                  <c:v>0.0005920911317458193</c:v>
                </c:pt>
                <c:pt idx="3">
                  <c:v>0.0005335701566779966</c:v>
                </c:pt>
                <c:pt idx="4">
                  <c:v>0.000483594424250898</c:v>
                </c:pt>
                <c:pt idx="5">
                  <c:v>0.0004522184672212725</c:v>
                </c:pt>
                <c:pt idx="6">
                  <c:v>0.0004542779680479834</c:v>
                </c:pt>
              </c:numCache>
            </c:numRef>
          </c:val>
        </c:ser>
        <c:ser>
          <c:idx val="3"/>
          <c:order val="3"/>
          <c:tx>
            <c:strRef>
              <c:f>Plots!$C$17</c:f>
              <c:strCache>
                <c:ptCount val="1"/>
                <c:pt idx="0">
                  <c:v>Liquefaction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Plots!$D$17:$J$17</c:f>
              <c:numCache>
                <c:formatCode>General</c:formatCode>
                <c:ptCount val="7"/>
                <c:pt idx="0">
                  <c:v>0.11663649346453374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0.009211666196620432</c:v>
                </c:pt>
                <c:pt idx="5">
                  <c:v>0.008614006611929967</c:v>
                </c:pt>
                <c:pt idx="6">
                  <c:v>0</c:v>
                </c:pt>
              </c:numCache>
            </c:numRef>
          </c:val>
        </c:ser>
        <c:ser>
          <c:idx val="4"/>
          <c:order val="4"/>
          <c:tx>
            <c:strRef>
              <c:f>Plots!$C$18</c:f>
              <c:strCache>
                <c:ptCount val="1"/>
                <c:pt idx="0">
                  <c:v>Storage production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Plots!$D$18:$J$18</c:f>
              <c:numCache>
                <c:formatCode>General</c:formatCode>
                <c:ptCount val="7"/>
                <c:pt idx="0">
                  <c:v>0.0005003783792723792</c:v>
                </c:pt>
                <c:pt idx="1">
                  <c:v>0.000013165238954710482</c:v>
                </c:pt>
                <c:pt idx="2">
                  <c:v>0.000011996040007366879</c:v>
                </c:pt>
                <c:pt idx="3">
                  <c:v>0</c:v>
                </c:pt>
                <c:pt idx="4">
                  <c:v>0.00006896741875952129</c:v>
                </c:pt>
                <c:pt idx="5">
                  <c:v>0.00006449276260360116</c:v>
                </c:pt>
                <c:pt idx="6">
                  <c:v>0</c:v>
                </c:pt>
              </c:numCache>
            </c:numRef>
          </c:val>
        </c:ser>
        <c:ser>
          <c:idx val="5"/>
          <c:order val="5"/>
          <c:tx>
            <c:strRef>
              <c:f>Plots!$C$19</c:f>
              <c:strCache>
                <c:ptCount val="1"/>
                <c:pt idx="0">
                  <c:v>Transport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Plots!$D$19:$J$19</c:f>
              <c:numCache>
                <c:formatCode>General</c:formatCode>
                <c:ptCount val="7"/>
                <c:pt idx="0">
                  <c:v>0.02115566776335294</c:v>
                </c:pt>
                <c:pt idx="1">
                  <c:v>0.013747130563389835</c:v>
                </c:pt>
                <c:pt idx="2">
                  <c:v>0.012526254084124751</c:v>
                </c:pt>
                <c:pt idx="3">
                  <c:v>0.026485244369205064</c:v>
                </c:pt>
                <c:pt idx="4">
                  <c:v>0.007351367889559447</c:v>
                </c:pt>
                <c:pt idx="5">
                  <c:v>0.006874405808433142</c:v>
                </c:pt>
                <c:pt idx="6">
                  <c:v>0.015034967649443001</c:v>
                </c:pt>
              </c:numCache>
            </c:numRef>
          </c:val>
        </c:ser>
        <c:ser>
          <c:idx val="6"/>
          <c:order val="6"/>
          <c:tx>
            <c:strRef>
              <c:f>Plots!$C$20</c:f>
              <c:strCache>
                <c:ptCount val="1"/>
                <c:pt idx="0">
                  <c:v>Storage utilization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Plots!$D$20:$J$20</c:f>
              <c:numCache>
                <c:formatCode>General</c:formatCode>
                <c:ptCount val="7"/>
                <c:pt idx="0">
                  <c:v>0.0009936012358602998</c:v>
                </c:pt>
                <c:pt idx="1">
                  <c:v>0.000026291039407847895</c:v>
                </c:pt>
                <c:pt idx="2">
                  <c:v>0.000023956144028738465</c:v>
                </c:pt>
                <c:pt idx="3">
                  <c:v>0</c:v>
                </c:pt>
                <c:pt idx="4">
                  <c:v>0.00013768698633998629</c:v>
                </c:pt>
                <c:pt idx="5">
                  <c:v>0.00012875375479242667</c:v>
                </c:pt>
                <c:pt idx="6">
                  <c:v>0</c:v>
                </c:pt>
              </c:numCache>
            </c:numRef>
          </c:val>
        </c:ser>
        <c:ser>
          <c:idx val="7"/>
          <c:order val="7"/>
          <c:tx>
            <c:strRef>
              <c:f>Plots!$C$21</c:f>
              <c:strCache>
                <c:ptCount val="1"/>
                <c:pt idx="0">
                  <c:v>Reconversion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Plots!$D$21:$J$21</c:f>
              <c:numCache>
                <c:formatCode>General</c:formatCode>
                <c:ptCount val="7"/>
                <c:pt idx="0">
                  <c:v>0.001943747163586458</c:v>
                </c:pt>
                <c:pt idx="1">
                  <c:v>0</c:v>
                </c:pt>
                <c:pt idx="2">
                  <c:v>0.0998271699245217</c:v>
                </c:pt>
                <c:pt idx="3">
                  <c:v>0.2166623226634322</c:v>
                </c:pt>
                <c:pt idx="4">
                  <c:v>0</c:v>
                </c:pt>
                <c:pt idx="5">
                  <c:v>0.2642790265707176</c:v>
                </c:pt>
                <c:pt idx="6">
                  <c:v>0</c:v>
                </c:pt>
              </c:numCache>
            </c:numRef>
          </c:val>
        </c:ser>
        <c:ser>
          <c:idx val="8"/>
          <c:order val="8"/>
          <c:tx>
            <c:strRef>
              <c:f>Plots!$C$22</c:f>
              <c:strCache>
                <c:ptCount val="1"/>
                <c:pt idx="0">
                  <c:v>Utilization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Plots!$D$22:$J$22</c:f>
              <c:numCache>
                <c:formatCode>General</c:formatCode>
                <c:ptCount val="7"/>
                <c:pt idx="0">
                  <c:v>0.24620797405428427</c:v>
                </c:pt>
                <c:pt idx="1">
                  <c:v>0.22973767819435298</c:v>
                </c:pt>
                <c:pt idx="2">
                  <c:v>0.20514808280607086</c:v>
                </c:pt>
                <c:pt idx="3">
                  <c:v>0.2154686205399655</c:v>
                </c:pt>
                <c:pt idx="4">
                  <c:v>0.19190971242959273</c:v>
                </c:pt>
                <c:pt idx="5">
                  <c:v>0.11365703168518729</c:v>
                </c:pt>
                <c:pt idx="6">
                  <c:v>0.3000365241850098</c:v>
                </c:pt>
              </c:numCache>
            </c:numRef>
          </c:val>
        </c:ser>
        <c:ser>
          <c:idx val="9"/>
          <c:order val="9"/>
          <c:tx>
            <c:strRef>
              <c:f>Plots!$C$23</c:f>
              <c:strCache>
                <c:ptCount val="1"/>
                <c:pt idx="0">
                  <c:v>Usable electricity (system efficiency)</c:v>
                </c:pt>
              </c:strCache>
            </c:strRef>
          </c:tx>
          <c:invertIfNegative val="0"/>
          <c:cat>
            <c:strRef>
              <c:f>Plots!$D$2:$J$2</c:f>
              <c:strCache>
                <c:ptCount val="7"/>
                <c:pt idx="0">
                  <c:v>H2</c:v>
                </c:pt>
                <c:pt idx="1">
                  <c:v>NH3</c:v>
                </c:pt>
                <c:pt idx="2">
                  <c:v>NH3 H2 Plant</c:v>
                </c:pt>
                <c:pt idx="3">
                  <c:v>LOHC</c:v>
                </c:pt>
                <c:pt idx="4">
                  <c:v>CH4</c:v>
                </c:pt>
                <c:pt idx="5">
                  <c:v>CH4 H2 Plant</c:v>
                </c:pt>
                <c:pt idx="6">
                  <c:v>Fe</c:v>
                </c:pt>
              </c:strCache>
            </c:strRef>
          </c:cat>
          <c:val>
            <c:numRef>
              <c:f>Plots!$D$23:$J$23</c:f>
              <c:numCache>
                <c:formatCode>General</c:formatCode>
                <c:ptCount val="7"/>
                <c:pt idx="0">
                  <c:v>0.4017077471412007</c:v>
                </c:pt>
                <c:pt idx="1">
                  <c:v>0.3748351591592076</c:v>
                </c:pt>
                <c:pt idx="2">
                  <c:v>0.33471529299937863</c:v>
                </c:pt>
                <c:pt idx="3">
                  <c:v>0.35155406509152265</c:v>
                </c:pt>
                <c:pt idx="4">
                  <c:v>0.3411728220970539</c:v>
                </c:pt>
                <c:pt idx="5">
                  <c:v>0.18544042011793727</c:v>
                </c:pt>
                <c:pt idx="6">
                  <c:v>0.3000365241850098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1574952996"/>
        <c:axId val="2003426937"/>
      </c:barChart>
      <c:catAx>
        <c:axId val="1574952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de-DE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03426937"/>
        <c:crosses val="autoZero"/>
        <c:auto val="1"/>
        <c:lblAlgn val="ctr"/>
        <c:lblOffset val="100"/>
        <c:noMultiLvlLbl val="1"/>
      </c:catAx>
      <c:valAx>
        <c:axId val="2003426937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300" b="1"/>
                </a:pP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i</a:t>
                </a:r>
                <a:r>
                  <a:rPr lang="de-DE" sz="1300" b="1" i="0" u="none" strike="noStrike">
                    <a:solidFill>
                      <a:sysClr val="windowText" lastClr="000000"/>
                    </a:solidFill>
                    <a:latin typeface="Charter"/>
                  </a:rPr>
                  <a:t>/W</a:t>
                </a:r>
                <a:r>
                  <a:rPr lang="de-DE" sz="1300" b="1" i="0" u="none" strike="noStrike" baseline="-25000">
                    <a:solidFill>
                      <a:sysClr val="windowText" lastClr="000000"/>
                    </a:solidFill>
                    <a:latin typeface="Charter"/>
                  </a:rPr>
                  <a:t>total</a:t>
                </a:r>
                <a:endParaRPr/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 bwMode="auto">
          <a:ln/>
        </c:spPr>
        <c:crossAx val="1574952996"/>
        <c:crosses val="autoZero"/>
        <c:crossBetween val="between"/>
      </c:valAx>
    </c:plotArea>
    <c:plotVisOnly val="1"/>
    <c:dispBlanksAs val="zero"/>
    <c:showDLblsOverMax val="1"/>
  </c:chart>
  <c:spPr bwMode="auto">
    <a:xfrm>
      <a:off x="19114473" y="16374342"/>
      <a:ext cx="3692337" cy="3464718"/>
    </a:xfrm>
    <a:prstGeom prst="rect">
      <a:avLst/>
    </a:prstGeom>
    <a:ln>
      <a:noFill/>
    </a:ln>
  </c:spPr>
  <c:txPr>
    <a:bodyPr/>
    <a:lstStyle/>
    <a:p>
      <a:pPr>
        <a:defRPr lang="en-US" sz="1000" b="0" i="0" u="none" strike="noStrike">
          <a:solidFill>
            <a:schemeClr val="tx1"/>
          </a:solidFill>
          <a:latin typeface="Charter"/>
          <a:ea typeface="+mn-ea"/>
          <a:cs typeface="+mn-cs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TransportStorage!$B$3</c:f>
              <c:strCache>
                <c:ptCount val="1"/>
                <c:pt idx="0">
                  <c:v>H2</c:v>
                </c:pt>
              </c:strCache>
            </c:strRef>
          </c:tx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spPr bwMode="auto">
              <a:prstGeom prst="rect">
                <a:avLst/>
              </a:prstGeom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xVal>
            <c:numRef>
              <c:f>TransportStorage!$B$4</c:f>
              <c:numCache>
                <c:formatCode>General</c:formatCode>
                <c:ptCount val="1"/>
                <c:pt idx="0">
                  <c:v>0.6282203592808254</c:v>
                </c:pt>
              </c:numCache>
            </c:numRef>
          </c:xVal>
          <c:yVal>
            <c:numRef>
              <c:f>TransportStorage!$B$5</c:f>
              <c:numCache>
                <c:formatCode>General</c:formatCode>
                <c:ptCount val="1"/>
                <c:pt idx="0">
                  <c:v>3.3811191706871813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TransportStorage!$C$3</c:f>
              <c:strCache>
                <c:ptCount val="1"/>
                <c:pt idx="0">
                  <c:v>NH3</c:v>
                </c:pt>
              </c:strCache>
            </c:strRef>
          </c:tx>
          <c:spPr bwMode="auto">
            <a:prstGeom prst="rect">
              <a:avLst/>
            </a:prstGeom>
            <a:ln w="1905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spPr bwMode="auto">
              <a:prstGeom prst="rect">
                <a:avLst/>
              </a:prstGeom>
              <a:noFill/>
              <a:ln w="9525" cap="flat" cmpd="sng" algn="ctr">
                <a:solidFill>
                  <a:srgbClr val="C00000"/>
                </a:solidFill>
                <a:round/>
              </a:ln>
              <a:effectLst/>
            </c:spPr>
          </c:errBars>
          <c:xVal>
            <c:numRef>
              <c:f>TransportStorage!$C$4</c:f>
              <c:numCache>
                <c:formatCode>General</c:formatCode>
                <c:ptCount val="1"/>
                <c:pt idx="0">
                  <c:v>0.060901675221491404</c:v>
                </c:pt>
              </c:numCache>
            </c:numRef>
          </c:xVal>
          <c:yVal>
            <c:numRef>
              <c:f>TransportStorage!$C$5</c:f>
              <c:numCache>
                <c:formatCode>General</c:formatCode>
                <c:ptCount val="1"/>
                <c:pt idx="0">
                  <c:v>1.6615508885099008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TransportStorage!$D$3</c:f>
              <c:strCache>
                <c:ptCount val="1"/>
                <c:pt idx="0">
                  <c:v>LOHC</c:v>
                </c:pt>
              </c:strCache>
            </c:strRef>
          </c:tx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604A7B"/>
              </a:solidFill>
              <a:ln w="9525">
                <a:solidFill>
                  <a:srgbClr val="604A7B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spPr bwMode="auto">
              <a:prstGeom prst="rect">
                <a:avLst/>
              </a:prstGeom>
              <a:noFill/>
              <a:ln w="9525" cap="flat" cmpd="sng" algn="ctr">
                <a:solidFill>
                  <a:srgbClr val="604A7B"/>
                </a:solidFill>
                <a:round/>
              </a:ln>
              <a:effectLst/>
            </c:spPr>
          </c:errBars>
          <c:xVal>
            <c:numRef>
              <c:f>TransportStorage!$D$4</c:f>
              <c:numCache>
                <c:formatCode>General</c:formatCode>
                <c:ptCount val="1"/>
                <c:pt idx="0">
                  <c:v>0.09161280719832958</c:v>
                </c:pt>
              </c:numCache>
            </c:numRef>
          </c:xVal>
          <c:yVal>
            <c:numRef>
              <c:f>TransportStorage!$D$5</c:f>
              <c:numCache>
                <c:formatCode>General</c:formatCode>
                <c:ptCount val="1"/>
                <c:pt idx="0">
                  <c:v>2.735882603814959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TransportStorage!$E$3</c:f>
              <c:strCache>
                <c:ptCount val="1"/>
                <c:pt idx="0">
                  <c:v>CH4</c:v>
                </c:pt>
              </c:strCache>
            </c:strRef>
          </c:tx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spPr bwMode="auto">
              <a:prstGeom prst="rect">
                <a:avLst/>
              </a:prstGeom>
              <a:noFill/>
              <a:ln w="9525" cap="flat" cmpd="sng" algn="ctr">
                <a:solidFill>
                  <a:srgbClr val="00B0F0"/>
                </a:solidFill>
                <a:round/>
              </a:ln>
              <a:effectLst/>
            </c:spPr>
          </c:errBars>
          <c:xVal>
            <c:numRef>
              <c:f>TransportStorage!$E$4</c:f>
              <c:numCache>
                <c:formatCode>General</c:formatCode>
                <c:ptCount val="1"/>
                <c:pt idx="0">
                  <c:v>0.3472550067550591</c:v>
                </c:pt>
              </c:numCache>
            </c:numRef>
          </c:xVal>
          <c:yVal>
            <c:numRef>
              <c:f>TransportStorage!$E$5</c:f>
              <c:numCache>
                <c:formatCode>General</c:formatCode>
                <c:ptCount val="1"/>
                <c:pt idx="0">
                  <c:v>1.2313960899172565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TransportStorage!$F$3</c:f>
              <c:strCache>
                <c:ptCount val="1"/>
                <c:pt idx="0">
                  <c:v>Fe</c:v>
                </c:pt>
              </c:strCache>
            </c:strRef>
          </c:tx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DC690A"/>
              </a:solidFill>
              <a:ln w="9525">
                <a:solidFill>
                  <a:srgbClr val="DC690A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spPr bwMode="auto">
              <a:prstGeom prst="rect">
                <a:avLst/>
              </a:prstGeom>
              <a:noFill/>
              <a:ln w="9525" cap="flat" cmpd="sng" algn="ctr">
                <a:solidFill>
                  <a:srgbClr val="DC690A"/>
                </a:solidFill>
                <a:round/>
              </a:ln>
              <a:effectLst/>
            </c:spPr>
          </c:errBars>
          <c:xVal>
            <c:numRef>
              <c:f>TransportStorage!$F$4</c:f>
              <c:numCache>
                <c:formatCode>General</c:formatCode>
                <c:ptCount val="1"/>
                <c:pt idx="0">
                  <c:v>0.00004726001953675792</c:v>
                </c:pt>
              </c:numCache>
            </c:numRef>
          </c:xVal>
          <c:yVal>
            <c:numRef>
              <c:f>TransportStorage!$F$5</c:f>
              <c:numCache>
                <c:formatCode>General</c:formatCode>
                <c:ptCount val="1"/>
                <c:pt idx="0">
                  <c:v>1.5070830685568124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345677791"/>
        <c:axId val="2076521631"/>
      </c:scatterChart>
      <c:valAx>
        <c:axId val="1345677791"/>
        <c:scaling>
          <c:orientation val="minMax"/>
          <c:max val="1.600000"/>
          <c:min val="0.000000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b="1">
                    <a:solidFill>
                      <a:schemeClr val="tx1"/>
                    </a:solidFill>
                  </a:rPr>
                  <a:t>Daily storage costs </a:t>
                </a: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[(USD/MWh</a:t>
                </a:r>
                <a:r>
                  <a:rPr lang="de-DE" sz="1000" b="1" i="0" u="none" strike="noStrike" spc="0" baseline="-25000">
                    <a:solidFill>
                      <a:schemeClr val="tx1"/>
                    </a:solidFill>
                    <a:latin typeface="Charter"/>
                  </a:rPr>
                  <a:t>EC</a:t>
                </a: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)/day]</a:t>
                </a:r>
                <a:endParaRPr lang="de-DE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2076521631"/>
        <c:crosses val="autoZero"/>
        <c:crossBetween val="midCat"/>
      </c:valAx>
      <c:valAx>
        <c:axId val="207652163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b="1">
                    <a:solidFill>
                      <a:schemeClr val="tx1"/>
                    </a:solidFill>
                  </a:rPr>
                  <a:t>Total shipping costs [(USD/MWh</a:t>
                </a:r>
                <a:r>
                  <a:rPr lang="de-DE" b="1" baseline="-25000">
                    <a:solidFill>
                      <a:schemeClr val="tx1"/>
                    </a:solidFill>
                  </a:rPr>
                  <a:t>EC</a:t>
                </a:r>
                <a:r>
                  <a:rPr lang="de-DE" b="1">
                    <a:solidFill>
                      <a:schemeClr val="tx1"/>
                    </a:solidFill>
                  </a:rPr>
                  <a:t>)/1000km]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1345677791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harter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de-DE"/>
  <c:roundedCorners val="0"/>
  <mc:AlternateContent>
    <mc:Choice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TransportStorage!$B$3</c:f>
              <c:strCache>
                <c:ptCount val="1"/>
                <c:pt idx="0">
                  <c:v>H2</c:v>
                </c:pt>
              </c:strCache>
            </c:strRef>
          </c:tx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TransportStorage!$B$4</c:f>
              <c:numCache>
                <c:formatCode>General</c:formatCode>
                <c:ptCount val="1"/>
                <c:pt idx="0">
                  <c:v>0.6282203592808254</c:v>
                </c:pt>
              </c:numCache>
            </c:numRef>
          </c:xVal>
          <c:yVal>
            <c:numRef>
              <c:f>TransportStorage!$B$5</c:f>
              <c:numCache>
                <c:formatCode>General</c:formatCode>
                <c:ptCount val="1"/>
                <c:pt idx="0">
                  <c:v>3.3811191706871813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TransportStorage!$C$3</c:f>
              <c:strCache>
                <c:ptCount val="1"/>
                <c:pt idx="0">
                  <c:v>NH3</c:v>
                </c:pt>
              </c:strCache>
            </c:strRef>
          </c:tx>
          <c:spPr bwMode="auto">
            <a:prstGeom prst="rect">
              <a:avLst/>
            </a:prstGeom>
            <a:ln w="1905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TransportStorage!$C$4</c:f>
              <c:numCache>
                <c:formatCode>General</c:formatCode>
                <c:ptCount val="1"/>
                <c:pt idx="0">
                  <c:v>0.060901675221491404</c:v>
                </c:pt>
              </c:numCache>
            </c:numRef>
          </c:xVal>
          <c:yVal>
            <c:numRef>
              <c:f>TransportStorage!$C$5</c:f>
              <c:numCache>
                <c:formatCode>General</c:formatCode>
                <c:ptCount val="1"/>
                <c:pt idx="0">
                  <c:v>1.6615508885099008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TransportStorage!$D$3</c:f>
              <c:strCache>
                <c:ptCount val="1"/>
                <c:pt idx="0">
                  <c:v>LOHC</c:v>
                </c:pt>
              </c:strCache>
            </c:strRef>
          </c:tx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604A7B"/>
              </a:solidFill>
              <a:ln w="9525">
                <a:solidFill>
                  <a:srgbClr val="604A7B"/>
                </a:solidFill>
              </a:ln>
              <a:effectLst/>
            </c:spPr>
          </c:marker>
          <c:xVal>
            <c:numRef>
              <c:f>TransportStorage!$D$4</c:f>
              <c:numCache>
                <c:formatCode>General</c:formatCode>
                <c:ptCount val="1"/>
                <c:pt idx="0">
                  <c:v>0.09161280719832958</c:v>
                </c:pt>
              </c:numCache>
            </c:numRef>
          </c:xVal>
          <c:yVal>
            <c:numRef>
              <c:f>TransportStorage!$D$5</c:f>
              <c:numCache>
                <c:formatCode>General</c:formatCode>
                <c:ptCount val="1"/>
                <c:pt idx="0">
                  <c:v>2.735882603814959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TransportStorage!$E$3</c:f>
              <c:strCache>
                <c:ptCount val="1"/>
                <c:pt idx="0">
                  <c:v>CH4</c:v>
                </c:pt>
              </c:strCache>
            </c:strRef>
          </c:tx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TransportStorage!$E$4</c:f>
              <c:numCache>
                <c:formatCode>General</c:formatCode>
                <c:ptCount val="1"/>
                <c:pt idx="0">
                  <c:v>0.3472550067550591</c:v>
                </c:pt>
              </c:numCache>
            </c:numRef>
          </c:xVal>
          <c:yVal>
            <c:numRef>
              <c:f>TransportStorage!$E$5</c:f>
              <c:numCache>
                <c:formatCode>General</c:formatCode>
                <c:ptCount val="1"/>
                <c:pt idx="0">
                  <c:v>1.2313960899172565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TransportStorage!$F$3</c:f>
              <c:strCache>
                <c:ptCount val="1"/>
                <c:pt idx="0">
                  <c:v>Fe</c:v>
                </c:pt>
              </c:strCache>
            </c:strRef>
          </c:tx>
          <c:spPr bwMode="auto">
            <a:prstGeom prst="rect">
              <a:avLst/>
            </a:prstGeom>
            <a:ln w="25400" cap="rnd">
              <a:noFill/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rgbClr val="DC690A"/>
              </a:solidFill>
              <a:ln w="9525">
                <a:solidFill>
                  <a:srgbClr val="DC690A"/>
                </a:solidFill>
              </a:ln>
              <a:effectLst/>
            </c:spPr>
          </c:marker>
          <c:xVal>
            <c:numRef>
              <c:f>TransportStorage!$F$4</c:f>
              <c:numCache>
                <c:formatCode>General</c:formatCode>
                <c:ptCount val="1"/>
                <c:pt idx="0">
                  <c:v>0.00004726001953675792</c:v>
                </c:pt>
              </c:numCache>
            </c:numRef>
          </c:xVal>
          <c:yVal>
            <c:numRef>
              <c:f>TransportStorage!$F$5</c:f>
              <c:numCache>
                <c:formatCode>General</c:formatCode>
                <c:ptCount val="1"/>
                <c:pt idx="0">
                  <c:v>1.5070830685568124</c:v>
                </c:pt>
              </c:numCache>
            </c:numRef>
          </c:y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1345677791"/>
        <c:axId val="2076521631"/>
      </c:scatterChart>
      <c:valAx>
        <c:axId val="1345677791"/>
        <c:scaling>
          <c:orientation val="minMax"/>
          <c:min val="0.000000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b="1">
                    <a:solidFill>
                      <a:schemeClr val="tx1"/>
                    </a:solidFill>
                  </a:rPr>
                  <a:t>Daily storage costs </a:t>
                </a: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[(USD/MWh</a:t>
                </a:r>
                <a:r>
                  <a:rPr lang="de-DE" sz="1000" b="1" i="0" u="none" strike="noStrike" spc="0" baseline="-25000">
                    <a:solidFill>
                      <a:schemeClr val="tx1"/>
                    </a:solidFill>
                    <a:latin typeface="Charter"/>
                  </a:rPr>
                  <a:t>EC</a:t>
                </a:r>
                <a:r>
                  <a:rPr lang="de-DE" sz="1000" b="1" i="0" u="none" strike="noStrike" spc="0">
                    <a:solidFill>
                      <a:schemeClr val="tx1"/>
                    </a:solidFill>
                    <a:latin typeface="Charter"/>
                  </a:rPr>
                  <a:t>)/day]</a:t>
                </a:r>
                <a:endParaRPr lang="de-DE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2076521631"/>
        <c:crosses val="autoZero"/>
        <c:crossBetween val="midCat"/>
      </c:valAx>
      <c:valAx>
        <c:axId val="2076521631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harter"/>
                    <a:ea typeface="+mn-ea"/>
                    <a:cs typeface="+mn-cs"/>
                  </a:defRPr>
                </a:pPr>
                <a:r>
                  <a:rPr lang="de-DE" b="1">
                    <a:solidFill>
                      <a:schemeClr val="tx1"/>
                    </a:solidFill>
                  </a:rPr>
                  <a:t>Shipping costs [(USD/MWh</a:t>
                </a:r>
                <a:r>
                  <a:rPr lang="de-DE" b="1" baseline="-25000">
                    <a:solidFill>
                      <a:schemeClr val="tx1"/>
                    </a:solidFill>
                  </a:rPr>
                  <a:t>EC</a:t>
                </a:r>
                <a:r>
                  <a:rPr lang="de-DE" b="1">
                    <a:solidFill>
                      <a:schemeClr val="tx1"/>
                    </a:solidFill>
                  </a:rPr>
                  <a:t>)/1000km]</a:t>
                </a:r>
                <a:endParaRPr/>
              </a:p>
            </c:rich>
          </c:tx>
          <c:layout/>
          <c:overlay val="0"/>
          <c:spPr bwMode="auto">
            <a:prstGeom prst="rect">
              <a:avLst/>
            </a:prstGeom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>
                  <a:solidFill>
                    <a:schemeClr val="tx1">
                      <a:lumMod val="65000"/>
                      <a:lumOff val="35000"/>
                    </a:schemeClr>
                  </a:solidFill>
                  <a:latin typeface="Charter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Charter"/>
                <a:ea typeface="+mn-ea"/>
                <a:cs typeface="+mn-cs"/>
              </a:defRPr>
            </a:pPr>
            <a:endParaRPr lang="de-DE"/>
          </a:p>
        </c:txPr>
        <c:crossAx val="1345677791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Charter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harter"/>
        </a:defRPr>
      </a:pPr>
      <a:endParaRPr lang="de-DE"/>
    </a:p>
  </c:txPr>
  <c:printSettings>
    <c:headerFooter/>
    <c:pageMargins l="0.69999999999999996" r="0.69999999999999996" t="0.78740157499999996" b="0.78740157499999996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  <a:bevel/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 /><Relationship Id="rId2" Type="http://schemas.openxmlformats.org/officeDocument/2006/relationships/chart" Target="../charts/chart6.xml" /><Relationship Id="rId3" Type="http://schemas.openxmlformats.org/officeDocument/2006/relationships/chart" Target="../charts/chart7.xml" /><Relationship Id="rId4" Type="http://schemas.openxmlformats.org/officeDocument/2006/relationships/chart" Target="../charts/chart8.xml" /><Relationship Id="rId5" Type="http://schemas.openxmlformats.org/officeDocument/2006/relationships/chart" Target="../charts/chart9.xml" /><Relationship Id="rId6" Type="http://schemas.openxmlformats.org/officeDocument/2006/relationships/chart" Target="../charts/chart10.xml" /><Relationship Id="rId7" Type="http://schemas.openxmlformats.org/officeDocument/2006/relationships/chart" Target="../charts/chart11.xml" /><Relationship Id="rId8" Type="http://schemas.openxmlformats.org/officeDocument/2006/relationships/chart" Target="../charts/chart12.xml" /><Relationship Id="rId9" Type="http://schemas.openxmlformats.org/officeDocument/2006/relationships/chart" Target="../charts/chart13.xml" /><Relationship Id="rId10" Type="http://schemas.openxmlformats.org/officeDocument/2006/relationships/chart" Target="../charts/chart14.xml" /><Relationship Id="rId11" Type="http://schemas.openxmlformats.org/officeDocument/2006/relationships/chart" Target="../charts/chart15.xml" /><Relationship Id="rId12" Type="http://schemas.openxmlformats.org/officeDocument/2006/relationships/chart" Target="../charts/chart16.xml" /><Relationship Id="rId13" Type="http://schemas.openxmlformats.org/officeDocument/2006/relationships/chart" Target="../charts/chart17.xml" /><Relationship Id="rId14" Type="http://schemas.openxmlformats.org/officeDocument/2006/relationships/chart" Target="../charts/chart18.xml" /><Relationship Id="rId15" Type="http://schemas.openxmlformats.org/officeDocument/2006/relationships/chart" Target="../charts/chart19.xml" /><Relationship Id="rId16" Type="http://schemas.openxmlformats.org/officeDocument/2006/relationships/chart" Target="../charts/chart20.xml" /><Relationship Id="rId17" Type="http://schemas.openxmlformats.org/officeDocument/2006/relationships/chart" Target="../charts/chart21.xml" /><Relationship Id="rId18" Type="http://schemas.openxmlformats.org/officeDocument/2006/relationships/chart" Target="../charts/chart22.xml" /><Relationship Id="rId19" Type="http://schemas.openxmlformats.org/officeDocument/2006/relationships/chart" Target="../charts/chart23.xml" /><Relationship Id="rId20" Type="http://schemas.openxmlformats.org/officeDocument/2006/relationships/chart" Target="../charts/chart24.xml" /><Relationship Id="rId21" Type="http://schemas.openxmlformats.org/officeDocument/2006/relationships/chart" Target="../charts/chart25.xml" /><Relationship Id="rId22" Type="http://schemas.openxmlformats.org/officeDocument/2006/relationships/chart" Target="../charts/chart26.xml" /><Relationship Id="rId23" Type="http://schemas.openxmlformats.org/officeDocument/2006/relationships/chart" Target="../charts/chart27.xml" /><Relationship Id="rId24" Type="http://schemas.openxmlformats.org/officeDocument/2006/relationships/chart" Target="../charts/chart28.xml" /><Relationship Id="rId25" Type="http://schemas.openxmlformats.org/officeDocument/2006/relationships/chart" Target="../charts/chart29.xml" /><Relationship Id="rId26" Type="http://schemas.openxmlformats.org/officeDocument/2006/relationships/chart" Target="../charts/chart30.xml" /><Relationship Id="rId27" Type="http://schemas.openxmlformats.org/officeDocument/2006/relationships/chart" Target="../charts/chart31.xml" /><Relationship Id="rId28" Type="http://schemas.openxmlformats.org/officeDocument/2006/relationships/chart" Target="../charts/chart32.xml" /><Relationship Id="rId29" Type="http://schemas.openxmlformats.org/officeDocument/2006/relationships/chart" Target="../charts/chart33.xml" /><Relationship Id="rId30" Type="http://schemas.openxmlformats.org/officeDocument/2006/relationships/chart" Target="../charts/chart34.xml" /><Relationship Id="rId31" Type="http://schemas.openxmlformats.org/officeDocument/2006/relationships/chart" Target="../charts/chart35.xml" /><Relationship Id="rId32" Type="http://schemas.openxmlformats.org/officeDocument/2006/relationships/chart" Target="../charts/chart36.xml" /><Relationship Id="rId33" Type="http://schemas.openxmlformats.org/officeDocument/2006/relationships/chart" Target="../charts/chart37.xml" /><Relationship Id="rId34" Type="http://schemas.openxmlformats.org/officeDocument/2006/relationships/chart" Target="../charts/chart38.xml" /><Relationship Id="rId35" Type="http://schemas.openxmlformats.org/officeDocument/2006/relationships/chart" Target="../charts/chart39.xml" /><Relationship Id="rId36" Type="http://schemas.openxmlformats.org/officeDocument/2006/relationships/chart" Target="../charts/chart40.xml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41.xml" /><Relationship Id="rId2" Type="http://schemas.openxmlformats.org/officeDocument/2006/relationships/chart" Target="../charts/chart42.xml" /></Relationships>
</file>

<file path=xl/drawings/drawing1.xml><?xml version="1.0" encoding="utf-8"?>
<c:userShapes xmlns:c="http://schemas.openxmlformats.org/drawingml/2006/chart" xmlns:cdr="http://schemas.openxmlformats.org/drawingml/2006/chartDrawing" xmlns:a="http://schemas.openxmlformats.org/drawingml/2006/main" xmlns:r="http://schemas.openxmlformats.org/officeDocument/2006/relationships">
  <cdr:relSizeAnchor>
    <cdr:from>
      <cdr:x>0.05765</cdr:x>
      <cdr:y>0.77005999999999997</cdr:y>
    </cdr:from>
    <cdr:to>
      <cdr:x>1</cdr:x>
      <cdr:y>0.83111000000000002</cdr:y>
    </cdr:to>
    <cdr:sp>
      <cdr:nvSpPr>
        <cdr:cNvPr id="4" name="Textfeld 13"/>
        <cdr:cNvSpPr txBox="1"/>
      </cdr:nvSpPr>
      <cdr:spPr bwMode="auto">
        <a:xfrm>
          <a:off x="263435" y="2280001"/>
          <a:ext cx="4305844" cy="180731"/>
        </a:xfrm>
        <a:prstGeom prst="rect">
          <a:avLst/>
        </a:prstGeom>
        <a:noFill/>
        <a:ln w="9525" cmpd="sng">
          <a:noFill/>
        </a:ln>
      </cdr:spPr>
      <c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cdr:style>
      <c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de-DE" sz="900" b="1">
              <a:latin typeface="Charter"/>
            </a:rPr>
            <a:t>  HAM           CAS</a:t>
          </a:r>
          <a:r>
            <a:rPr lang="de-DE" sz="900" b="1">
              <a:latin typeface="Charter"/>
            </a:rPr>
            <a:t> </a:t>
          </a:r>
          <a:r>
            <a:rPr lang="de-DE" sz="900" b="1">
              <a:latin typeface="Charter"/>
            </a:rPr>
            <a:t>                 YAN                                                    HED</a:t>
          </a:r>
          <a:endParaRPr/>
        </a:p>
      </cdr:txBody>
    </cdr:sp>
  </cdr:relSizeAnchor>
</c:userShape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11</xdr:col>
      <xdr:colOff>0</xdr:colOff>
      <xdr:row>11</xdr:row>
      <xdr:rowOff>0</xdr:rowOff>
    </xdr:from>
    <xdr:to>
      <xdr:col>11</xdr:col>
      <xdr:colOff>304800</xdr:colOff>
      <xdr:row>12</xdr:row>
      <xdr:rowOff>123824</xdr:rowOff>
    </xdr:to>
    <xdr:sp>
      <xdr:nvSpPr>
        <xdr:cNvPr id="6147" name="AutoShape 3"/>
        <xdr:cNvSpPr>
          <a:spLocks noChangeArrowheads="1" noChangeAspect="1"/>
        </xdr:cNvSpPr>
      </xdr:nvSpPr>
      <xdr:spPr bwMode="auto">
        <a:xfrm>
          <a:off x="9401175" y="1266825"/>
          <a:ext cx="304800" cy="304800"/>
        </a:xfrm>
        <a:prstGeom prst="rect">
          <a:avLst/>
        </a:prstGeom>
        <a:noFill/>
      </xdr:spPr>
    </xdr:sp>
    <xdr:clientData/>
  </xdr:twoCellAnchor>
  <xdr:oneCellAnchor>
    <xdr:from>
      <xdr:col>0</xdr:col>
      <xdr:colOff>964921</xdr:colOff>
      <xdr:row>13</xdr:row>
      <xdr:rowOff>120097</xdr:rowOff>
    </xdr:from>
    <xdr:ext cx="1408045" cy="289891"/>
    <xdr:sp>
      <xdr:nvSpPr>
        <xdr:cNvPr id="2" name="AutoShape 3"/>
        <xdr:cNvSpPr>
          <a:spLocks noChangeArrowheads="1" noChangeAspect="1"/>
        </xdr:cNvSpPr>
      </xdr:nvSpPr>
      <xdr:spPr bwMode="auto">
        <a:xfrm>
          <a:off x="964921" y="2488924"/>
          <a:ext cx="1408046" cy="289891"/>
        </a:xfrm>
        <a:prstGeom prst="rect">
          <a:avLst/>
        </a:prstGeom>
        <a:noFill/>
      </xdr:spPr>
    </xdr:sp>
    <xdr:clientData/>
  </xdr:oneCellAnchor>
  <xdr:twoCellAnchor editAs="twoCell">
    <xdr:from>
      <xdr:col>18</xdr:col>
      <xdr:colOff>189430</xdr:colOff>
      <xdr:row>113</xdr:row>
      <xdr:rowOff>142875</xdr:rowOff>
    </xdr:from>
    <xdr:to>
      <xdr:col>24</xdr:col>
      <xdr:colOff>0</xdr:colOff>
      <xdr:row>129</xdr:row>
      <xdr:rowOff>7969</xdr:rowOff>
    </xdr:to>
    <xdr:graphicFrame>
      <xdr:nvGraphicFramePr>
        <xdr:cNvPr id="3" name="Diagramm 2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18</xdr:col>
      <xdr:colOff>180781</xdr:colOff>
      <xdr:row>129</xdr:row>
      <xdr:rowOff>115466</xdr:rowOff>
    </xdr:from>
    <xdr:to>
      <xdr:col>24</xdr:col>
      <xdr:colOff>0</xdr:colOff>
      <xdr:row>145</xdr:row>
      <xdr:rowOff>0</xdr:rowOff>
    </xdr:to>
    <xdr:graphicFrame>
      <xdr:nvGraphicFramePr>
        <xdr:cNvPr id="6" name="Diagramm 5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18</xdr:col>
      <xdr:colOff>172325</xdr:colOff>
      <xdr:row>145</xdr:row>
      <xdr:rowOff>133059</xdr:rowOff>
    </xdr:from>
    <xdr:to>
      <xdr:col>24</xdr:col>
      <xdr:colOff>0</xdr:colOff>
      <xdr:row>161</xdr:row>
      <xdr:rowOff>28575</xdr:rowOff>
    </xdr:to>
    <xdr:graphicFrame>
      <xdr:nvGraphicFramePr>
        <xdr:cNvPr id="7" name="Diagramm 6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18</xdr:col>
      <xdr:colOff>746642</xdr:colOff>
      <xdr:row>165</xdr:row>
      <xdr:rowOff>0</xdr:rowOff>
    </xdr:from>
    <xdr:to>
      <xdr:col>24</xdr:col>
      <xdr:colOff>562946</xdr:colOff>
      <xdr:row>181</xdr:row>
      <xdr:rowOff>65194</xdr:rowOff>
    </xdr:to>
    <xdr:graphicFrame>
      <xdr:nvGraphicFramePr>
        <xdr:cNvPr id="11" name="Diagramm 1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 xmlns:cdr="http://schemas.openxmlformats.org/drawingml/2006/chartDrawing" xmlns:a="http://schemas.openxmlformats.org/drawingml/2006/main" xmlns:r="http://schemas.openxmlformats.org/officeDocument/2006/relationships">
  <cdr:relSizeAnchor>
    <cdr:from>
      <cdr:x>0.063070000000000001</cdr:x>
      <cdr:y>0.86319999999999997</cdr:y>
    </cdr:from>
    <cdr:to>
      <cdr:x>0.98263999999999996</cdr:x>
      <cdr:y>0.90961999999999998</cdr:y>
    </cdr:to>
    <cdr:grpSp>
      <cdr:nvGrpSpPr>
        <cdr:cNvPr id="0" name=""/>
        <cdr:cNvGrpSpPr/>
      </cdr:nvGrpSpPr>
      <cdr:grpSpPr bwMode="auto">
        <a:xfrm>
          <a:off x="630778" y="5726422"/>
          <a:ext cx="9196849" cy="307948"/>
          <a:chOff x="592666" y="5907391"/>
          <a:chExt cx="9196908" cy="307927"/>
        </a:xfrm>
      </cdr:grpSpPr>
      <cdr:sp>
        <cdr:nvSpPr>
          <cdr:cNvPr id="2" name="Textfeld 1"/>
          <cdr:cNvSpPr txBox="1"/>
        </cdr:nvSpPr>
        <cdr:spPr bwMode="auto">
          <a:xfrm>
            <a:off x="592666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vertOverflow="clip" wrap="square" rtlCol="0" anchor="ctr"/>
          <a:lstStyle/>
          <a:p>
            <a:pPr algn="ctr"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</a:t>
            </a:r>
            <a:endParaRPr lang="de-DE" sz="1400" b="1">
              <a:latin typeface="Charter"/>
            </a:endParaRPr>
          </a:p>
        </cdr:txBody>
      </cdr:sp>
      <cdr:sp>
        <cdr:nvSpPr>
          <cdr:cNvPr id="5" name="Textfeld 1"/>
          <cdr:cNvSpPr txBox="1"/>
        </cdr:nvSpPr>
        <cdr:spPr bwMode="auto">
          <a:xfrm>
            <a:off x="1955528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NH</a:t>
            </a:r>
            <a:r>
              <a:rPr lang="de-DE" sz="1400" b="1" baseline="-25000">
                <a:latin typeface="Charter"/>
              </a:rPr>
              <a:t>3</a:t>
            </a:r>
            <a:endParaRPr lang="de-DE" sz="1400" b="1">
              <a:latin typeface="Charter"/>
            </a:endParaRPr>
          </a:p>
        </cdr:txBody>
      </cdr:sp>
      <cdr:sp>
        <cdr:nvSpPr>
          <cdr:cNvPr id="6" name="Textfeld 1"/>
          <cdr:cNvSpPr txBox="1"/>
        </cdr:nvSpPr>
        <cdr:spPr bwMode="auto">
          <a:xfrm>
            <a:off x="3252701" y="5929803"/>
            <a:ext cx="1231101" cy="263105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 </a:t>
            </a:r>
            <a:r>
              <a:rPr lang="de-DE" sz="1400" b="1">
                <a:latin typeface="Charter"/>
              </a:rPr>
              <a:t>from NH</a:t>
            </a:r>
            <a:r>
              <a:rPr lang="de-DE" sz="1400" b="1" baseline="-25000">
                <a:latin typeface="Charter"/>
              </a:rPr>
              <a:t>3</a:t>
            </a:r>
            <a:endParaRPr/>
          </a:p>
        </cdr:txBody>
      </cdr:sp>
      <cdr:sp>
        <cdr:nvSpPr>
          <cdr:cNvPr id="7" name="Textfeld 1"/>
          <cdr:cNvSpPr txBox="1"/>
        </cdr:nvSpPr>
        <cdr:spPr bwMode="auto">
          <a:xfrm>
            <a:off x="4681252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LOHC</a:t>
            </a:r>
            <a:endParaRPr/>
          </a:p>
        </cdr:txBody>
      </cdr:sp>
      <cdr:sp>
        <cdr:nvSpPr>
          <cdr:cNvPr id="8" name="Textfeld 1"/>
          <cdr:cNvSpPr txBox="1"/>
        </cdr:nvSpPr>
        <cdr:spPr bwMode="auto">
          <a:xfrm>
            <a:off x="6044114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CH</a:t>
            </a:r>
            <a:r>
              <a:rPr lang="de-DE" sz="1400" b="1" baseline="-25000">
                <a:latin typeface="Charter"/>
              </a:rPr>
              <a:t>4</a:t>
            </a:r>
            <a:endParaRPr/>
          </a:p>
        </cdr:txBody>
      </cdr:sp>
      <cdr:sp>
        <cdr:nvSpPr>
          <cdr:cNvPr id="9" name="Textfeld 1"/>
          <cdr:cNvSpPr txBox="1"/>
        </cdr:nvSpPr>
        <cdr:spPr bwMode="auto">
          <a:xfrm>
            <a:off x="7320437" y="5907391"/>
            <a:ext cx="1229539" cy="307927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</a:t>
            </a:r>
            <a:r>
              <a:rPr lang="de-DE" sz="1400" b="1">
                <a:latin typeface="Charter"/>
              </a:rPr>
              <a:t> from </a:t>
            </a:r>
            <a:r>
              <a:rPr lang="de-DE" sz="1400" b="1">
                <a:latin typeface="Charter"/>
                <a:ea typeface="+mn-ea"/>
                <a:cs typeface="+mn-cs"/>
              </a:rPr>
              <a:t>CH</a:t>
            </a:r>
            <a:r>
              <a:rPr lang="de-DE" sz="1400" b="1" baseline="-25000">
                <a:latin typeface="Charter"/>
                <a:ea typeface="+mn-ea"/>
                <a:cs typeface="+mn-cs"/>
              </a:rPr>
              <a:t>4</a:t>
            </a:r>
            <a:endParaRPr lang="de-DE" sz="1400">
              <a:latin typeface="Charter"/>
            </a:endParaRPr>
          </a:p>
        </cdr:txBody>
      </cdr:sp>
      <cdr:sp>
        <cdr:nvSpPr>
          <cdr:cNvPr id="10" name="Textfeld 1"/>
          <cdr:cNvSpPr txBox="1"/>
        </cdr:nvSpPr>
        <cdr:spPr bwMode="auto">
          <a:xfrm>
            <a:off x="8769839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Fe</a:t>
            </a:r>
            <a:endParaRPr/>
          </a:p>
        </cdr:txBody>
      </cdr:sp>
    </cdr:grpSp>
  </cdr:relSizeAnchor>
</c:userShapes>
</file>

<file path=xl/drawings/drawing4.xml><?xml version="1.0" encoding="utf-8"?>
<c:userShapes xmlns:c="http://schemas.openxmlformats.org/drawingml/2006/chart" xmlns:cdr="http://schemas.openxmlformats.org/drawingml/2006/chartDrawing" xmlns:a="http://schemas.openxmlformats.org/drawingml/2006/main" xmlns:r="http://schemas.openxmlformats.org/officeDocument/2006/relationships">
  <cdr:relSizeAnchor>
    <cdr:from>
      <cdr:x>0.063070000000000001</cdr:x>
      <cdr:y>0.86319999999999997</cdr:y>
    </cdr:from>
    <cdr:to>
      <cdr:x>0.98263999999999996</cdr:x>
      <cdr:y>0.90961999999999998</cdr:y>
    </cdr:to>
    <cdr:grpSp>
      <cdr:nvGrpSpPr>
        <cdr:cNvPr id="0" name=""/>
        <cdr:cNvGrpSpPr/>
      </cdr:nvGrpSpPr>
      <cdr:grpSpPr bwMode="auto">
        <a:xfrm>
          <a:off x="630778" y="5726422"/>
          <a:ext cx="9196849" cy="307948"/>
          <a:chOff x="592666" y="5907391"/>
          <a:chExt cx="9196908" cy="307927"/>
        </a:xfrm>
      </cdr:grpSpPr>
      <cdr:sp>
        <cdr:nvSpPr>
          <cdr:cNvPr id="2" name="Textfeld 1"/>
          <cdr:cNvSpPr txBox="1"/>
        </cdr:nvSpPr>
        <cdr:spPr bwMode="auto">
          <a:xfrm>
            <a:off x="592666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vertOverflow="clip" wrap="square" rtlCol="0" anchor="ctr"/>
          <a:lstStyle/>
          <a:p>
            <a:pPr algn="ctr"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</a:t>
            </a:r>
            <a:endParaRPr lang="de-DE" sz="1400" b="1">
              <a:latin typeface="Charter"/>
            </a:endParaRPr>
          </a:p>
        </cdr:txBody>
      </cdr:sp>
      <cdr:sp>
        <cdr:nvSpPr>
          <cdr:cNvPr id="5" name="Textfeld 1"/>
          <cdr:cNvSpPr txBox="1"/>
        </cdr:nvSpPr>
        <cdr:spPr bwMode="auto">
          <a:xfrm>
            <a:off x="1955528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NH</a:t>
            </a:r>
            <a:r>
              <a:rPr lang="de-DE" sz="1400" b="1" baseline="-25000">
                <a:latin typeface="Charter"/>
              </a:rPr>
              <a:t>3</a:t>
            </a:r>
            <a:endParaRPr lang="de-DE" sz="1400" b="1">
              <a:latin typeface="Charter"/>
            </a:endParaRPr>
          </a:p>
        </cdr:txBody>
      </cdr:sp>
      <cdr:sp>
        <cdr:nvSpPr>
          <cdr:cNvPr id="6" name="Textfeld 1"/>
          <cdr:cNvSpPr txBox="1"/>
        </cdr:nvSpPr>
        <cdr:spPr bwMode="auto">
          <a:xfrm>
            <a:off x="3252701" y="5929803"/>
            <a:ext cx="1231101" cy="263105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 </a:t>
            </a:r>
            <a:r>
              <a:rPr lang="de-DE" sz="1400" b="1">
                <a:latin typeface="Charter"/>
              </a:rPr>
              <a:t>from NH</a:t>
            </a:r>
            <a:r>
              <a:rPr lang="de-DE" sz="1400" b="1" baseline="-25000">
                <a:latin typeface="Charter"/>
              </a:rPr>
              <a:t>3</a:t>
            </a:r>
            <a:endParaRPr/>
          </a:p>
        </cdr:txBody>
      </cdr:sp>
      <cdr:sp>
        <cdr:nvSpPr>
          <cdr:cNvPr id="7" name="Textfeld 1"/>
          <cdr:cNvSpPr txBox="1"/>
        </cdr:nvSpPr>
        <cdr:spPr bwMode="auto">
          <a:xfrm>
            <a:off x="4681252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LOHC</a:t>
            </a:r>
            <a:endParaRPr/>
          </a:p>
        </cdr:txBody>
      </cdr:sp>
      <cdr:sp>
        <cdr:nvSpPr>
          <cdr:cNvPr id="8" name="Textfeld 1"/>
          <cdr:cNvSpPr txBox="1"/>
        </cdr:nvSpPr>
        <cdr:spPr bwMode="auto">
          <a:xfrm>
            <a:off x="6044114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CH</a:t>
            </a:r>
            <a:r>
              <a:rPr lang="de-DE" sz="1400" b="1" baseline="-25000">
                <a:latin typeface="Charter"/>
              </a:rPr>
              <a:t>4</a:t>
            </a:r>
            <a:endParaRPr/>
          </a:p>
        </cdr:txBody>
      </cdr:sp>
      <cdr:sp>
        <cdr:nvSpPr>
          <cdr:cNvPr id="9" name="Textfeld 1"/>
          <cdr:cNvSpPr txBox="1"/>
        </cdr:nvSpPr>
        <cdr:spPr bwMode="auto">
          <a:xfrm>
            <a:off x="7320437" y="5907391"/>
            <a:ext cx="1229539" cy="307927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</a:t>
            </a:r>
            <a:r>
              <a:rPr lang="de-DE" sz="1400" b="1">
                <a:latin typeface="Charter"/>
              </a:rPr>
              <a:t> from </a:t>
            </a:r>
            <a:r>
              <a:rPr lang="de-DE" sz="1400" b="1">
                <a:latin typeface="Charter"/>
                <a:ea typeface="+mn-ea"/>
                <a:cs typeface="+mn-cs"/>
              </a:rPr>
              <a:t>CH</a:t>
            </a:r>
            <a:r>
              <a:rPr lang="de-DE" sz="1400" b="1" baseline="-25000">
                <a:latin typeface="Charter"/>
                <a:ea typeface="+mn-ea"/>
                <a:cs typeface="+mn-cs"/>
              </a:rPr>
              <a:t>4</a:t>
            </a:r>
            <a:endParaRPr lang="de-DE" sz="1400">
              <a:latin typeface="Charter"/>
            </a:endParaRPr>
          </a:p>
        </cdr:txBody>
      </cdr:sp>
      <cdr:sp>
        <cdr:nvSpPr>
          <cdr:cNvPr id="10" name="Textfeld 1"/>
          <cdr:cNvSpPr txBox="1"/>
        </cdr:nvSpPr>
        <cdr:spPr bwMode="auto">
          <a:xfrm>
            <a:off x="8769839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Fe</a:t>
            </a:r>
            <a:endParaRPr/>
          </a:p>
        </cdr:txBody>
      </cdr:sp>
    </cdr:grpSp>
  </cdr:relSizeAnchor>
</c:userShapes>
</file>

<file path=xl/drawings/drawing5.xml><?xml version="1.0" encoding="utf-8"?>
<c:userShapes xmlns:c="http://schemas.openxmlformats.org/drawingml/2006/chart" xmlns:cdr="http://schemas.openxmlformats.org/drawingml/2006/chartDrawing" xmlns:a="http://schemas.openxmlformats.org/drawingml/2006/main" xmlns:r="http://schemas.openxmlformats.org/officeDocument/2006/relationships">
  <cdr:relSizeAnchor>
    <cdr:from>
      <cdr:x>0.063070000000000001</cdr:x>
      <cdr:y>0.86319999999999997</cdr:y>
    </cdr:from>
    <cdr:to>
      <cdr:x>0.98263999999999996</cdr:x>
      <cdr:y>0.90961999999999998</cdr:y>
    </cdr:to>
    <cdr:grpSp>
      <cdr:nvGrpSpPr>
        <cdr:cNvPr id="0" name=""/>
        <cdr:cNvGrpSpPr/>
      </cdr:nvGrpSpPr>
      <cdr:grpSpPr bwMode="auto">
        <a:xfrm>
          <a:off x="630778" y="5726422"/>
          <a:ext cx="9196849" cy="307948"/>
          <a:chOff x="592666" y="5907391"/>
          <a:chExt cx="9196908" cy="307927"/>
        </a:xfrm>
      </cdr:grpSpPr>
      <cdr:sp>
        <cdr:nvSpPr>
          <cdr:cNvPr id="2" name="Textfeld 1"/>
          <cdr:cNvSpPr txBox="1"/>
        </cdr:nvSpPr>
        <cdr:spPr bwMode="auto">
          <a:xfrm>
            <a:off x="592666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vertOverflow="clip" wrap="square" rtlCol="0" anchor="ctr"/>
          <a:lstStyle/>
          <a:p>
            <a:pPr algn="ctr"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</a:t>
            </a:r>
            <a:endParaRPr lang="de-DE" sz="1400" b="1">
              <a:latin typeface="Charter"/>
            </a:endParaRPr>
          </a:p>
        </cdr:txBody>
      </cdr:sp>
      <cdr:sp>
        <cdr:nvSpPr>
          <cdr:cNvPr id="5" name="Textfeld 1"/>
          <cdr:cNvSpPr txBox="1"/>
        </cdr:nvSpPr>
        <cdr:spPr bwMode="auto">
          <a:xfrm>
            <a:off x="1955528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NH</a:t>
            </a:r>
            <a:r>
              <a:rPr lang="de-DE" sz="1400" b="1" baseline="-25000">
                <a:latin typeface="Charter"/>
              </a:rPr>
              <a:t>3</a:t>
            </a:r>
            <a:endParaRPr lang="de-DE" sz="1400" b="1">
              <a:latin typeface="Charter"/>
            </a:endParaRPr>
          </a:p>
        </cdr:txBody>
      </cdr:sp>
      <cdr:sp>
        <cdr:nvSpPr>
          <cdr:cNvPr id="6" name="Textfeld 1"/>
          <cdr:cNvSpPr txBox="1"/>
        </cdr:nvSpPr>
        <cdr:spPr bwMode="auto">
          <a:xfrm>
            <a:off x="3252701" y="5929803"/>
            <a:ext cx="1231101" cy="263105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 </a:t>
            </a:r>
            <a:r>
              <a:rPr lang="de-DE" sz="1400" b="1">
                <a:latin typeface="Charter"/>
              </a:rPr>
              <a:t>from NH</a:t>
            </a:r>
            <a:r>
              <a:rPr lang="de-DE" sz="1400" b="1" baseline="-25000">
                <a:latin typeface="Charter"/>
              </a:rPr>
              <a:t>3</a:t>
            </a:r>
            <a:endParaRPr/>
          </a:p>
        </cdr:txBody>
      </cdr:sp>
      <cdr:sp>
        <cdr:nvSpPr>
          <cdr:cNvPr id="7" name="Textfeld 1"/>
          <cdr:cNvSpPr txBox="1"/>
        </cdr:nvSpPr>
        <cdr:spPr bwMode="auto">
          <a:xfrm>
            <a:off x="4681252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LOHC</a:t>
            </a:r>
            <a:endParaRPr/>
          </a:p>
        </cdr:txBody>
      </cdr:sp>
      <cdr:sp>
        <cdr:nvSpPr>
          <cdr:cNvPr id="8" name="Textfeld 1"/>
          <cdr:cNvSpPr txBox="1"/>
        </cdr:nvSpPr>
        <cdr:spPr bwMode="auto">
          <a:xfrm>
            <a:off x="6044114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CH</a:t>
            </a:r>
            <a:r>
              <a:rPr lang="de-DE" sz="1400" b="1" baseline="-25000">
                <a:latin typeface="Charter"/>
              </a:rPr>
              <a:t>4</a:t>
            </a:r>
            <a:endParaRPr/>
          </a:p>
        </cdr:txBody>
      </cdr:sp>
      <cdr:sp>
        <cdr:nvSpPr>
          <cdr:cNvPr id="9" name="Textfeld 1"/>
          <cdr:cNvSpPr txBox="1"/>
        </cdr:nvSpPr>
        <cdr:spPr bwMode="auto">
          <a:xfrm>
            <a:off x="7320437" y="5907391"/>
            <a:ext cx="1229539" cy="307927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</a:t>
            </a:r>
            <a:r>
              <a:rPr lang="de-DE" sz="1400" b="1">
                <a:latin typeface="Charter"/>
              </a:rPr>
              <a:t> from </a:t>
            </a:r>
            <a:r>
              <a:rPr lang="de-DE" sz="1400" b="1">
                <a:latin typeface="Charter"/>
                <a:ea typeface="+mn-ea"/>
                <a:cs typeface="+mn-cs"/>
              </a:rPr>
              <a:t>CH</a:t>
            </a:r>
            <a:r>
              <a:rPr lang="de-DE" sz="1400" b="1" baseline="-25000">
                <a:latin typeface="Charter"/>
                <a:ea typeface="+mn-ea"/>
                <a:cs typeface="+mn-cs"/>
              </a:rPr>
              <a:t>4</a:t>
            </a:r>
            <a:endParaRPr lang="de-DE" sz="1400">
              <a:latin typeface="Charter"/>
            </a:endParaRPr>
          </a:p>
        </cdr:txBody>
      </cdr:sp>
      <cdr:sp>
        <cdr:nvSpPr>
          <cdr:cNvPr id="10" name="Textfeld 1"/>
          <cdr:cNvSpPr txBox="1"/>
        </cdr:nvSpPr>
        <cdr:spPr bwMode="auto">
          <a:xfrm>
            <a:off x="8769839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Fe</a:t>
            </a:r>
            <a:endParaRPr/>
          </a:p>
        </cdr:txBody>
      </cdr:sp>
    </cdr:grpSp>
  </cdr:relSizeAnchor>
</c:userShapes>
</file>

<file path=xl/drawings/drawing6.xml><?xml version="1.0" encoding="utf-8"?>
<c:userShapes xmlns:c="http://schemas.openxmlformats.org/drawingml/2006/chart" xmlns:cdr="http://schemas.openxmlformats.org/drawingml/2006/chartDrawing" xmlns:a="http://schemas.openxmlformats.org/drawingml/2006/main" xmlns:r="http://schemas.openxmlformats.org/officeDocument/2006/relationships">
  <cdr:relSizeAnchor>
    <cdr:from>
      <cdr:x>0.063070000000000001</cdr:x>
      <cdr:y>0.86319999999999997</cdr:y>
    </cdr:from>
    <cdr:to>
      <cdr:x>0.98263999999999996</cdr:x>
      <cdr:y>0.90961999999999998</cdr:y>
    </cdr:to>
    <cdr:grpSp>
      <cdr:nvGrpSpPr>
        <cdr:cNvPr id="0" name=""/>
        <cdr:cNvGrpSpPr/>
      </cdr:nvGrpSpPr>
      <cdr:grpSpPr bwMode="auto">
        <a:xfrm>
          <a:off x="630778" y="5726422"/>
          <a:ext cx="9196849" cy="307948"/>
          <a:chOff x="592666" y="5907391"/>
          <a:chExt cx="9196908" cy="307927"/>
        </a:xfrm>
      </cdr:grpSpPr>
      <cdr:sp>
        <cdr:nvSpPr>
          <cdr:cNvPr id="2" name="Textfeld 1"/>
          <cdr:cNvSpPr txBox="1"/>
        </cdr:nvSpPr>
        <cdr:spPr bwMode="auto">
          <a:xfrm>
            <a:off x="592666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vertOverflow="clip" wrap="square" rtlCol="0" anchor="ctr"/>
          <a:lstStyle/>
          <a:p>
            <a:pPr algn="ctr"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</a:t>
            </a:r>
            <a:endParaRPr lang="de-DE" sz="1400" b="1">
              <a:latin typeface="Charter"/>
            </a:endParaRPr>
          </a:p>
        </cdr:txBody>
      </cdr:sp>
      <cdr:sp>
        <cdr:nvSpPr>
          <cdr:cNvPr id="5" name="Textfeld 1"/>
          <cdr:cNvSpPr txBox="1"/>
        </cdr:nvSpPr>
        <cdr:spPr bwMode="auto">
          <a:xfrm>
            <a:off x="1955528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NH</a:t>
            </a:r>
            <a:r>
              <a:rPr lang="de-DE" sz="1400" b="1" baseline="-25000">
                <a:latin typeface="Charter"/>
              </a:rPr>
              <a:t>3</a:t>
            </a:r>
            <a:endParaRPr lang="de-DE" sz="1400" b="1">
              <a:latin typeface="Charter"/>
            </a:endParaRPr>
          </a:p>
        </cdr:txBody>
      </cdr:sp>
      <cdr:sp>
        <cdr:nvSpPr>
          <cdr:cNvPr id="6" name="Textfeld 1"/>
          <cdr:cNvSpPr txBox="1"/>
        </cdr:nvSpPr>
        <cdr:spPr bwMode="auto">
          <a:xfrm>
            <a:off x="3252701" y="5929803"/>
            <a:ext cx="1231101" cy="263105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 </a:t>
            </a:r>
            <a:r>
              <a:rPr lang="de-DE" sz="1400" b="1">
                <a:latin typeface="Charter"/>
              </a:rPr>
              <a:t>from NH</a:t>
            </a:r>
            <a:r>
              <a:rPr lang="de-DE" sz="1400" b="1" baseline="-25000">
                <a:latin typeface="Charter"/>
              </a:rPr>
              <a:t>3</a:t>
            </a:r>
            <a:endParaRPr/>
          </a:p>
        </cdr:txBody>
      </cdr:sp>
      <cdr:sp>
        <cdr:nvSpPr>
          <cdr:cNvPr id="7" name="Textfeld 1"/>
          <cdr:cNvSpPr txBox="1"/>
        </cdr:nvSpPr>
        <cdr:spPr bwMode="auto">
          <a:xfrm>
            <a:off x="4681252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LOHC</a:t>
            </a:r>
            <a:endParaRPr/>
          </a:p>
        </cdr:txBody>
      </cdr:sp>
      <cdr:sp>
        <cdr:nvSpPr>
          <cdr:cNvPr id="8" name="Textfeld 1"/>
          <cdr:cNvSpPr txBox="1"/>
        </cdr:nvSpPr>
        <cdr:spPr bwMode="auto">
          <a:xfrm>
            <a:off x="6044114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CH</a:t>
            </a:r>
            <a:r>
              <a:rPr lang="de-DE" sz="1400" b="1" baseline="-25000">
                <a:latin typeface="Charter"/>
              </a:rPr>
              <a:t>4</a:t>
            </a:r>
            <a:endParaRPr/>
          </a:p>
        </cdr:txBody>
      </cdr:sp>
      <cdr:sp>
        <cdr:nvSpPr>
          <cdr:cNvPr id="9" name="Textfeld 1"/>
          <cdr:cNvSpPr txBox="1"/>
        </cdr:nvSpPr>
        <cdr:spPr bwMode="auto">
          <a:xfrm>
            <a:off x="7320437" y="5907391"/>
            <a:ext cx="1229539" cy="307927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de-DE" sz="1400" b="1">
                <a:latin typeface="Charter"/>
              </a:rPr>
              <a:t>H</a:t>
            </a:r>
            <a:r>
              <a:rPr lang="de-DE" sz="1400" b="1" baseline="-25000">
                <a:latin typeface="Charter"/>
              </a:rPr>
              <a:t>2</a:t>
            </a:r>
            <a:r>
              <a:rPr lang="de-DE" sz="1400" b="1">
                <a:latin typeface="Charter"/>
              </a:rPr>
              <a:t> from </a:t>
            </a:r>
            <a:r>
              <a:rPr lang="de-DE" sz="1400" b="1">
                <a:latin typeface="Charter"/>
                <a:ea typeface="+mn-ea"/>
                <a:cs typeface="+mn-cs"/>
              </a:rPr>
              <a:t>CH</a:t>
            </a:r>
            <a:r>
              <a:rPr lang="de-DE" sz="1400" b="1" baseline="-25000">
                <a:latin typeface="Charter"/>
                <a:ea typeface="+mn-ea"/>
                <a:cs typeface="+mn-cs"/>
              </a:rPr>
              <a:t>4</a:t>
            </a:r>
            <a:endParaRPr lang="de-DE" sz="1400">
              <a:latin typeface="Charter"/>
            </a:endParaRPr>
          </a:p>
        </cdr:txBody>
      </cdr:sp>
      <cdr:sp>
        <cdr:nvSpPr>
          <cdr:cNvPr id="10" name="Textfeld 1"/>
          <cdr:cNvSpPr txBox="1"/>
        </cdr:nvSpPr>
        <cdr:spPr bwMode="auto">
          <a:xfrm>
            <a:off x="8769839" y="5943694"/>
            <a:ext cx="1019735" cy="235323"/>
          </a:xfrm>
          <a:prstGeom prst="rect">
            <a:avLst/>
          </a:prstGeom>
          <a:ln>
            <a:noFill/>
          </a:ln>
        </cdr:spPr>
        <cdr:txBody>
          <a:bodyPr wrap="square" rtlCol="0" anchor="ctr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de-DE" sz="1400" b="1">
                <a:latin typeface="Charter"/>
              </a:rPr>
              <a:t>Fe</a:t>
            </a:r>
            <a:endParaRPr/>
          </a:p>
        </cdr:txBody>
      </cdr:sp>
    </cdr:grp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25</xdr:col>
      <xdr:colOff>0</xdr:colOff>
      <xdr:row>2</xdr:row>
      <xdr:rowOff>59533</xdr:rowOff>
    </xdr:from>
    <xdr:ext cx="10001250" cy="6633946"/>
    <xdr:graphicFrame>
      <xdr:nvGraphicFramePr>
        <xdr:cNvPr id="42" name="Chart 6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388447</xdr:colOff>
      <xdr:row>131</xdr:row>
      <xdr:rowOff>112820</xdr:rowOff>
    </xdr:from>
    <xdr:ext cx="3465704" cy="3525358"/>
    <xdr:graphicFrame>
      <xdr:nvGraphicFramePr>
        <xdr:cNvPr id="14" name="Chart 6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0</xdr:colOff>
      <xdr:row>150</xdr:row>
      <xdr:rowOff>154252</xdr:rowOff>
    </xdr:from>
    <xdr:ext cx="3835448" cy="3370506"/>
    <xdr:graphicFrame>
      <xdr:nvGraphicFramePr>
        <xdr:cNvPr id="15" name="Chart 7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378148</xdr:colOff>
      <xdr:row>150</xdr:row>
      <xdr:rowOff>116413</xdr:rowOff>
    </xdr:from>
    <xdr:ext cx="3521499" cy="3413439"/>
    <xdr:graphicFrame>
      <xdr:nvGraphicFramePr>
        <xdr:cNvPr id="16" name="Chart 8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0</xdr:col>
      <xdr:colOff>0</xdr:colOff>
      <xdr:row>131</xdr:row>
      <xdr:rowOff>117801</xdr:rowOff>
    </xdr:from>
    <xdr:ext cx="3771611" cy="3533774"/>
    <xdr:graphicFrame>
      <xdr:nvGraphicFramePr>
        <xdr:cNvPr id="5" name="Chart 6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8</xdr:col>
      <xdr:colOff>631264</xdr:colOff>
      <xdr:row>131</xdr:row>
      <xdr:rowOff>115794</xdr:rowOff>
    </xdr:from>
    <xdr:ext cx="3771611" cy="3533774"/>
    <xdr:graphicFrame>
      <xdr:nvGraphicFramePr>
        <xdr:cNvPr id="17" name="Chart 6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13</xdr:col>
      <xdr:colOff>789174</xdr:colOff>
      <xdr:row>131</xdr:row>
      <xdr:rowOff>56030</xdr:rowOff>
    </xdr:from>
    <xdr:ext cx="3465704" cy="3525358"/>
    <xdr:graphicFrame>
      <xdr:nvGraphicFramePr>
        <xdr:cNvPr id="18" name="Chart 6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8</xdr:col>
      <xdr:colOff>593911</xdr:colOff>
      <xdr:row>150</xdr:row>
      <xdr:rowOff>89646</xdr:rowOff>
    </xdr:from>
    <xdr:ext cx="3835448" cy="3370506"/>
    <xdr:graphicFrame>
      <xdr:nvGraphicFramePr>
        <xdr:cNvPr id="19" name="Chart 7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13</xdr:col>
      <xdr:colOff>677113</xdr:colOff>
      <xdr:row>150</xdr:row>
      <xdr:rowOff>44821</xdr:rowOff>
    </xdr:from>
    <xdr:ext cx="3521499" cy="3413439"/>
    <xdr:graphicFrame>
      <xdr:nvGraphicFramePr>
        <xdr:cNvPr id="20" name="Chart 8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18</xdr:col>
      <xdr:colOff>597885</xdr:colOff>
      <xdr:row>133</xdr:row>
      <xdr:rowOff>179675</xdr:rowOff>
    </xdr:from>
    <xdr:ext cx="3771611" cy="3533774"/>
    <xdr:graphicFrame>
      <xdr:nvGraphicFramePr>
        <xdr:cNvPr id="25" name="Chart 6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23</xdr:col>
      <xdr:colOff>517475</xdr:colOff>
      <xdr:row>133</xdr:row>
      <xdr:rowOff>111460</xdr:rowOff>
    </xdr:from>
    <xdr:ext cx="3465704" cy="3525358"/>
    <xdr:graphicFrame>
      <xdr:nvGraphicFramePr>
        <xdr:cNvPr id="26" name="Chart 6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18</xdr:col>
      <xdr:colOff>442143</xdr:colOff>
      <xdr:row>152</xdr:row>
      <xdr:rowOff>32515</xdr:rowOff>
    </xdr:from>
    <xdr:ext cx="3835448" cy="3370506"/>
    <xdr:graphicFrame>
      <xdr:nvGraphicFramePr>
        <xdr:cNvPr id="27" name="Chart 7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23</xdr:col>
      <xdr:colOff>450239</xdr:colOff>
      <xdr:row>153</xdr:row>
      <xdr:rowOff>156281</xdr:rowOff>
    </xdr:from>
    <xdr:ext cx="3535454" cy="3356162"/>
    <xdr:graphicFrame>
      <xdr:nvGraphicFramePr>
        <xdr:cNvPr id="28" name="Chart 8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twoCellAnchor editAs="twoCell">
    <xdr:from>
      <xdr:col>53</xdr:col>
      <xdr:colOff>515650</xdr:colOff>
      <xdr:row>83</xdr:row>
      <xdr:rowOff>174049</xdr:rowOff>
    </xdr:from>
    <xdr:to>
      <xdr:col>69</xdr:col>
      <xdr:colOff>732126</xdr:colOff>
      <xdr:row>121</xdr:row>
      <xdr:rowOff>104775</xdr:rowOff>
    </xdr:to>
    <xdr:graphicFrame>
      <xdr:nvGraphicFramePr>
        <xdr:cNvPr id="41" name="Diagramm 40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18</xdr:col>
      <xdr:colOff>898908</xdr:colOff>
      <xdr:row>88</xdr:row>
      <xdr:rowOff>52720</xdr:rowOff>
    </xdr:from>
    <xdr:to>
      <xdr:col>28</xdr:col>
      <xdr:colOff>214148</xdr:colOff>
      <xdr:row>136</xdr:row>
      <xdr:rowOff>0</xdr:rowOff>
    </xdr:to>
    <xdr:grpSp>
      <xdr:nvGrpSpPr>
        <xdr:cNvPr id="0" name=""/>
        <xdr:cNvGrpSpPr/>
      </xdr:nvGrpSpPr>
      <xdr:grpSpPr bwMode="auto">
        <a:xfrm>
          <a:off x="15533790" y="15841809"/>
          <a:ext cx="7635609" cy="8553397"/>
          <a:chOff x="15361224" y="16155554"/>
          <a:chExt cx="7447042" cy="7729937"/>
        </a:xfrm>
      </xdr:grpSpPr>
      <xdr:grpSp>
        <xdr:nvGrpSpPr>
          <xdr:cNvPr id="1" name=""/>
          <xdr:cNvGrpSpPr/>
        </xdr:nvGrpSpPr>
        <xdr:grpSpPr bwMode="auto">
          <a:xfrm>
            <a:off x="15361224" y="16155554"/>
            <a:ext cx="7447042" cy="7729937"/>
            <a:chOff x="15361228" y="16155549"/>
            <a:chExt cx="7447043" cy="7729935"/>
          </a:xfrm>
        </xdr:grpSpPr>
        <xdr:graphicFrame>
          <xdr:nvGraphicFramePr>
            <xdr:cNvPr id="53" name="Chart 3" title="Chart"/>
            <xdr:cNvGraphicFramePr>
              <a:graphicFrameLocks xmlns:a="http://schemas.openxmlformats.org/drawingml/2006/main"/>
            </xdr:cNvGraphicFramePr>
          </xdr:nvGraphicFramePr>
          <xdr:xfrm>
            <a:off x="15361228" y="16430008"/>
            <a:ext cx="7427643" cy="745547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5"/>
            </a:graphicData>
          </a:graphic>
        </xdr:graphicFrame>
        <xdr:graphicFrame>
          <xdr:nvGraphicFramePr>
            <xdr:cNvPr id="21" name="Chart 2" title="Chart"/>
            <xdr:cNvGraphicFramePr>
              <a:graphicFrameLocks xmlns:a="http://schemas.openxmlformats.org/drawingml/2006/main"/>
            </xdr:cNvGraphicFramePr>
          </xdr:nvGraphicFramePr>
          <xdr:xfrm>
            <a:off x="15374980" y="16155549"/>
            <a:ext cx="3692337" cy="347115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6"/>
            </a:graphicData>
          </a:graphic>
        </xdr:graphicFrame>
        <xdr:graphicFrame>
          <xdr:nvGraphicFramePr>
            <xdr:cNvPr id="23" name="Chart 3" title="Chart"/>
            <xdr:cNvGraphicFramePr>
              <a:graphicFrameLocks xmlns:a="http://schemas.openxmlformats.org/drawingml/2006/main"/>
            </xdr:cNvGraphicFramePr>
          </xdr:nvGraphicFramePr>
          <xdr:xfrm>
            <a:off x="15411163" y="19607167"/>
            <a:ext cx="3686733" cy="346471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7"/>
            </a:graphicData>
          </a:graphic>
        </xdr:graphicFrame>
        <xdr:graphicFrame>
          <xdr:nvGraphicFramePr>
            <xdr:cNvPr id="46" name="Chart 3" title="Chart"/>
            <xdr:cNvGraphicFramePr>
              <a:graphicFrameLocks xmlns:a="http://schemas.openxmlformats.org/drawingml/2006/main"/>
            </xdr:cNvGraphicFramePr>
          </xdr:nvGraphicFramePr>
          <xdr:xfrm>
            <a:off x="19121538" y="19591281"/>
            <a:ext cx="3686733" cy="338381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8"/>
            </a:graphicData>
          </a:graphic>
        </xdr:graphicFrame>
        <xdr:graphicFrame>
          <xdr:nvGraphicFramePr>
            <xdr:cNvPr id="50" name="Chart 2" title="Chart"/>
            <xdr:cNvGraphicFramePr>
              <a:graphicFrameLocks xmlns:a="http://schemas.openxmlformats.org/drawingml/2006/main"/>
            </xdr:cNvGraphicFramePr>
          </xdr:nvGraphicFramePr>
          <xdr:xfrm>
            <a:off x="19114473" y="16258614"/>
            <a:ext cx="3692337" cy="34647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9"/>
            </a:graphicData>
          </a:graphic>
        </xdr:graphicFrame>
      </xdr:grpSp>
      <xdr:sp>
        <xdr:nvSpPr>
          <xdr:cNvPr id="63" name="Textfeld 62"/>
          <xdr:cNvSpPr txBox="1"/>
        </xdr:nvSpPr>
        <xdr:spPr bwMode="auto">
          <a:xfrm>
            <a:off x="15872472" y="19181952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a)</a:t>
            </a:r>
            <a:endParaRPr/>
          </a:p>
        </xdr:txBody>
      </xdr:sp>
      <xdr:sp>
        <xdr:nvSpPr>
          <xdr:cNvPr id="65" name="Textfeld 64"/>
          <xdr:cNvSpPr txBox="1"/>
        </xdr:nvSpPr>
        <xdr:spPr bwMode="auto">
          <a:xfrm>
            <a:off x="19691727" y="19189905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b)</a:t>
            </a:r>
            <a:endParaRPr/>
          </a:p>
        </xdr:txBody>
      </xdr:sp>
      <xdr:sp>
        <xdr:nvSpPr>
          <xdr:cNvPr id="66" name="Textfeld 65"/>
          <xdr:cNvSpPr txBox="1"/>
        </xdr:nvSpPr>
        <xdr:spPr bwMode="auto">
          <a:xfrm>
            <a:off x="15864405" y="22545835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c)</a:t>
            </a:r>
            <a:endParaRPr/>
          </a:p>
        </xdr:txBody>
      </xdr:sp>
      <xdr:sp>
        <xdr:nvSpPr>
          <xdr:cNvPr id="67" name="Textfeld 66"/>
          <xdr:cNvSpPr txBox="1"/>
        </xdr:nvSpPr>
        <xdr:spPr bwMode="auto">
          <a:xfrm>
            <a:off x="19682116" y="22562368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d)</a:t>
            </a:r>
            <a:endParaRPr/>
          </a:p>
        </xdr:txBody>
      </xdr:sp>
    </xdr:grpSp>
    <xdr:clientData/>
  </xdr:twoCellAnchor>
  <xdr:twoCellAnchor editAs="twoCell">
    <xdr:from>
      <xdr:col>28</xdr:col>
      <xdr:colOff>403382</xdr:colOff>
      <xdr:row>89</xdr:row>
      <xdr:rowOff>92187</xdr:rowOff>
    </xdr:from>
    <xdr:to>
      <xdr:col>38</xdr:col>
      <xdr:colOff>515949</xdr:colOff>
      <xdr:row>125</xdr:row>
      <xdr:rowOff>57548</xdr:rowOff>
    </xdr:to>
    <xdr:grpSp>
      <xdr:nvGrpSpPr>
        <xdr:cNvPr id="0" name=""/>
        <xdr:cNvGrpSpPr/>
      </xdr:nvGrpSpPr>
      <xdr:grpSpPr bwMode="auto">
        <a:xfrm>
          <a:off x="23358633" y="16060569"/>
          <a:ext cx="7732567" cy="6419950"/>
          <a:chOff x="23041842" y="16240126"/>
          <a:chExt cx="7793180" cy="6511634"/>
        </a:xfrm>
      </xdr:grpSpPr>
      <xdr:grpSp>
        <xdr:nvGrpSpPr>
          <xdr:cNvPr id="1" name=""/>
          <xdr:cNvGrpSpPr/>
        </xdr:nvGrpSpPr>
        <xdr:grpSpPr bwMode="auto">
          <a:xfrm>
            <a:off x="23041842" y="16240126"/>
            <a:ext cx="7793180" cy="6511634"/>
            <a:chOff x="23041842" y="16240126"/>
            <a:chExt cx="7793180" cy="6511634"/>
          </a:xfrm>
        </xdr:grpSpPr>
        <xdr:graphicFrame>
          <xdr:nvGraphicFramePr>
            <xdr:cNvPr id="30" name="Diagramm 29"/>
            <xdr:cNvGraphicFramePr>
              <a:graphicFrameLocks xmlns:a="http://schemas.openxmlformats.org/drawingml/2006/main"/>
            </xdr:cNvGraphicFramePr>
          </xdr:nvGraphicFramePr>
          <xdr:xfrm>
            <a:off x="23041842" y="16240126"/>
            <a:ext cx="3844636" cy="325581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0"/>
            </a:graphicData>
          </a:graphic>
        </xdr:graphicFrame>
        <xdr:graphicFrame>
          <xdr:nvGraphicFramePr>
            <xdr:cNvPr id="71" name="Diagramm 70"/>
            <xdr:cNvGraphicFramePr>
              <a:graphicFrameLocks xmlns:a="http://schemas.openxmlformats.org/drawingml/2006/main"/>
            </xdr:cNvGraphicFramePr>
          </xdr:nvGraphicFramePr>
          <xdr:xfrm>
            <a:off x="26990386" y="16240126"/>
            <a:ext cx="3844636" cy="325581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1"/>
            </a:graphicData>
          </a:graphic>
        </xdr:graphicFrame>
        <xdr:graphicFrame>
          <xdr:nvGraphicFramePr>
            <xdr:cNvPr id="74" name="Diagramm 73"/>
            <xdr:cNvGraphicFramePr>
              <a:graphicFrameLocks xmlns:a="http://schemas.openxmlformats.org/drawingml/2006/main"/>
            </xdr:cNvGraphicFramePr>
          </xdr:nvGraphicFramePr>
          <xdr:xfrm>
            <a:off x="23041842" y="19495943"/>
            <a:ext cx="3844636" cy="325581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2"/>
            </a:graphicData>
          </a:graphic>
        </xdr:graphicFrame>
        <xdr:graphicFrame>
          <xdr:nvGraphicFramePr>
            <xdr:cNvPr id="75" name="Diagramm 74"/>
            <xdr:cNvGraphicFramePr>
              <a:graphicFrameLocks xmlns:a="http://schemas.openxmlformats.org/drawingml/2006/main"/>
            </xdr:cNvGraphicFramePr>
          </xdr:nvGraphicFramePr>
          <xdr:xfrm>
            <a:off x="26990386" y="19495943"/>
            <a:ext cx="3844636" cy="325581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3"/>
            </a:graphicData>
          </a:graphic>
        </xdr:graphicFrame>
        <xdr:sp>
          <xdr:nvSpPr>
            <xdr:cNvPr id="76" name="Textfeld 75"/>
            <xdr:cNvSpPr txBox="1"/>
          </xdr:nvSpPr>
          <xdr:spPr bwMode="auto">
            <a:xfrm>
              <a:off x="23440160" y="19300218"/>
              <a:ext cx="917863" cy="18184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>
                <a:defRPr/>
              </a:pPr>
              <a:r>
                <a:rPr lang="de-DE" sz="1100" b="1">
                  <a:latin typeface="Charter"/>
                </a:rPr>
                <a:t>a)</a:t>
              </a:r>
              <a:endParaRPr/>
            </a:p>
          </xdr:txBody>
        </xdr:sp>
        <xdr:sp>
          <xdr:nvSpPr>
            <xdr:cNvPr id="77" name="Textfeld 76"/>
            <xdr:cNvSpPr txBox="1"/>
          </xdr:nvSpPr>
          <xdr:spPr bwMode="auto">
            <a:xfrm>
              <a:off x="27395188" y="19300218"/>
              <a:ext cx="917863" cy="18184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>
                <a:defRPr/>
              </a:pPr>
              <a:r>
                <a:rPr lang="de-DE" sz="1100" b="1">
                  <a:latin typeface="Charter"/>
                </a:rPr>
                <a:t>b)</a:t>
              </a:r>
              <a:endParaRPr/>
            </a:p>
          </xdr:txBody>
        </xdr:sp>
      </xdr:grpSp>
      <xdr:sp>
        <xdr:nvSpPr>
          <xdr:cNvPr id="78" name="Textfeld 77"/>
          <xdr:cNvSpPr txBox="1"/>
        </xdr:nvSpPr>
        <xdr:spPr bwMode="auto">
          <a:xfrm>
            <a:off x="23407700" y="22497893"/>
            <a:ext cx="917863" cy="18184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c)</a:t>
            </a:r>
            <a:endParaRPr/>
          </a:p>
        </xdr:txBody>
      </xdr:sp>
      <xdr:sp>
        <xdr:nvSpPr>
          <xdr:cNvPr id="79" name="Textfeld 78"/>
          <xdr:cNvSpPr txBox="1"/>
        </xdr:nvSpPr>
        <xdr:spPr bwMode="auto">
          <a:xfrm>
            <a:off x="27371387" y="22491833"/>
            <a:ext cx="917863" cy="181840"/>
          </a:xfrm>
          <a:prstGeom prst="rect">
            <a:avLst/>
          </a:prstGeom>
          <a:solidFill>
            <a:schemeClr val="lt1">
              <a:alpha val="3999"/>
            </a:schemeClr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d)</a:t>
            </a:r>
            <a:endParaRPr/>
          </a:p>
        </xdr:txBody>
      </xdr:sp>
    </xdr:grpSp>
    <xdr:clientData/>
  </xdr:twoCellAnchor>
  <xdr:oneCellAnchor>
    <xdr:from>
      <xdr:col>39</xdr:col>
      <xdr:colOff>510460</xdr:colOff>
      <xdr:row>3</xdr:row>
      <xdr:rowOff>164521</xdr:rowOff>
    </xdr:from>
    <xdr:ext cx="10001250" cy="6633946"/>
    <xdr:graphicFrame>
      <xdr:nvGraphicFramePr>
        <xdr:cNvPr id="82" name="Chart 6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 fLocksWithSheet="0"/>
  </xdr:oneCellAnchor>
  <xdr:oneCellAnchor>
    <xdr:from>
      <xdr:col>25</xdr:col>
      <xdr:colOff>119063</xdr:colOff>
      <xdr:row>41</xdr:row>
      <xdr:rowOff>114161</xdr:rowOff>
    </xdr:from>
    <xdr:ext cx="10001250" cy="6633946"/>
    <xdr:graphicFrame>
      <xdr:nvGraphicFramePr>
        <xdr:cNvPr id="83" name="Chart 6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 fLocksWithSheet="0"/>
  </xdr:oneCellAnchor>
  <xdr:oneCellAnchor>
    <xdr:from>
      <xdr:col>39</xdr:col>
      <xdr:colOff>0</xdr:colOff>
      <xdr:row>39</xdr:row>
      <xdr:rowOff>156948</xdr:rowOff>
    </xdr:from>
    <xdr:ext cx="10001250" cy="6633946"/>
    <xdr:graphicFrame>
      <xdr:nvGraphicFramePr>
        <xdr:cNvPr id="84" name="Chart 6" title="Chart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 fLocksWithSheet="0"/>
  </xdr:oneCellAnchor>
  <xdr:twoCellAnchor editAs="twoCell">
    <xdr:from>
      <xdr:col>9</xdr:col>
      <xdr:colOff>1</xdr:colOff>
      <xdr:row>88</xdr:row>
      <xdr:rowOff>172851</xdr:rowOff>
    </xdr:from>
    <xdr:to>
      <xdr:col>18</xdr:col>
      <xdr:colOff>769980</xdr:colOff>
      <xdr:row>136</xdr:row>
      <xdr:rowOff>125988</xdr:rowOff>
    </xdr:to>
    <xdr:grpSp>
      <xdr:nvGrpSpPr>
        <xdr:cNvPr id="0" name=""/>
        <xdr:cNvGrpSpPr/>
      </xdr:nvGrpSpPr>
      <xdr:grpSpPr bwMode="auto">
        <a:xfrm>
          <a:off x="7681634" y="15961939"/>
          <a:ext cx="7723228" cy="8559255"/>
          <a:chOff x="15335251" y="16317569"/>
          <a:chExt cx="7481454" cy="7567915"/>
        </a:xfrm>
      </xdr:grpSpPr>
      <xdr:grpSp>
        <xdr:nvGrpSpPr>
          <xdr:cNvPr id="1" name=""/>
          <xdr:cNvGrpSpPr/>
        </xdr:nvGrpSpPr>
        <xdr:grpSpPr bwMode="auto">
          <a:xfrm>
            <a:off x="15335251" y="16317569"/>
            <a:ext cx="7481454" cy="7567915"/>
            <a:chOff x="15335251" y="16317569"/>
            <a:chExt cx="7481454" cy="7567915"/>
          </a:xfrm>
        </xdr:grpSpPr>
        <xdr:graphicFrame>
          <xdr:nvGraphicFramePr>
            <xdr:cNvPr id="31" name="Chart 3" title="Chart"/>
            <xdr:cNvGraphicFramePr>
              <a:graphicFrameLocks xmlns:a="http://schemas.openxmlformats.org/drawingml/2006/main"/>
            </xdr:cNvGraphicFramePr>
          </xdr:nvGraphicFramePr>
          <xdr:xfrm>
            <a:off x="15361228" y="16430008"/>
            <a:ext cx="7427643" cy="745547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7"/>
            </a:graphicData>
          </a:graphic>
        </xdr:graphicFrame>
        <xdr:graphicFrame>
          <xdr:nvGraphicFramePr>
            <xdr:cNvPr id="32" name="Chart 2" title="Chart"/>
            <xdr:cNvGraphicFramePr>
              <a:graphicFrameLocks xmlns:a="http://schemas.openxmlformats.org/drawingml/2006/main"/>
            </xdr:cNvGraphicFramePr>
          </xdr:nvGraphicFramePr>
          <xdr:xfrm>
            <a:off x="15374980" y="16317569"/>
            <a:ext cx="3692338" cy="34647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8"/>
            </a:graphicData>
          </a:graphic>
        </xdr:graphicFrame>
        <xdr:graphicFrame>
          <xdr:nvGraphicFramePr>
            <xdr:cNvPr id="33" name="Chart 3" title="Chart"/>
            <xdr:cNvGraphicFramePr>
              <a:graphicFrameLocks xmlns:a="http://schemas.openxmlformats.org/drawingml/2006/main"/>
            </xdr:cNvGraphicFramePr>
          </xdr:nvGraphicFramePr>
          <xdr:xfrm>
            <a:off x="15335251" y="19673456"/>
            <a:ext cx="3686733" cy="346471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9"/>
            </a:graphicData>
          </a:graphic>
        </xdr:graphicFrame>
        <xdr:graphicFrame>
          <xdr:nvGraphicFramePr>
            <xdr:cNvPr id="34" name="Chart 3" title="Chart"/>
            <xdr:cNvGraphicFramePr>
              <a:graphicFrameLocks xmlns:a="http://schemas.openxmlformats.org/drawingml/2006/main"/>
            </xdr:cNvGraphicFramePr>
          </xdr:nvGraphicFramePr>
          <xdr:xfrm>
            <a:off x="19129972" y="19707010"/>
            <a:ext cx="3686733" cy="346471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0"/>
            </a:graphicData>
          </a:graphic>
        </xdr:graphicFrame>
        <xdr:graphicFrame>
          <xdr:nvGraphicFramePr>
            <xdr:cNvPr id="35" name="Chart 2" title="Chart"/>
            <xdr:cNvGraphicFramePr>
              <a:graphicFrameLocks xmlns:a="http://schemas.openxmlformats.org/drawingml/2006/main"/>
            </xdr:cNvGraphicFramePr>
          </xdr:nvGraphicFramePr>
          <xdr:xfrm>
            <a:off x="19114473" y="16374342"/>
            <a:ext cx="3692337" cy="34647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1"/>
            </a:graphicData>
          </a:graphic>
        </xdr:graphicFrame>
      </xdr:grpSp>
      <xdr:sp>
        <xdr:nvSpPr>
          <xdr:cNvPr id="8" name="Textfeld 7"/>
          <xdr:cNvSpPr txBox="1"/>
        </xdr:nvSpPr>
        <xdr:spPr bwMode="auto">
          <a:xfrm>
            <a:off x="15872476" y="19244734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a)</a:t>
            </a:r>
            <a:endParaRPr/>
          </a:p>
        </xdr:txBody>
      </xdr:sp>
      <xdr:sp>
        <xdr:nvSpPr>
          <xdr:cNvPr id="22" name="Textfeld 21"/>
          <xdr:cNvSpPr txBox="1"/>
        </xdr:nvSpPr>
        <xdr:spPr bwMode="auto">
          <a:xfrm>
            <a:off x="19691730" y="19280212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b)</a:t>
            </a:r>
            <a:endParaRPr/>
          </a:p>
        </xdr:txBody>
      </xdr:sp>
      <xdr:sp>
        <xdr:nvSpPr>
          <xdr:cNvPr id="24" name="Textfeld 23"/>
          <xdr:cNvSpPr txBox="1"/>
        </xdr:nvSpPr>
        <xdr:spPr bwMode="auto">
          <a:xfrm>
            <a:off x="15886105" y="22585489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c)</a:t>
            </a:r>
            <a:endParaRPr/>
          </a:p>
        </xdr:txBody>
      </xdr:sp>
      <xdr:sp>
        <xdr:nvSpPr>
          <xdr:cNvPr id="29" name="Textfeld 28"/>
          <xdr:cNvSpPr txBox="1"/>
        </xdr:nvSpPr>
        <xdr:spPr bwMode="auto">
          <a:xfrm>
            <a:off x="19682116" y="22592092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d)</a:t>
            </a:r>
            <a:endParaRPr/>
          </a:p>
        </xdr:txBody>
      </xdr:sp>
    </xdr:grpSp>
    <xdr:clientData/>
  </xdr:twoCellAnchor>
  <xdr:twoCellAnchor editAs="twoCell">
    <xdr:from>
      <xdr:col>0</xdr:col>
      <xdr:colOff>0</xdr:colOff>
      <xdr:row>88</xdr:row>
      <xdr:rowOff>172851</xdr:rowOff>
    </xdr:from>
    <xdr:to>
      <xdr:col>9</xdr:col>
      <xdr:colOff>27682</xdr:colOff>
      <xdr:row>136</xdr:row>
      <xdr:rowOff>103908</xdr:rowOff>
    </xdr:to>
    <xdr:grpSp>
      <xdr:nvGrpSpPr>
        <xdr:cNvPr id="0" name=""/>
        <xdr:cNvGrpSpPr/>
      </xdr:nvGrpSpPr>
      <xdr:grpSpPr bwMode="auto">
        <a:xfrm>
          <a:off x="0" y="15961939"/>
          <a:ext cx="7709315" cy="8537175"/>
          <a:chOff x="15335251" y="16317569"/>
          <a:chExt cx="7481454" cy="7567916"/>
        </a:xfrm>
      </xdr:grpSpPr>
      <xdr:grpSp>
        <xdr:nvGrpSpPr>
          <xdr:cNvPr id="1" name=""/>
          <xdr:cNvGrpSpPr/>
        </xdr:nvGrpSpPr>
        <xdr:grpSpPr bwMode="auto">
          <a:xfrm>
            <a:off x="15335251" y="16317569"/>
            <a:ext cx="7481454" cy="7567916"/>
            <a:chOff x="15335251" y="16317569"/>
            <a:chExt cx="7481454" cy="7567916"/>
          </a:xfrm>
        </xdr:grpSpPr>
        <xdr:graphicFrame>
          <xdr:nvGraphicFramePr>
            <xdr:cNvPr id="45" name="Chart 3" title="Chart"/>
            <xdr:cNvGraphicFramePr>
              <a:graphicFrameLocks xmlns:a="http://schemas.openxmlformats.org/drawingml/2006/main"/>
            </xdr:cNvGraphicFramePr>
          </xdr:nvGraphicFramePr>
          <xdr:xfrm>
            <a:off x="15361228" y="16430009"/>
            <a:ext cx="7427643" cy="745547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2"/>
            </a:graphicData>
          </a:graphic>
        </xdr:graphicFrame>
        <xdr:graphicFrame>
          <xdr:nvGraphicFramePr>
            <xdr:cNvPr id="47" name="Chart 2" title="Chart"/>
            <xdr:cNvGraphicFramePr>
              <a:graphicFrameLocks xmlns:a="http://schemas.openxmlformats.org/drawingml/2006/main"/>
            </xdr:cNvGraphicFramePr>
          </xdr:nvGraphicFramePr>
          <xdr:xfrm>
            <a:off x="15374980" y="16317569"/>
            <a:ext cx="3692338" cy="34647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3"/>
            </a:graphicData>
          </a:graphic>
        </xdr:graphicFrame>
        <xdr:graphicFrame>
          <xdr:nvGraphicFramePr>
            <xdr:cNvPr id="48" name="Chart 3" title="Chart"/>
            <xdr:cNvGraphicFramePr>
              <a:graphicFrameLocks xmlns:a="http://schemas.openxmlformats.org/drawingml/2006/main"/>
            </xdr:cNvGraphicFramePr>
          </xdr:nvGraphicFramePr>
          <xdr:xfrm>
            <a:off x="15335251" y="19673456"/>
            <a:ext cx="3686733" cy="346471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4"/>
            </a:graphicData>
          </a:graphic>
        </xdr:graphicFrame>
        <xdr:graphicFrame>
          <xdr:nvGraphicFramePr>
            <xdr:cNvPr id="49" name="Chart 3" title="Chart"/>
            <xdr:cNvGraphicFramePr>
              <a:graphicFrameLocks xmlns:a="http://schemas.openxmlformats.org/drawingml/2006/main"/>
            </xdr:cNvGraphicFramePr>
          </xdr:nvGraphicFramePr>
          <xdr:xfrm>
            <a:off x="19129972" y="19707010"/>
            <a:ext cx="3686733" cy="346471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5"/>
            </a:graphicData>
          </a:graphic>
        </xdr:graphicFrame>
        <xdr:graphicFrame>
          <xdr:nvGraphicFramePr>
            <xdr:cNvPr id="51" name="Chart 2" title="Chart"/>
            <xdr:cNvGraphicFramePr>
              <a:graphicFrameLocks xmlns:a="http://schemas.openxmlformats.org/drawingml/2006/main"/>
            </xdr:cNvGraphicFramePr>
          </xdr:nvGraphicFramePr>
          <xdr:xfrm>
            <a:off x="19114473" y="16374342"/>
            <a:ext cx="3692337" cy="34647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6"/>
            </a:graphicData>
          </a:graphic>
        </xdr:graphicFrame>
      </xdr:grpSp>
      <xdr:sp>
        <xdr:nvSpPr>
          <xdr:cNvPr id="38" name="Textfeld 37"/>
          <xdr:cNvSpPr txBox="1"/>
        </xdr:nvSpPr>
        <xdr:spPr bwMode="auto">
          <a:xfrm>
            <a:off x="15883342" y="19244837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a)</a:t>
            </a:r>
            <a:endParaRPr/>
          </a:p>
        </xdr:txBody>
      </xdr:sp>
      <xdr:sp>
        <xdr:nvSpPr>
          <xdr:cNvPr id="39" name="Textfeld 38"/>
          <xdr:cNvSpPr txBox="1"/>
        </xdr:nvSpPr>
        <xdr:spPr bwMode="auto">
          <a:xfrm>
            <a:off x="19669996" y="19260498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b)</a:t>
            </a:r>
            <a:endParaRPr/>
          </a:p>
        </xdr:txBody>
      </xdr:sp>
      <xdr:sp>
        <xdr:nvSpPr>
          <xdr:cNvPr id="40" name="Textfeld 39"/>
          <xdr:cNvSpPr txBox="1"/>
        </xdr:nvSpPr>
        <xdr:spPr bwMode="auto">
          <a:xfrm>
            <a:off x="15886144" y="22605457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c)</a:t>
            </a:r>
            <a:endParaRPr/>
          </a:p>
        </xdr:txBody>
      </xdr:sp>
      <xdr:sp>
        <xdr:nvSpPr>
          <xdr:cNvPr id="44" name="Textfeld 43"/>
          <xdr:cNvSpPr txBox="1"/>
        </xdr:nvSpPr>
        <xdr:spPr bwMode="auto">
          <a:xfrm>
            <a:off x="19682116" y="22612037"/>
            <a:ext cx="917863" cy="18184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rgbClr val="000000"/>
          </a:lnRef>
          <a:fillRef idx="0">
            <a:srgbClr val="000000"/>
          </a:fillRef>
          <a:effectRef idx="0">
            <a:srgbClr val="00000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>
              <a:defRPr/>
            </a:pPr>
            <a:r>
              <a:rPr lang="de-DE" sz="1100" b="1">
                <a:latin typeface="Charter"/>
              </a:rPr>
              <a:t>d)</a:t>
            </a:r>
            <a:endParaRPr/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361460</xdr:colOff>
      <xdr:row>6</xdr:row>
      <xdr:rowOff>179351</xdr:rowOff>
    </xdr:from>
    <xdr:to>
      <xdr:col>12</xdr:col>
      <xdr:colOff>361460</xdr:colOff>
      <xdr:row>22</xdr:row>
      <xdr:rowOff>12541</xdr:rowOff>
    </xdr:to>
    <xdr:graphicFrame>
      <xdr:nvGraphicFramePr>
        <xdr:cNvPr id="10" name="Diagramm 9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6</xdr:col>
      <xdr:colOff>371231</xdr:colOff>
      <xdr:row>24</xdr:row>
      <xdr:rowOff>1</xdr:rowOff>
    </xdr:from>
    <xdr:to>
      <xdr:col>12</xdr:col>
      <xdr:colOff>371231</xdr:colOff>
      <xdr:row>39</xdr:row>
      <xdr:rowOff>28576</xdr:rowOff>
    </xdr:to>
    <xdr:graphicFrame>
      <xdr:nvGraphicFramePr>
        <xdr:cNvPr id="2" name="Diagramm 1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ritz s" id="{C83961F2-8451-4AF5-5A12-56CD724736AC}" userId="197607b9147ef9d7" providerId="Windows Live"/>
  <person displayName="Fritz Stierhof" id="{4DA110BA-91F6-F5A2-CB18-3DAA3E7EC4BF}" userId="S::fritz.stierhof@stud.tu-darmstadt.de::adce546d-521a-45ca-9e23-ccc4377ef476" providerId="AD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2" dT="2023-10-11T12:56:40.19Z" personId="{C83961F2-8451-4AF5-5A12-56CD724736AC}" id="{937D2CFD-AAED-48D3-BC04-4DEE0B44B67D}" done="0">
    <text xml:space="preserve">Methanation in best case more efficient therefore less heat energy produced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71" dT="2023-09-13T12:22:16.92Z" personId="{4DA110BA-91F6-F5A2-CB18-3DAA3E7EC4BF}" id="{5B09BAD0-43EF-4428-9804-AC6104B9195C}" done="0">
    <text xml:space="preserve">860 Dollar für 170000 Tonnen?
</text>
  </threadedComment>
  <threadedComment ref="W71" dT="2023-09-13T12:22:16.92Z" personId="{4DA110BA-91F6-F5A2-CB18-3DAA3E7EC4BF}" id="{F60563B4-D8F8-46A1-8477-71F9DCDBD2A4}" done="0">
    <text xml:space="preserve">860 Dollar für 170000 Tonnen?
</text>
  </threadedComment>
  <threadedComment ref="I71" dT="2023-09-13T12:22:16.92Z" personId="{4DA110BA-91F6-F5A2-CB18-3DAA3E7EC4BF}" id="{909879EE-283F-4F17-9BE6-EBD65D755BA3}" done="0">
    <text xml:space="preserve">860 Dollar für 170000 Tonnen?
</text>
  </threadedComment>
</ThreadedComments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_rels/sheet3.xml.rels><?xml version="1.0" encoding="UTF-8" standalone="yes"?><Relationships xmlns="http://schemas.openxmlformats.org/package/2006/relationships"><Relationship  Id="rId7" Type="http://schemas.openxmlformats.org/officeDocument/2006/relationships/hyperlink" Target="https://iea.blob.core.windows.net/assets/a76b2cc9-f7e3-459e-945e-91b8ff54d0fc/210318_Mitsubishi_E_Kakaras.pdf" TargetMode="External"/><Relationship  Id="rId6" Type="http://schemas.openxmlformats.org/officeDocument/2006/relationships/hyperlink" Target="https://power.mhi.com/products/gasturbines/lineup/m501j" TargetMode="External"/><Relationship  Id="rId5" Type="http://schemas.openxmlformats.org/officeDocument/2006/relationships/hyperlink" Target="https://bericht.basf.com/2021/de/aktionaere/basf-am-kapitalmarkt/methanpyrolyse.html" TargetMode="External"/><Relationship  Id="rId4" Type="http://schemas.openxmlformats.org/officeDocument/2006/relationships/hyperlink" Target="https://onlinelibrary.wiley.com/doi/full/10.1002/cite.202000029" TargetMode="External"/><Relationship  Id="rId3" Type="http://schemas.openxmlformats.org/officeDocument/2006/relationships/hyperlink" Target="https://www.dw.com/en/germany-considers-electricity-price-cap-to-support-industry/a-65531798" TargetMode="External"/><Relationship  Id="rId2" Type="http://schemas.openxmlformats.org/officeDocument/2006/relationships/hyperlink" Target="https://www.transparencymarketresearch.com/turquoise-hydrogen-market.html" TargetMode="External"/><Relationship  Id="rId1" Type="http://schemas.openxmlformats.org/officeDocument/2006/relationships/hyperlink" Target="https://www.biancahoegel.de/material/werkstoffe/basen/ammoniak.html" TargetMode="Externa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10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2.vml"/><Relationship  Id="rId2" Type="http://schemas.openxmlformats.org/officeDocument/2006/relationships/comments" Target="../comments2.xml"/><Relationship  Id="rId1" Type="http://schemas.microsoft.com/office/2017/10/relationships/threadedComment" Target="../threadedComments/threadedComment2.xml"/></Relationships>
</file>

<file path=xl/worksheets/_rels/sheet1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7.xml"/></Relationships>
</file>

<file path=xl/worksheets/_rels/sheet1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topLeftCell="B1" activePane="topRight" state="frozen"/>
      <selection activeCell="H20" activeCellId="0" sqref="H20"/>
    </sheetView>
  </sheetViews>
  <sheetFormatPr baseColWidth="10" defaultRowHeight="14.25"/>
  <cols>
    <col customWidth="1" min="1" max="1" width="42.6640625"/>
    <col customWidth="1" min="2" max="2" width="12.46484375"/>
    <col customWidth="1" min="3" max="3" style="1" width="12.33203125"/>
    <col min="4" max="4" style="2" width="10.6640625"/>
    <col min="5" max="5" style="3" width="10.6640625"/>
  </cols>
  <sheetData>
    <row r="1">
      <c r="B1" t="s">
        <v>0</v>
      </c>
      <c r="C1" s="1" t="s">
        <v>1</v>
      </c>
      <c r="D1" s="2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</row>
    <row r="2">
      <c r="A2" t="s">
        <v>25</v>
      </c>
      <c r="B2" t="s">
        <v>26</v>
      </c>
      <c r="C2" s="1">
        <f t="shared" ref="C2:C7" si="0">MIN(F2:P2)</f>
        <v>100000</v>
      </c>
      <c r="D2" s="2">
        <f t="shared" ref="D2:D21" si="1">AVERAGE(F2:P2)</f>
        <v>100000</v>
      </c>
      <c r="E2" s="3">
        <f t="shared" ref="E2:E7" si="2">MAX(F2:P2)</f>
        <v>100000</v>
      </c>
      <c r="G2">
        <v>100000</v>
      </c>
      <c r="V2" t="s">
        <v>27</v>
      </c>
    </row>
    <row r="3">
      <c r="A3" t="s">
        <v>28</v>
      </c>
      <c r="B3" t="s">
        <v>29</v>
      </c>
      <c r="C3" s="1">
        <f t="shared" si="0"/>
        <v>300000</v>
      </c>
      <c r="D3" s="2">
        <f t="shared" si="1"/>
        <v>400000</v>
      </c>
      <c r="E3" s="3">
        <f t="shared" si="2"/>
        <v>500000</v>
      </c>
      <c r="G3">
        <v>300000</v>
      </c>
      <c r="H3">
        <v>500000</v>
      </c>
      <c r="V3" t="s">
        <v>30</v>
      </c>
      <c r="W3" t="s">
        <v>30</v>
      </c>
    </row>
    <row r="4">
      <c r="A4" t="s">
        <v>31</v>
      </c>
      <c r="B4" t="s">
        <v>32</v>
      </c>
      <c r="C4" s="1">
        <f t="shared" si="0"/>
        <v>0.01</v>
      </c>
      <c r="D4" s="2">
        <f t="shared" si="1"/>
        <v>0.040000000000000001</v>
      </c>
      <c r="E4" s="3">
        <f t="shared" si="2"/>
        <v>0.070000000000000007</v>
      </c>
      <c r="F4">
        <v>0.01</v>
      </c>
      <c r="G4">
        <v>0.070000000000000007</v>
      </c>
    </row>
    <row r="5">
      <c r="A5" t="s">
        <v>33</v>
      </c>
      <c r="B5" t="s">
        <v>32</v>
      </c>
      <c r="C5" s="1">
        <f t="shared" si="0"/>
        <v>0.070000000000000007</v>
      </c>
      <c r="D5" s="2">
        <f t="shared" si="1"/>
        <v>0.086453900709219877</v>
      </c>
      <c r="E5" s="3">
        <f t="shared" si="2"/>
        <v>0.10425531914893618</v>
      </c>
      <c r="G5">
        <v>0.070000000000000007</v>
      </c>
      <c r="H5">
        <f>0.098/F6</f>
        <v>0.10425531914893618</v>
      </c>
      <c r="I5">
        <f>0.08/F6</f>
        <v>0.085106382978723416</v>
      </c>
      <c r="V5" t="s">
        <v>34</v>
      </c>
      <c r="W5" t="s">
        <v>35</v>
      </c>
      <c r="X5" t="s">
        <v>36</v>
      </c>
    </row>
    <row r="6">
      <c r="A6" t="s">
        <v>37</v>
      </c>
      <c r="B6" t="s">
        <v>38</v>
      </c>
      <c r="C6" s="1">
        <f t="shared" si="0"/>
        <v>0.93999999999999995</v>
      </c>
      <c r="D6" s="2">
        <f t="shared" si="1"/>
        <v>0.93999999999999995</v>
      </c>
      <c r="E6" s="3">
        <f t="shared" si="2"/>
        <v>0.93999999999999995</v>
      </c>
      <c r="F6">
        <v>0.93999999999999995</v>
      </c>
    </row>
    <row r="7">
      <c r="A7" t="s">
        <v>39</v>
      </c>
      <c r="B7" t="s">
        <v>40</v>
      </c>
      <c r="C7" s="1">
        <f t="shared" si="0"/>
        <v>1.05</v>
      </c>
      <c r="D7" s="2">
        <f t="shared" si="1"/>
        <v>1.8250000000000002</v>
      </c>
      <c r="E7" s="3">
        <f t="shared" si="2"/>
        <v>2.6000000000000001</v>
      </c>
      <c r="G7">
        <v>2.6000000000000001</v>
      </c>
      <c r="H7">
        <v>1.05</v>
      </c>
      <c r="V7" t="s">
        <v>41</v>
      </c>
      <c r="W7" t="s">
        <v>42</v>
      </c>
    </row>
    <row r="8">
      <c r="A8" t="s">
        <v>43</v>
      </c>
      <c r="B8" t="s">
        <v>44</v>
      </c>
      <c r="C8" s="1">
        <f t="shared" ref="C8:C9" si="3">MAX(F8:P8)</f>
        <v>5500</v>
      </c>
      <c r="D8" s="2">
        <f t="shared" si="1"/>
        <v>4200</v>
      </c>
      <c r="E8" s="3">
        <f t="shared" ref="E8:E9" si="4">MIN(F8:P8)</f>
        <v>2900</v>
      </c>
      <c r="G8">
        <v>5500</v>
      </c>
      <c r="K8">
        <v>2900</v>
      </c>
      <c r="V8" t="s">
        <v>45</v>
      </c>
      <c r="W8" t="s">
        <v>45</v>
      </c>
      <c r="X8" t="s">
        <v>45</v>
      </c>
    </row>
    <row r="9">
      <c r="A9" t="s">
        <v>46</v>
      </c>
      <c r="B9" t="s">
        <v>44</v>
      </c>
      <c r="C9" s="1">
        <f t="shared" si="3"/>
        <v>8760</v>
      </c>
      <c r="D9" s="2">
        <f t="shared" si="1"/>
        <v>8760</v>
      </c>
      <c r="E9" s="3">
        <f t="shared" si="4"/>
        <v>8760</v>
      </c>
      <c r="G9">
        <f>8760</f>
        <v>8760</v>
      </c>
    </row>
    <row r="10">
      <c r="A10" t="s">
        <v>47</v>
      </c>
      <c r="B10" t="s">
        <v>44</v>
      </c>
      <c r="C10" s="1">
        <f t="shared" ref="C10:C12" si="5">MAX(F10:P10)</f>
        <v>5000</v>
      </c>
      <c r="D10" s="2">
        <f>AVERAGE(F10:P10)</f>
        <v>3500</v>
      </c>
      <c r="E10" s="3">
        <f t="shared" ref="E10:E11" si="6">MIN(F10:P10)</f>
        <v>2000</v>
      </c>
      <c r="F10">
        <v>5000</v>
      </c>
      <c r="G10" t="s">
        <v>48</v>
      </c>
      <c r="I10">
        <v>2000</v>
      </c>
      <c r="J10" t="s">
        <v>49</v>
      </c>
      <c r="K10" t="s">
        <v>50</v>
      </c>
      <c r="W10" t="s">
        <v>51</v>
      </c>
      <c r="X10" t="s">
        <v>51</v>
      </c>
      <c r="Y10" t="s">
        <v>52</v>
      </c>
      <c r="Z10" t="s">
        <v>52</v>
      </c>
    </row>
    <row r="11">
      <c r="A11" t="s">
        <v>53</v>
      </c>
      <c r="B11" t="s">
        <v>54</v>
      </c>
      <c r="C11" s="1">
        <f t="shared" si="5"/>
        <v>100000</v>
      </c>
      <c r="D11" s="2">
        <f t="shared" si="1"/>
        <v>78000</v>
      </c>
      <c r="E11" s="3">
        <f t="shared" si="6"/>
        <v>50000</v>
      </c>
      <c r="G11">
        <v>95000</v>
      </c>
      <c r="H11">
        <v>100000</v>
      </c>
      <c r="I11">
        <v>50000</v>
      </c>
      <c r="J11">
        <v>80000</v>
      </c>
      <c r="K11">
        <v>65000</v>
      </c>
      <c r="V11" t="s">
        <v>55</v>
      </c>
      <c r="W11" t="s">
        <v>45</v>
      </c>
      <c r="X11" t="s">
        <v>56</v>
      </c>
      <c r="Y11" t="s">
        <v>56</v>
      </c>
      <c r="Z11" t="s">
        <v>56</v>
      </c>
    </row>
    <row r="12" s="4" customFormat="1">
      <c r="A12" s="4" t="s">
        <v>57</v>
      </c>
      <c r="B12" s="4" t="s">
        <v>58</v>
      </c>
      <c r="C12" s="5">
        <f t="shared" si="5"/>
        <v>1</v>
      </c>
      <c r="D12" s="2">
        <f t="shared" si="1"/>
        <v>0.97499999999999998</v>
      </c>
      <c r="E12" s="3">
        <f t="shared" ref="E12:E18" si="7">MAX(F12:P12)</f>
        <v>1</v>
      </c>
      <c r="F12" s="4">
        <v>1</v>
      </c>
      <c r="G12" s="4">
        <v>0.94999999999999996</v>
      </c>
      <c r="V12" s="4" t="s">
        <v>55</v>
      </c>
    </row>
    <row r="13">
      <c r="A13" t="s">
        <v>59</v>
      </c>
      <c r="B13" t="s">
        <v>60</v>
      </c>
      <c r="C13" s="1">
        <f>MIN(F13:P13)</f>
        <v>0.080000000000000002</v>
      </c>
      <c r="D13" s="2">
        <f t="shared" si="1"/>
        <v>0.080000000000000002</v>
      </c>
      <c r="E13" s="3">
        <f t="shared" si="7"/>
        <v>0.080000000000000002</v>
      </c>
      <c r="G13">
        <v>0.080000000000000002</v>
      </c>
      <c r="V13" t="s">
        <v>55</v>
      </c>
    </row>
    <row r="15">
      <c r="A15" t="s">
        <v>61</v>
      </c>
      <c r="B15" t="s">
        <v>62</v>
      </c>
      <c r="C15" s="1">
        <f t="shared" ref="C15:C18" si="8">MIN(F15:P15)</f>
        <v>30</v>
      </c>
      <c r="D15" s="2">
        <f t="shared" si="1"/>
        <v>30</v>
      </c>
      <c r="E15" s="3">
        <f t="shared" si="7"/>
        <v>30</v>
      </c>
      <c r="F15">
        <v>30</v>
      </c>
    </row>
    <row r="16">
      <c r="A16" t="s">
        <v>63</v>
      </c>
      <c r="B16" t="s">
        <v>62</v>
      </c>
      <c r="C16" s="1">
        <f t="shared" si="8"/>
        <v>60</v>
      </c>
      <c r="D16" s="2">
        <f>AVERAGE(F16:P16)</f>
        <v>60</v>
      </c>
      <c r="E16" s="3">
        <f t="shared" si="7"/>
        <v>60</v>
      </c>
      <c r="F16">
        <v>60</v>
      </c>
      <c r="G16" t="s">
        <v>64</v>
      </c>
      <c r="V16" t="s">
        <v>65</v>
      </c>
      <c r="W16" t="s">
        <v>65</v>
      </c>
    </row>
    <row r="17">
      <c r="A17" t="s">
        <v>66</v>
      </c>
      <c r="B17" t="s">
        <v>67</v>
      </c>
      <c r="C17" s="1">
        <f t="shared" si="8"/>
        <v>25</v>
      </c>
      <c r="D17" s="2">
        <f t="shared" si="1"/>
        <v>25</v>
      </c>
      <c r="E17" s="3">
        <f t="shared" si="7"/>
        <v>25</v>
      </c>
      <c r="G17">
        <v>25</v>
      </c>
      <c r="V17" t="s">
        <v>68</v>
      </c>
    </row>
    <row r="18">
      <c r="A18" t="s">
        <v>69</v>
      </c>
      <c r="B18" t="s">
        <v>67</v>
      </c>
      <c r="C18" s="1">
        <f t="shared" si="8"/>
        <v>25</v>
      </c>
      <c r="D18" s="2">
        <f t="shared" si="1"/>
        <v>25</v>
      </c>
      <c r="E18" s="3">
        <f t="shared" si="7"/>
        <v>25</v>
      </c>
      <c r="F18">
        <v>25</v>
      </c>
    </row>
    <row r="19">
      <c r="A19" t="s">
        <v>70</v>
      </c>
      <c r="B19" t="s">
        <v>71</v>
      </c>
      <c r="C19" s="1">
        <f>MAX(F19:P19)</f>
        <v>350</v>
      </c>
      <c r="D19" s="2">
        <f t="shared" si="1"/>
        <v>350</v>
      </c>
      <c r="E19" s="3">
        <f>MIN(F19:P19)</f>
        <v>350</v>
      </c>
      <c r="G19">
        <v>350</v>
      </c>
      <c r="V19" t="s">
        <v>55</v>
      </c>
    </row>
    <row r="20">
      <c r="A20" t="s">
        <v>72</v>
      </c>
      <c r="B20" t="s">
        <v>60</v>
      </c>
      <c r="C20" s="1">
        <f>MIN(F20:P20)</f>
        <v>0.10000000000000001</v>
      </c>
      <c r="D20" s="2">
        <f t="shared" si="1"/>
        <v>0.10000000000000001</v>
      </c>
      <c r="E20" s="3">
        <f>MAX(F20:P20)</f>
        <v>0.10000000000000001</v>
      </c>
      <c r="G20">
        <v>0.10000000000000001</v>
      </c>
      <c r="V20" t="s">
        <v>73</v>
      </c>
    </row>
    <row r="21">
      <c r="A21" t="s">
        <v>74</v>
      </c>
      <c r="B21" t="s">
        <v>60</v>
      </c>
      <c r="C21" s="1">
        <f>MAX(F21:P21)</f>
        <v>97</v>
      </c>
      <c r="D21" s="2">
        <f t="shared" si="1"/>
        <v>93.75</v>
      </c>
      <c r="E21" s="3">
        <f>MIN(F21:P21)</f>
        <v>90</v>
      </c>
      <c r="G21">
        <v>97</v>
      </c>
      <c r="H21">
        <v>93</v>
      </c>
      <c r="I21">
        <v>95</v>
      </c>
      <c r="J21">
        <v>90</v>
      </c>
      <c r="V21" t="s">
        <v>73</v>
      </c>
      <c r="W21" t="s">
        <v>73</v>
      </c>
      <c r="X21" t="s">
        <v>73</v>
      </c>
      <c r="Y21" t="s">
        <v>73</v>
      </c>
    </row>
    <row r="22">
      <c r="A22" t="s">
        <v>75</v>
      </c>
      <c r="G22" t="s">
        <v>76</v>
      </c>
      <c r="V22" t="s">
        <v>77</v>
      </c>
    </row>
    <row r="23">
      <c r="A23" t="s">
        <v>78</v>
      </c>
      <c r="B23" t="s">
        <v>79</v>
      </c>
      <c r="G23">
        <v>160000</v>
      </c>
    </row>
    <row r="25">
      <c r="A25" s="6" t="s">
        <v>80</v>
      </c>
      <c r="C25" s="1">
        <f>MAX(G25:R25)</f>
        <v>0.26595744680851063</v>
      </c>
      <c r="D25" s="2">
        <f>AVERAGE(F25:P25)</f>
        <v>0.14893617021276595</v>
      </c>
      <c r="E25" s="3">
        <f>MIN(F25:S25)</f>
        <v>0.031914893617021274</v>
      </c>
      <c r="G25">
        <f>0.25/C6</f>
        <v>0.26595744680851063</v>
      </c>
      <c r="H25">
        <f>0.03/C6</f>
        <v>0.031914893617021274</v>
      </c>
    </row>
    <row r="27">
      <c r="A27" t="s">
        <v>81</v>
      </c>
      <c r="B27" t="s">
        <v>82</v>
      </c>
      <c r="C27" s="1">
        <f t="shared" ref="C27:C29" si="9">MIN(F27:P27)</f>
        <v>1.05</v>
      </c>
      <c r="D27" s="2">
        <f t="shared" ref="D27:D57" si="10">AVERAGE(F27:P27)</f>
        <v>1.1625000000000001</v>
      </c>
      <c r="E27" s="3">
        <f t="shared" ref="E27:E29" si="11">MAX(F27:P27)</f>
        <v>1.25</v>
      </c>
      <c r="G27">
        <v>1.1499999999999999</v>
      </c>
      <c r="H27">
        <v>1.25</v>
      </c>
      <c r="I27">
        <v>1.05</v>
      </c>
      <c r="J27">
        <v>1.2</v>
      </c>
      <c r="V27" t="s">
        <v>83</v>
      </c>
      <c r="W27" t="s">
        <v>83</v>
      </c>
      <c r="X27" t="s">
        <v>84</v>
      </c>
      <c r="Y27" t="s">
        <v>84</v>
      </c>
    </row>
    <row r="28">
      <c r="A28" t="s">
        <v>85</v>
      </c>
      <c r="B28" t="s">
        <v>82</v>
      </c>
      <c r="C28" s="1">
        <f t="shared" si="9"/>
        <v>1.05</v>
      </c>
      <c r="D28" s="2">
        <f t="shared" si="10"/>
        <v>1.1625000000000001</v>
      </c>
      <c r="E28" s="3">
        <f t="shared" si="11"/>
        <v>1.25</v>
      </c>
      <c r="G28">
        <v>1.1499999999999999</v>
      </c>
      <c r="H28">
        <v>1.25</v>
      </c>
      <c r="I28">
        <v>1.05</v>
      </c>
      <c r="J28">
        <v>1.2</v>
      </c>
      <c r="V28" t="s">
        <v>86</v>
      </c>
      <c r="W28" t="s">
        <v>87</v>
      </c>
      <c r="X28" t="s">
        <v>88</v>
      </c>
      <c r="Y28" t="s">
        <v>88</v>
      </c>
    </row>
    <row r="29">
      <c r="A29" t="s">
        <v>89</v>
      </c>
      <c r="B29" t="s">
        <v>82</v>
      </c>
      <c r="C29" s="1">
        <f t="shared" si="9"/>
        <v>0.10000000000000001</v>
      </c>
      <c r="D29" s="2">
        <f t="shared" si="10"/>
        <v>0.125</v>
      </c>
      <c r="E29" s="3">
        <f t="shared" si="11"/>
        <v>0.14999999999999999</v>
      </c>
      <c r="G29">
        <v>0.10000000000000001</v>
      </c>
      <c r="H29">
        <v>0.14999999999999999</v>
      </c>
      <c r="V29" t="s">
        <v>55</v>
      </c>
    </row>
    <row r="30">
      <c r="A30" t="s">
        <v>90</v>
      </c>
      <c r="B30" t="s">
        <v>82</v>
      </c>
      <c r="C30" s="1">
        <f>MAX(F30:P30)</f>
        <v>0.64000000000000001</v>
      </c>
      <c r="D30" s="2">
        <f t="shared" si="10"/>
        <v>0.60675000000000001</v>
      </c>
      <c r="E30" s="3">
        <f>MIN(F30:P30)</f>
        <v>0.55000000000000004</v>
      </c>
      <c r="G30">
        <v>0.64000000000000001</v>
      </c>
      <c r="H30">
        <v>0.59999999999999998</v>
      </c>
      <c r="I30">
        <v>0.55000000000000004</v>
      </c>
      <c r="J30">
        <v>0.63700000000000001</v>
      </c>
      <c r="K30" t="s">
        <v>91</v>
      </c>
      <c r="L30" t="s">
        <v>91</v>
      </c>
      <c r="V30" t="s">
        <v>52</v>
      </c>
      <c r="W30" t="s">
        <v>83</v>
      </c>
      <c r="X30" t="s">
        <v>92</v>
      </c>
      <c r="Y30" t="s">
        <v>92</v>
      </c>
      <c r="Z30" t="s">
        <v>93</v>
      </c>
      <c r="AA30" t="s">
        <v>94</v>
      </c>
    </row>
    <row r="31">
      <c r="A31" t="s">
        <v>95</v>
      </c>
      <c r="B31" t="s">
        <v>82</v>
      </c>
      <c r="C31" s="1">
        <f>C30-0.02</f>
        <v>0.62</v>
      </c>
      <c r="D31" s="2">
        <f>D30-0.02</f>
        <v>0.58674999999999999</v>
      </c>
      <c r="E31" s="3">
        <f>E30-0.02</f>
        <v>0.53000000000000003</v>
      </c>
    </row>
    <row r="32">
      <c r="A32" t="s">
        <v>96</v>
      </c>
      <c r="B32" t="s">
        <v>82</v>
      </c>
      <c r="C32" s="1">
        <f>MAX(F32:P32)</f>
        <v>0.5</v>
      </c>
      <c r="D32" s="2">
        <f t="shared" si="10"/>
        <v>0.47499999999999998</v>
      </c>
      <c r="E32" s="3">
        <f>MIN(F32:P32)</f>
        <v>0.45000000000000001</v>
      </c>
      <c r="G32">
        <v>0.5</v>
      </c>
      <c r="H32">
        <v>0.45000000000000001</v>
      </c>
      <c r="V32" t="s">
        <v>55</v>
      </c>
      <c r="W32" t="s">
        <v>55</v>
      </c>
    </row>
    <row r="33">
      <c r="A33" t="s">
        <v>97</v>
      </c>
      <c r="B33" t="s">
        <v>82</v>
      </c>
      <c r="D33" s="2">
        <f t="shared" si="10"/>
        <v>0.36199999999999999</v>
      </c>
      <c r="G33">
        <v>0.36199999999999999</v>
      </c>
    </row>
    <row r="35">
      <c r="A35" s="6" t="s">
        <v>98</v>
      </c>
    </row>
    <row r="36">
      <c r="A36" t="s">
        <v>99</v>
      </c>
      <c r="B36" t="s">
        <v>100</v>
      </c>
      <c r="C36" s="1">
        <f t="shared" ref="C36:C37" si="12">MIN(G36:T36)</f>
        <v>21.276595744680851</v>
      </c>
      <c r="D36" s="2">
        <f t="shared" si="10"/>
        <v>21.276595744680851</v>
      </c>
      <c r="E36" s="3">
        <f t="shared" ref="E36:E57" si="13">MAX(F36:P36)</f>
        <v>21.276595744680851</v>
      </c>
      <c r="G36">
        <f>20/assumptions!F6</f>
        <v>21.276595744680851</v>
      </c>
      <c r="H36" t="s">
        <v>101</v>
      </c>
      <c r="I36" t="s">
        <v>102</v>
      </c>
      <c r="V36" t="s">
        <v>103</v>
      </c>
    </row>
    <row r="37">
      <c r="A37" t="s">
        <v>99</v>
      </c>
      <c r="B37" t="s">
        <v>32</v>
      </c>
      <c r="C37" s="1">
        <f t="shared" si="12"/>
        <v>0.0031914893617021279</v>
      </c>
      <c r="D37" s="2">
        <f t="shared" si="10"/>
        <v>0.0031914893617021279</v>
      </c>
      <c r="E37" s="3">
        <f t="shared" si="13"/>
        <v>0.0031914893617021279</v>
      </c>
      <c r="G37">
        <f>0.003/assumptions!F6</f>
        <v>0.0031914893617021279</v>
      </c>
      <c r="V37" t="s">
        <v>103</v>
      </c>
    </row>
    <row r="38">
      <c r="A38" t="s">
        <v>104</v>
      </c>
      <c r="B38" t="s">
        <v>105</v>
      </c>
      <c r="C38" s="1">
        <f t="shared" ref="C38:C51" si="14">MIN(F38:P38)</f>
        <v>4</v>
      </c>
      <c r="D38" s="2">
        <f t="shared" si="10"/>
        <v>4</v>
      </c>
      <c r="E38" s="3">
        <f t="shared" si="13"/>
        <v>4</v>
      </c>
      <c r="G38">
        <v>4</v>
      </c>
      <c r="V38" t="s">
        <v>55</v>
      </c>
    </row>
    <row r="39">
      <c r="A39" t="s">
        <v>106</v>
      </c>
      <c r="B39" t="s">
        <v>105</v>
      </c>
      <c r="C39" s="1">
        <f t="shared" si="14"/>
        <v>2</v>
      </c>
      <c r="D39" s="2">
        <f t="shared" si="10"/>
        <v>3.3333333333333335</v>
      </c>
      <c r="E39" s="3">
        <f t="shared" si="13"/>
        <v>5</v>
      </c>
      <c r="G39">
        <v>2</v>
      </c>
      <c r="I39">
        <v>3</v>
      </c>
      <c r="J39">
        <v>5</v>
      </c>
      <c r="V39" t="s">
        <v>107</v>
      </c>
      <c r="W39" t="s">
        <v>107</v>
      </c>
      <c r="X39" t="s">
        <v>108</v>
      </c>
      <c r="Y39" t="s">
        <v>109</v>
      </c>
    </row>
    <row r="40">
      <c r="A40" t="s">
        <v>110</v>
      </c>
      <c r="B40" t="s">
        <v>105</v>
      </c>
      <c r="C40" s="1">
        <f t="shared" si="14"/>
        <v>2</v>
      </c>
      <c r="D40" s="2">
        <f t="shared" si="10"/>
        <v>2.5</v>
      </c>
      <c r="E40" s="3">
        <f t="shared" si="13"/>
        <v>3</v>
      </c>
      <c r="G40">
        <v>2.5</v>
      </c>
      <c r="H40">
        <v>3</v>
      </c>
      <c r="I40">
        <v>2</v>
      </c>
      <c r="V40" t="s">
        <v>73</v>
      </c>
      <c r="W40" t="s">
        <v>108</v>
      </c>
      <c r="X40" t="s">
        <v>107</v>
      </c>
    </row>
    <row r="41">
      <c r="A41" t="s">
        <v>111</v>
      </c>
      <c r="B41" t="s">
        <v>105</v>
      </c>
      <c r="C41" s="1">
        <f t="shared" si="14"/>
        <v>2</v>
      </c>
      <c r="D41" s="2">
        <f t="shared" si="10"/>
        <v>2.8333333333333335</v>
      </c>
      <c r="E41" s="3">
        <f t="shared" si="13"/>
        <v>4</v>
      </c>
      <c r="G41">
        <v>2.5</v>
      </c>
      <c r="H41">
        <v>4</v>
      </c>
      <c r="I41">
        <v>2</v>
      </c>
      <c r="V41" t="s">
        <v>107</v>
      </c>
      <c r="W41" t="s">
        <v>107</v>
      </c>
      <c r="X41" t="s">
        <v>108</v>
      </c>
    </row>
    <row r="42">
      <c r="A42" t="s">
        <v>112</v>
      </c>
      <c r="B42" t="s">
        <v>105</v>
      </c>
      <c r="C42" s="1">
        <f t="shared" si="14"/>
        <v>2.5</v>
      </c>
      <c r="D42" s="2">
        <f t="shared" si="10"/>
        <v>3.8999999999999999</v>
      </c>
      <c r="E42" s="3">
        <f t="shared" si="13"/>
        <v>5</v>
      </c>
      <c r="G42">
        <v>4</v>
      </c>
      <c r="H42">
        <v>2.5</v>
      </c>
      <c r="I42">
        <v>4</v>
      </c>
      <c r="J42">
        <v>4</v>
      </c>
      <c r="K42">
        <v>5</v>
      </c>
      <c r="V42" t="s">
        <v>45</v>
      </c>
      <c r="W42" t="s">
        <v>107</v>
      </c>
      <c r="X42" t="s">
        <v>73</v>
      </c>
      <c r="Y42" t="s">
        <v>73</v>
      </c>
      <c r="Z42" t="s">
        <v>108</v>
      </c>
    </row>
    <row r="43">
      <c r="A43" t="s">
        <v>113</v>
      </c>
      <c r="B43" t="s">
        <v>105</v>
      </c>
      <c r="C43" s="1">
        <f t="shared" si="14"/>
        <v>2</v>
      </c>
      <c r="D43" s="2">
        <f t="shared" si="10"/>
        <v>2.6666666666666665</v>
      </c>
      <c r="E43" s="3">
        <f t="shared" si="13"/>
        <v>4</v>
      </c>
      <c r="G43">
        <v>2</v>
      </c>
      <c r="H43">
        <v>2</v>
      </c>
      <c r="I43">
        <v>4</v>
      </c>
      <c r="V43" t="s">
        <v>114</v>
      </c>
      <c r="W43" t="s">
        <v>115</v>
      </c>
      <c r="X43" t="s">
        <v>116</v>
      </c>
    </row>
    <row r="44">
      <c r="A44" t="s">
        <v>117</v>
      </c>
      <c r="B44" t="s">
        <v>105</v>
      </c>
      <c r="C44" s="1">
        <f t="shared" si="14"/>
        <v>2.5</v>
      </c>
      <c r="D44" s="2">
        <f t="shared" si="10"/>
        <v>3.125</v>
      </c>
      <c r="E44" s="3">
        <f t="shared" si="13"/>
        <v>4</v>
      </c>
      <c r="G44">
        <v>2.5</v>
      </c>
      <c r="H44">
        <v>3</v>
      </c>
      <c r="I44">
        <v>3</v>
      </c>
      <c r="J44">
        <v>4</v>
      </c>
      <c r="V44" t="s">
        <v>107</v>
      </c>
      <c r="W44" t="s">
        <v>107</v>
      </c>
      <c r="X44" t="s">
        <v>73</v>
      </c>
      <c r="Y44" t="s">
        <v>73</v>
      </c>
    </row>
    <row r="45">
      <c r="A45" t="s">
        <v>118</v>
      </c>
      <c r="B45" t="s">
        <v>105</v>
      </c>
      <c r="C45" s="1">
        <f t="shared" si="14"/>
        <v>2.5</v>
      </c>
      <c r="D45" s="2">
        <f t="shared" si="10"/>
        <v>3.125</v>
      </c>
      <c r="E45" s="3">
        <f t="shared" si="13"/>
        <v>4</v>
      </c>
      <c r="G45">
        <v>3</v>
      </c>
      <c r="H45">
        <v>4</v>
      </c>
      <c r="I45">
        <v>2.5</v>
      </c>
      <c r="J45">
        <v>3</v>
      </c>
      <c r="V45" t="s">
        <v>73</v>
      </c>
      <c r="W45" t="s">
        <v>73</v>
      </c>
      <c r="X45" t="s">
        <v>107</v>
      </c>
      <c r="Y45" t="s">
        <v>107</v>
      </c>
    </row>
    <row r="46">
      <c r="A46" t="s">
        <v>119</v>
      </c>
      <c r="B46" t="s">
        <v>105</v>
      </c>
      <c r="C46" s="1">
        <f t="shared" si="14"/>
        <v>4</v>
      </c>
      <c r="D46" s="2">
        <f t="shared" si="10"/>
        <v>4.1500000000000004</v>
      </c>
      <c r="E46" s="3">
        <f t="shared" si="13"/>
        <v>4.2999999999999998</v>
      </c>
      <c r="G46">
        <v>4</v>
      </c>
      <c r="H46">
        <v>4.2999999999999998</v>
      </c>
      <c r="V46" t="s">
        <v>120</v>
      </c>
      <c r="W46" t="s">
        <v>108</v>
      </c>
    </row>
    <row r="47">
      <c r="A47" t="s">
        <v>121</v>
      </c>
      <c r="B47" t="s">
        <v>105</v>
      </c>
      <c r="C47" s="1">
        <f t="shared" si="14"/>
        <v>0.5</v>
      </c>
      <c r="D47" s="2">
        <f t="shared" si="10"/>
        <v>2.04</v>
      </c>
      <c r="E47" s="3">
        <f t="shared" si="13"/>
        <v>4</v>
      </c>
      <c r="G47">
        <v>4</v>
      </c>
      <c r="H47">
        <v>3</v>
      </c>
      <c r="I47">
        <v>0.69999999999999996</v>
      </c>
      <c r="J47">
        <v>0.5</v>
      </c>
      <c r="K47">
        <v>2</v>
      </c>
      <c r="V47" t="s">
        <v>45</v>
      </c>
      <c r="W47" t="s">
        <v>107</v>
      </c>
      <c r="X47" t="s">
        <v>107</v>
      </c>
      <c r="Y47" t="s">
        <v>107</v>
      </c>
      <c r="Z47" t="s">
        <v>107</v>
      </c>
    </row>
    <row r="48">
      <c r="A48" t="s">
        <v>122</v>
      </c>
      <c r="B48" t="s">
        <v>105</v>
      </c>
      <c r="C48" s="1">
        <f t="shared" si="14"/>
        <v>2.5</v>
      </c>
      <c r="D48" s="2">
        <f t="shared" si="10"/>
        <v>3.375</v>
      </c>
      <c r="E48" s="3">
        <f t="shared" si="13"/>
        <v>4</v>
      </c>
      <c r="G48">
        <v>2.5</v>
      </c>
      <c r="H48">
        <v>4</v>
      </c>
      <c r="I48">
        <v>3</v>
      </c>
      <c r="J48">
        <v>4</v>
      </c>
      <c r="V48" t="s">
        <v>107</v>
      </c>
      <c r="W48" t="s">
        <v>107</v>
      </c>
      <c r="X48" t="s">
        <v>73</v>
      </c>
      <c r="Y48" t="s">
        <v>73</v>
      </c>
    </row>
    <row r="49">
      <c r="A49" t="s">
        <v>123</v>
      </c>
      <c r="B49" t="s">
        <v>105</v>
      </c>
      <c r="C49" s="1">
        <f t="shared" si="14"/>
        <v>2.5</v>
      </c>
      <c r="D49" s="2">
        <f t="shared" si="10"/>
        <v>3.875</v>
      </c>
      <c r="E49" s="3">
        <f t="shared" si="13"/>
        <v>6</v>
      </c>
      <c r="G49">
        <v>2.5</v>
      </c>
      <c r="H49">
        <v>4</v>
      </c>
      <c r="I49">
        <v>3</v>
      </c>
      <c r="J49">
        <v>6</v>
      </c>
      <c r="V49" t="s">
        <v>107</v>
      </c>
      <c r="W49" t="s">
        <v>107</v>
      </c>
      <c r="X49" t="s">
        <v>73</v>
      </c>
      <c r="Y49" t="s">
        <v>73</v>
      </c>
    </row>
    <row r="50">
      <c r="A50" t="s">
        <v>124</v>
      </c>
      <c r="B50" t="s">
        <v>105</v>
      </c>
      <c r="C50" s="1">
        <f t="shared" si="14"/>
        <v>2</v>
      </c>
      <c r="D50" s="2">
        <f t="shared" si="10"/>
        <v>3.46</v>
      </c>
      <c r="E50" s="3">
        <f t="shared" si="13"/>
        <v>5</v>
      </c>
      <c r="G50">
        <v>4</v>
      </c>
      <c r="H50">
        <v>3</v>
      </c>
      <c r="I50">
        <v>3.2999999999999998</v>
      </c>
      <c r="J50">
        <v>2</v>
      </c>
      <c r="K50">
        <v>5</v>
      </c>
      <c r="V50" t="s">
        <v>107</v>
      </c>
      <c r="W50" t="s">
        <v>107</v>
      </c>
      <c r="X50" t="s">
        <v>107</v>
      </c>
      <c r="Y50" t="s">
        <v>108</v>
      </c>
      <c r="Z50" t="s">
        <v>109</v>
      </c>
    </row>
    <row r="51">
      <c r="A51" t="s">
        <v>125</v>
      </c>
      <c r="B51" t="s">
        <v>105</v>
      </c>
      <c r="C51" s="1">
        <f t="shared" si="14"/>
        <v>1.5</v>
      </c>
      <c r="D51" s="2">
        <f t="shared" si="10"/>
        <v>3.5</v>
      </c>
      <c r="E51" s="3">
        <f t="shared" si="13"/>
        <v>4</v>
      </c>
      <c r="G51">
        <v>4</v>
      </c>
      <c r="H51">
        <v>4</v>
      </c>
      <c r="I51">
        <v>4</v>
      </c>
      <c r="J51">
        <v>1.5</v>
      </c>
      <c r="K51">
        <v>4</v>
      </c>
      <c r="V51" t="s">
        <v>107</v>
      </c>
      <c r="W51" t="s">
        <v>126</v>
      </c>
      <c r="X51" t="s">
        <v>108</v>
      </c>
      <c r="Y51" t="s">
        <v>127</v>
      </c>
      <c r="Z51" t="s">
        <v>127</v>
      </c>
    </row>
    <row r="52">
      <c r="A52" t="s">
        <v>128</v>
      </c>
      <c r="B52" t="s">
        <v>105</v>
      </c>
      <c r="C52" s="1">
        <f t="shared" ref="C52:C56" si="15">MIN(G52:T52)</f>
        <v>2</v>
      </c>
      <c r="D52" s="2">
        <f t="shared" si="10"/>
        <v>3</v>
      </c>
      <c r="E52" s="3">
        <f t="shared" si="13"/>
        <v>4</v>
      </c>
      <c r="G52">
        <v>4</v>
      </c>
      <c r="H52">
        <v>2</v>
      </c>
      <c r="V52" t="s">
        <v>116</v>
      </c>
      <c r="W52" t="s">
        <v>108</v>
      </c>
    </row>
    <row r="53">
      <c r="A53" t="s">
        <v>129</v>
      </c>
      <c r="B53" t="s">
        <v>105</v>
      </c>
      <c r="C53" s="1">
        <f t="shared" si="15"/>
        <v>1.8999999999999999</v>
      </c>
      <c r="D53" s="2">
        <f t="shared" si="10"/>
        <v>2.7000000000000002</v>
      </c>
      <c r="E53" s="3">
        <f t="shared" si="13"/>
        <v>5</v>
      </c>
      <c r="G53">
        <v>1.8999999999999999</v>
      </c>
      <c r="H53">
        <v>2.1000000000000001</v>
      </c>
      <c r="I53">
        <v>2.5</v>
      </c>
      <c r="J53">
        <v>2</v>
      </c>
      <c r="K53">
        <v>5</v>
      </c>
      <c r="V53" t="s">
        <v>107</v>
      </c>
      <c r="W53" t="s">
        <v>107</v>
      </c>
      <c r="X53" t="s">
        <v>107</v>
      </c>
      <c r="Y53" t="s">
        <v>108</v>
      </c>
    </row>
    <row r="54">
      <c r="A54" t="s">
        <v>130</v>
      </c>
      <c r="B54" t="s">
        <v>105</v>
      </c>
      <c r="C54" s="1">
        <f t="shared" si="15"/>
        <v>4</v>
      </c>
      <c r="D54" s="2">
        <f t="shared" si="10"/>
        <v>4</v>
      </c>
      <c r="E54" s="3">
        <f t="shared" si="13"/>
        <v>4</v>
      </c>
      <c r="G54" s="4">
        <v>4</v>
      </c>
    </row>
    <row r="55">
      <c r="A55" t="s">
        <v>131</v>
      </c>
      <c r="B55" t="s">
        <v>105</v>
      </c>
      <c r="C55" s="1">
        <f t="shared" si="15"/>
        <v>1</v>
      </c>
      <c r="D55" s="2">
        <f t="shared" si="10"/>
        <v>1</v>
      </c>
      <c r="E55" s="3">
        <f t="shared" si="13"/>
        <v>1</v>
      </c>
      <c r="G55">
        <v>1</v>
      </c>
      <c r="V55" t="s">
        <v>55</v>
      </c>
    </row>
    <row r="56">
      <c r="A56" t="s">
        <v>132</v>
      </c>
      <c r="B56" t="s">
        <v>105</v>
      </c>
      <c r="C56" s="1">
        <f t="shared" si="15"/>
        <v>4</v>
      </c>
      <c r="D56" s="2">
        <f t="shared" si="10"/>
        <v>4</v>
      </c>
      <c r="E56" s="3">
        <f t="shared" si="13"/>
        <v>4</v>
      </c>
      <c r="G56">
        <v>4</v>
      </c>
      <c r="V56" t="s">
        <v>55</v>
      </c>
    </row>
    <row r="57">
      <c r="A57" t="s">
        <v>133</v>
      </c>
      <c r="B57" t="s">
        <v>134</v>
      </c>
      <c r="C57" s="1">
        <f>MIN(F57:T57)</f>
        <v>45</v>
      </c>
      <c r="D57" s="2">
        <f t="shared" si="10"/>
        <v>57.909999999999997</v>
      </c>
      <c r="E57" s="3">
        <f t="shared" si="13"/>
        <v>70.819999999999993</v>
      </c>
      <c r="G57">
        <v>70.819999999999993</v>
      </c>
      <c r="H57">
        <v>45</v>
      </c>
      <c r="V57" t="s">
        <v>135</v>
      </c>
      <c r="W57" t="s">
        <v>136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V78" activeCellId="0" sqref="V78"/>
    </sheetView>
  </sheetViews>
  <sheetFormatPr baseColWidth="10" defaultRowHeight="14.25"/>
  <cols>
    <col customWidth="1" min="1" max="1" width="42.33203125"/>
    <col customWidth="1" min="2" max="2" width="17.33203125"/>
    <col min="3" max="3" style="1" width="10.6640625"/>
    <col min="4" max="4" style="2" width="10.6640625"/>
    <col min="5" max="5" style="3" width="10.6640625"/>
    <col customWidth="1" min="25" max="25" width="12.6640625"/>
  </cols>
  <sheetData>
    <row r="1">
      <c r="B1" t="s">
        <v>0</v>
      </c>
      <c r="C1" s="1" t="s">
        <v>1</v>
      </c>
      <c r="D1" s="2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</row>
    <row r="2">
      <c r="A2" s="6" t="s">
        <v>147</v>
      </c>
    </row>
    <row r="3">
      <c r="A3" t="s">
        <v>148</v>
      </c>
      <c r="B3" t="s">
        <v>149</v>
      </c>
      <c r="C3" s="1">
        <f>F3</f>
        <v>33.329999999999998</v>
      </c>
      <c r="D3" s="2">
        <f t="shared" ref="D3:D16" si="16">AVERAGE(F3:P3)</f>
        <v>33.329999999999998</v>
      </c>
      <c r="E3" s="3">
        <f>F3</f>
        <v>33.329999999999998</v>
      </c>
      <c r="F3">
        <v>33.329999999999998</v>
      </c>
    </row>
    <row r="4">
      <c r="A4" t="s">
        <v>150</v>
      </c>
    </row>
    <row r="5">
      <c r="A5" t="s">
        <v>151</v>
      </c>
      <c r="B5" t="s">
        <v>152</v>
      </c>
      <c r="C5" s="1">
        <f>MIN(F5:S5)</f>
        <v>501.06382978723406</v>
      </c>
      <c r="D5" s="2">
        <f t="shared" si="16"/>
        <v>823.41607565011816</v>
      </c>
      <c r="E5" s="3">
        <f>MAX(F5:P5)</f>
        <v>1500</v>
      </c>
      <c r="G5">
        <v>650</v>
      </c>
      <c r="H5">
        <v>1500</v>
      </c>
      <c r="J5">
        <v>700</v>
      </c>
      <c r="K5">
        <v>1400</v>
      </c>
      <c r="L5">
        <f>653/assumptions!F6</f>
        <v>694.68085106382978</v>
      </c>
      <c r="M5">
        <f>471/assumptions!F6</f>
        <v>501.06382978723406</v>
      </c>
      <c r="N5">
        <v>770</v>
      </c>
      <c r="O5">
        <v>655</v>
      </c>
      <c r="P5">
        <v>540</v>
      </c>
      <c r="V5" t="s">
        <v>153</v>
      </c>
      <c r="W5" t="s">
        <v>153</v>
      </c>
      <c r="Y5" t="s">
        <v>154</v>
      </c>
      <c r="Z5" t="s">
        <v>154</v>
      </c>
      <c r="AA5" t="s">
        <v>83</v>
      </c>
      <c r="AB5" t="s">
        <v>83</v>
      </c>
      <c r="AC5" t="s">
        <v>155</v>
      </c>
      <c r="AD5" t="s">
        <v>155</v>
      </c>
      <c r="AE5" t="s">
        <v>155</v>
      </c>
      <c r="AF5" t="s">
        <v>155</v>
      </c>
      <c r="AG5" t="s">
        <v>155</v>
      </c>
      <c r="AH5" t="s">
        <v>156</v>
      </c>
    </row>
    <row r="6">
      <c r="A6" t="s">
        <v>157</v>
      </c>
      <c r="B6" t="s">
        <v>82</v>
      </c>
      <c r="C6" s="1">
        <f>MAX(F6:P6)</f>
        <v>0.755</v>
      </c>
      <c r="D6" s="2">
        <f t="shared" si="16"/>
        <v>0.70277777777777772</v>
      </c>
      <c r="E6" s="7">
        <f>MIN(F6:S6)</f>
        <v>0.64000000000000001</v>
      </c>
      <c r="G6">
        <v>0.64000000000000001</v>
      </c>
      <c r="H6">
        <v>0.68999999999999995</v>
      </c>
      <c r="I6">
        <v>0.73999999999999999</v>
      </c>
      <c r="K6">
        <v>0.68000000000000005</v>
      </c>
      <c r="L6">
        <v>0.755</v>
      </c>
      <c r="M6">
        <v>0.73999999999999999</v>
      </c>
      <c r="N6">
        <v>0.71999999999999997</v>
      </c>
      <c r="O6">
        <v>0.68999999999999995</v>
      </c>
      <c r="P6">
        <v>0.67000000000000004</v>
      </c>
      <c r="Q6">
        <v>0.64000000000000001</v>
      </c>
      <c r="R6">
        <f>F3/51</f>
        <v>0.6535294117647058</v>
      </c>
      <c r="S6">
        <v>0.69999999999999996</v>
      </c>
      <c r="V6" t="s">
        <v>158</v>
      </c>
      <c r="W6" t="s">
        <v>159</v>
      </c>
      <c r="X6" t="s">
        <v>160</v>
      </c>
      <c r="Z6" t="s">
        <v>56</v>
      </c>
      <c r="AA6" t="s">
        <v>161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163</v>
      </c>
      <c r="AH6" t="s">
        <v>108</v>
      </c>
    </row>
    <row r="7">
      <c r="A7" t="s">
        <v>164</v>
      </c>
      <c r="B7" t="s">
        <v>165</v>
      </c>
      <c r="C7" s="1">
        <f t="shared" ref="C7:C9" si="17">MIN(F7:P7)</f>
        <v>750</v>
      </c>
      <c r="D7" s="2">
        <f t="shared" si="16"/>
        <v>1663.7386018237082</v>
      </c>
      <c r="E7" s="3">
        <f t="shared" ref="E7:E13" si="18">MAX(F7:P7)</f>
        <v>4000</v>
      </c>
      <c r="G7">
        <v>810</v>
      </c>
      <c r="H7">
        <v>1350</v>
      </c>
      <c r="I7">
        <v>1800</v>
      </c>
      <c r="J7">
        <v>750</v>
      </c>
      <c r="K7">
        <v>1500</v>
      </c>
      <c r="L7">
        <v>4000</v>
      </c>
      <c r="M7">
        <f>1350/assumptions!C6</f>
        <v>1436.1702127659576</v>
      </c>
      <c r="V7" t="s">
        <v>107</v>
      </c>
      <c r="W7" t="s">
        <v>107</v>
      </c>
      <c r="X7" t="s">
        <v>107</v>
      </c>
      <c r="Y7" t="s">
        <v>73</v>
      </c>
      <c r="Z7" t="s">
        <v>73</v>
      </c>
      <c r="AA7" t="s">
        <v>73</v>
      </c>
      <c r="AB7" t="s">
        <v>166</v>
      </c>
    </row>
    <row r="8">
      <c r="A8" t="s">
        <v>167</v>
      </c>
      <c r="B8" t="s">
        <v>168</v>
      </c>
      <c r="C8" s="1">
        <f t="shared" si="17"/>
        <v>6</v>
      </c>
      <c r="D8" s="2">
        <f t="shared" si="16"/>
        <v>10.538</v>
      </c>
      <c r="E8" s="3">
        <f t="shared" si="18"/>
        <v>15</v>
      </c>
      <c r="G8">
        <v>10</v>
      </c>
      <c r="H8">
        <v>12</v>
      </c>
      <c r="I8">
        <v>6</v>
      </c>
      <c r="J8">
        <v>8</v>
      </c>
      <c r="K8">
        <v>8</v>
      </c>
      <c r="L8">
        <v>12.699999999999999</v>
      </c>
      <c r="M8">
        <v>12.5</v>
      </c>
      <c r="N8">
        <v>15</v>
      </c>
      <c r="O8">
        <v>11</v>
      </c>
      <c r="P8">
        <v>10.18</v>
      </c>
      <c r="Q8">
        <f>0.2*C3</f>
        <v>6.6660000000000004</v>
      </c>
      <c r="V8" t="s">
        <v>169</v>
      </c>
      <c r="W8" t="s">
        <v>169</v>
      </c>
      <c r="X8" t="s">
        <v>170</v>
      </c>
      <c r="Y8" t="s">
        <v>170</v>
      </c>
      <c r="Z8" t="s">
        <v>64</v>
      </c>
      <c r="AA8" t="s">
        <v>64</v>
      </c>
      <c r="AB8" t="s">
        <v>64</v>
      </c>
      <c r="AC8" t="s">
        <v>64</v>
      </c>
      <c r="AD8" t="s">
        <v>171</v>
      </c>
      <c r="AE8" t="s">
        <v>108</v>
      </c>
      <c r="AF8" t="s">
        <v>109</v>
      </c>
    </row>
    <row r="9" ht="13.5" customHeight="1">
      <c r="A9" t="s">
        <v>172</v>
      </c>
      <c r="B9" t="s">
        <v>173</v>
      </c>
      <c r="C9" s="8">
        <f t="shared" si="17"/>
        <v>0.10000000000000001</v>
      </c>
      <c r="D9" s="2">
        <f t="shared" si="16"/>
        <v>0.25555555555555554</v>
      </c>
      <c r="E9" s="3">
        <f t="shared" si="18"/>
        <v>0.40000000000000002</v>
      </c>
      <c r="G9">
        <v>0.10000000000000001</v>
      </c>
      <c r="H9">
        <v>0.20000000000000001</v>
      </c>
      <c r="I9">
        <v>0.40000000000000002</v>
      </c>
      <c r="J9">
        <v>0.20000000000000001</v>
      </c>
      <c r="K9">
        <v>0.20000000000000001</v>
      </c>
      <c r="L9">
        <v>0.40000000000000002</v>
      </c>
      <c r="M9">
        <v>0.29999999999999999</v>
      </c>
      <c r="N9">
        <v>0.20000000000000001</v>
      </c>
      <c r="O9">
        <v>0.29999999999999999</v>
      </c>
    </row>
    <row r="10">
      <c r="A10" t="s">
        <v>174</v>
      </c>
      <c r="B10" t="s">
        <v>173</v>
      </c>
      <c r="C10" s="1">
        <f>MIN(F10:S10)</f>
        <v>0.048000000000000001</v>
      </c>
      <c r="D10" s="2">
        <f t="shared" si="16"/>
        <v>0.18705000000000002</v>
      </c>
      <c r="E10" s="3">
        <f t="shared" si="18"/>
        <v>0.40000000000000002</v>
      </c>
      <c r="G10">
        <v>0.10000000000000001</v>
      </c>
      <c r="H10">
        <v>0.20000000000000001</v>
      </c>
      <c r="I10">
        <v>0.40000000000000002</v>
      </c>
      <c r="J10">
        <v>0.0625</v>
      </c>
      <c r="K10">
        <v>0.048000000000000001</v>
      </c>
      <c r="L10">
        <v>0.10000000000000001</v>
      </c>
      <c r="M10">
        <v>0.40000000000000002</v>
      </c>
      <c r="N10">
        <v>0.20000000000000001</v>
      </c>
      <c r="O10">
        <v>0.059999999999999998</v>
      </c>
      <c r="P10">
        <v>0.29999999999999999</v>
      </c>
      <c r="Q10">
        <v>0.10000000000000001</v>
      </c>
      <c r="R10">
        <v>0.10000000000000001</v>
      </c>
      <c r="S10">
        <v>0.059999999999999998</v>
      </c>
    </row>
    <row r="11">
      <c r="A11" t="s">
        <v>175</v>
      </c>
      <c r="B11" t="s">
        <v>176</v>
      </c>
      <c r="C11" s="1">
        <f>MIN(F11:R11)</f>
        <v>25</v>
      </c>
      <c r="D11" s="2">
        <f t="shared" si="16"/>
        <v>60.918192982456127</v>
      </c>
      <c r="E11" s="3">
        <f t="shared" si="18"/>
        <v>131.16666666666666</v>
      </c>
      <c r="G11">
        <v>25</v>
      </c>
      <c r="H11">
        <v>31.499999999999996</v>
      </c>
      <c r="I11">
        <v>56.5</v>
      </c>
      <c r="J11">
        <v>131.16666666666666</v>
      </c>
      <c r="K11">
        <v>90.909999999999997</v>
      </c>
      <c r="L11">
        <v>25.699999999999999</v>
      </c>
      <c r="M11">
        <v>51.578947368421055</v>
      </c>
      <c r="N11">
        <v>73.684210526315795</v>
      </c>
      <c r="O11">
        <v>96.842105263157904</v>
      </c>
      <c r="P11">
        <v>26.300000000000001</v>
      </c>
      <c r="Q11">
        <v>148.80000000000001</v>
      </c>
      <c r="R11">
        <v>25</v>
      </c>
      <c r="S11">
        <f>0.717*C3/assumptions!F6</f>
        <v>25.422989361702125</v>
      </c>
      <c r="T11">
        <f>3.935*C3/assumptions!F6</f>
        <v>139.52505319148938</v>
      </c>
      <c r="V11" t="s">
        <v>107</v>
      </c>
      <c r="W11" t="s">
        <v>107</v>
      </c>
      <c r="X11" t="s">
        <v>107</v>
      </c>
      <c r="Y11" t="s">
        <v>107</v>
      </c>
      <c r="Z11" t="s">
        <v>177</v>
      </c>
      <c r="AA11" t="s">
        <v>178</v>
      </c>
      <c r="AB11" t="s">
        <v>179</v>
      </c>
      <c r="AC11" t="s">
        <v>179</v>
      </c>
      <c r="AD11" t="s">
        <v>179</v>
      </c>
      <c r="AE11" t="s">
        <v>180</v>
      </c>
      <c r="AF11" t="s">
        <v>115</v>
      </c>
      <c r="AG11" t="s">
        <v>181</v>
      </c>
      <c r="AH11" t="s">
        <v>107</v>
      </c>
      <c r="AI11" t="s">
        <v>107</v>
      </c>
    </row>
    <row r="12">
      <c r="A12" t="s">
        <v>182</v>
      </c>
      <c r="B12" t="s">
        <v>183</v>
      </c>
      <c r="C12" s="1">
        <f t="shared" ref="C12:C13" si="19">MIN(F12:P12)</f>
        <v>1.8</v>
      </c>
      <c r="D12" s="2">
        <f t="shared" si="16"/>
        <v>5.2750000000000004</v>
      </c>
      <c r="E12" s="3">
        <f t="shared" si="18"/>
        <v>7.5999999999999996</v>
      </c>
      <c r="H12">
        <v>6.5</v>
      </c>
      <c r="I12">
        <v>7.5999999999999996</v>
      </c>
      <c r="J12">
        <v>1.8</v>
      </c>
      <c r="K12">
        <v>5.2000000000000002</v>
      </c>
      <c r="L12" s="9"/>
      <c r="W12" t="s">
        <v>184</v>
      </c>
      <c r="X12" t="s">
        <v>184</v>
      </c>
      <c r="Y12" t="s">
        <v>185</v>
      </c>
      <c r="Z12" t="s">
        <v>185</v>
      </c>
    </row>
    <row r="13">
      <c r="A13" t="s">
        <v>186</v>
      </c>
      <c r="B13" t="s">
        <v>149</v>
      </c>
      <c r="C13" s="1">
        <f t="shared" si="19"/>
        <v>0.099989999999999996</v>
      </c>
      <c r="D13" s="2">
        <f t="shared" si="16"/>
        <v>0.52999799999999997</v>
      </c>
      <c r="E13" s="3">
        <f t="shared" si="18"/>
        <v>0.90000000000000002</v>
      </c>
      <c r="G13">
        <v>0.40000000000000002</v>
      </c>
      <c r="H13">
        <v>0.65000000000000002</v>
      </c>
      <c r="I13">
        <v>0.59999999999999998</v>
      </c>
      <c r="J13">
        <v>0.90000000000000002</v>
      </c>
      <c r="K13">
        <f>0.003*C3</f>
        <v>0.099989999999999996</v>
      </c>
      <c r="V13" t="s">
        <v>73</v>
      </c>
      <c r="W13" t="s">
        <v>73</v>
      </c>
      <c r="X13" t="s">
        <v>73</v>
      </c>
      <c r="Y13" t="s">
        <v>73</v>
      </c>
      <c r="Z13" t="s">
        <v>166</v>
      </c>
    </row>
    <row r="14">
      <c r="A14" t="s">
        <v>187</v>
      </c>
      <c r="B14" t="s">
        <v>58</v>
      </c>
      <c r="C14" s="1">
        <f>MAX(F14:P14)</f>
        <v>1</v>
      </c>
      <c r="D14" s="2">
        <f t="shared" si="16"/>
        <v>0.98999999999999999</v>
      </c>
      <c r="E14" s="3">
        <f>MIN(F14:P14)</f>
        <v>0.97999999999999998</v>
      </c>
      <c r="G14" s="1">
        <v>0.97999999999999998</v>
      </c>
      <c r="H14">
        <v>1</v>
      </c>
      <c r="V14" t="s">
        <v>73</v>
      </c>
      <c r="W14" t="s">
        <v>166</v>
      </c>
    </row>
    <row r="15">
      <c r="A15" t="s">
        <v>188</v>
      </c>
      <c r="B15" t="s">
        <v>165</v>
      </c>
      <c r="C15" s="1">
        <f>MIN(F15:P15)</f>
        <v>121.27659574468086</v>
      </c>
      <c r="D15" s="2">
        <f t="shared" si="16"/>
        <v>374.40026595744683</v>
      </c>
      <c r="E15" s="3">
        <f t="shared" ref="E15:E16" si="20">MAX(F15:P15)</f>
        <v>933.29999999999995</v>
      </c>
      <c r="G15">
        <f>114/assumptions!F6</f>
        <v>121.27659574468086</v>
      </c>
      <c r="H15">
        <f>273/assumptions!F6</f>
        <v>290.42553191489361</v>
      </c>
      <c r="I15">
        <f>432/assumptions!F6</f>
        <v>459.57446808510639</v>
      </c>
      <c r="J15">
        <v>150.5</v>
      </c>
      <c r="K15">
        <v>384.10000000000002</v>
      </c>
      <c r="L15">
        <v>365.60000000000002</v>
      </c>
      <c r="M15">
        <v>933.29999999999995</v>
      </c>
      <c r="N15">
        <f>273/assumptions!C6</f>
        <v>290.42553191489361</v>
      </c>
      <c r="V15" t="s">
        <v>107</v>
      </c>
      <c r="W15" t="s">
        <v>107</v>
      </c>
      <c r="X15" t="s">
        <v>107</v>
      </c>
      <c r="Y15" t="s">
        <v>73</v>
      </c>
      <c r="Z15" t="s">
        <v>73</v>
      </c>
      <c r="AA15" t="s">
        <v>73</v>
      </c>
      <c r="AB15" t="s">
        <v>73</v>
      </c>
    </row>
    <row r="16">
      <c r="A16" t="s">
        <v>189</v>
      </c>
      <c r="B16" t="s">
        <v>152</v>
      </c>
      <c r="C16" s="1">
        <f>MIN(G16:T16)</f>
        <v>893.61702127659589</v>
      </c>
      <c r="D16" s="2">
        <f t="shared" si="16"/>
        <v>1157.0328723404257</v>
      </c>
      <c r="E16" s="3">
        <f t="shared" si="20"/>
        <v>1462.7659574468087</v>
      </c>
      <c r="G16">
        <f>assumptions!C27*G73</f>
        <v>893.61702127659589</v>
      </c>
      <c r="H16">
        <f>assumptions!E27*H73</f>
        <v>1462.7659574468087</v>
      </c>
      <c r="I16">
        <f>assumptions!D27*I73</f>
        <v>1152.6063829787236</v>
      </c>
      <c r="J16">
        <f>assumptions!D27*J73</f>
        <v>1162.5</v>
      </c>
      <c r="K16">
        <f>assumptions!D27*K73</f>
        <v>1113.6750000000002</v>
      </c>
      <c r="V16" t="s">
        <v>103</v>
      </c>
      <c r="W16" t="s">
        <v>103</v>
      </c>
      <c r="X16" t="s">
        <v>83</v>
      </c>
      <c r="Y16" t="s">
        <v>190</v>
      </c>
    </row>
    <row r="18">
      <c r="A18" s="6" t="s">
        <v>191</v>
      </c>
    </row>
    <row r="19">
      <c r="A19" t="s">
        <v>192</v>
      </c>
      <c r="B19" t="s">
        <v>193</v>
      </c>
      <c r="C19" s="1">
        <f t="shared" ref="C19:C20" si="21">MAX(F19:AG19)</f>
        <v>880</v>
      </c>
      <c r="D19" s="2">
        <f t="shared" ref="D19:D29" si="22">AVERAGE(F19:P19)</f>
        <v>880</v>
      </c>
      <c r="E19" s="3">
        <f t="shared" ref="E19:E20" si="23">F19</f>
        <v>880</v>
      </c>
      <c r="F19">
        <v>880</v>
      </c>
    </row>
    <row r="20">
      <c r="A20" t="s">
        <v>194</v>
      </c>
      <c r="B20" t="s">
        <v>149</v>
      </c>
      <c r="C20" s="1">
        <f t="shared" si="21"/>
        <v>2.0531280000000001</v>
      </c>
      <c r="D20" s="2">
        <f t="shared" si="22"/>
        <v>2.0531280000000001</v>
      </c>
      <c r="E20" s="3">
        <f t="shared" si="23"/>
        <v>2.0531280000000001</v>
      </c>
      <c r="F20">
        <f>C3*C21</f>
        <v>2.0531280000000001</v>
      </c>
    </row>
    <row r="21">
      <c r="A21" t="s">
        <v>195</v>
      </c>
      <c r="B21" t="s">
        <v>196</v>
      </c>
      <c r="C21" s="1">
        <f>MAX(G21:AG21)</f>
        <v>0.061600000000000002</v>
      </c>
      <c r="D21" s="2">
        <f t="shared" si="22"/>
        <v>0.061600000000000002</v>
      </c>
      <c r="E21" s="3">
        <f>G21</f>
        <v>0.061600000000000002</v>
      </c>
      <c r="G21">
        <v>0.061600000000000002</v>
      </c>
      <c r="V21" t="s">
        <v>116</v>
      </c>
    </row>
    <row r="22">
      <c r="A22" s="10" t="s">
        <v>197</v>
      </c>
      <c r="B22" t="s">
        <v>82</v>
      </c>
      <c r="C22" s="1">
        <f t="shared" ref="C22:C29" si="24">MIN(F22:AG22)</f>
        <v>0.001</v>
      </c>
      <c r="D22" s="2">
        <f t="shared" si="22"/>
        <v>0.0077000000000000002</v>
      </c>
      <c r="E22" s="3">
        <f t="shared" ref="E22:E30" si="25">MAX(F22:S22)</f>
        <v>0.0144</v>
      </c>
      <c r="G22">
        <v>0.001</v>
      </c>
      <c r="H22">
        <v>0.0144</v>
      </c>
      <c r="V22" t="s">
        <v>73</v>
      </c>
    </row>
    <row r="23">
      <c r="A23" t="s">
        <v>198</v>
      </c>
      <c r="B23" t="s">
        <v>199</v>
      </c>
      <c r="C23" s="1">
        <f t="shared" si="24"/>
        <v>0.29999999999999999</v>
      </c>
      <c r="D23" s="2">
        <f t="shared" si="22"/>
        <v>0.58648936170212762</v>
      </c>
      <c r="E23" s="3">
        <f t="shared" si="25"/>
        <v>0.88</v>
      </c>
      <c r="G23">
        <v>0.40000000000000002</v>
      </c>
      <c r="H23">
        <v>0.88</v>
      </c>
      <c r="I23">
        <f>0.72/assumptions!F6</f>
        <v>0.76595744680851063</v>
      </c>
      <c r="J23">
        <v>0.29999999999999999</v>
      </c>
      <c r="V23" t="s">
        <v>45</v>
      </c>
      <c r="W23" t="s">
        <v>73</v>
      </c>
      <c r="X23" t="s">
        <v>107</v>
      </c>
      <c r="Y23" t="s">
        <v>200</v>
      </c>
    </row>
    <row r="24">
      <c r="A24" t="s">
        <v>201</v>
      </c>
      <c r="B24" t="s">
        <v>176</v>
      </c>
      <c r="C24" s="1">
        <f t="shared" si="24"/>
        <v>5.3186170212765953</v>
      </c>
      <c r="D24" s="2">
        <f t="shared" si="22"/>
        <v>9.7696612340425535</v>
      </c>
      <c r="E24" s="3">
        <f t="shared" si="25"/>
        <v>15.814021276595744</v>
      </c>
      <c r="G24">
        <f>0.15*C3/assumptions!F6</f>
        <v>5.3186170212765953</v>
      </c>
      <c r="H24">
        <f>0.239*C3/assumptions!F6</f>
        <v>8.4743297872340424</v>
      </c>
      <c r="I24">
        <f>0.318*C3/assumptions!F6</f>
        <v>11.275468085106382</v>
      </c>
      <c r="J24">
        <f>0.446*C3/assumptions!F6</f>
        <v>15.814021276595744</v>
      </c>
      <c r="K24">
        <f>(239/1000)*C3</f>
        <v>7.9658699999999989</v>
      </c>
      <c r="V24" t="s">
        <v>107</v>
      </c>
      <c r="W24" t="s">
        <v>107</v>
      </c>
      <c r="X24" t="s">
        <v>107</v>
      </c>
      <c r="Y24" t="s">
        <v>107</v>
      </c>
      <c r="Z24" t="s">
        <v>166</v>
      </c>
    </row>
    <row r="25">
      <c r="A25" t="s">
        <v>202</v>
      </c>
      <c r="B25" t="s">
        <v>165</v>
      </c>
      <c r="C25" s="1">
        <f t="shared" si="24"/>
        <v>55.319148936170215</v>
      </c>
      <c r="D25" s="2">
        <f t="shared" si="22"/>
        <v>88.544680851063831</v>
      </c>
      <c r="E25" s="3">
        <f t="shared" si="25"/>
        <v>123.40425531914894</v>
      </c>
      <c r="G25">
        <f>52/assumptions!F6</f>
        <v>55.319148936170215</v>
      </c>
      <c r="H25">
        <f>116/assumptions!F6</f>
        <v>123.40425531914894</v>
      </c>
      <c r="I25">
        <v>60</v>
      </c>
      <c r="J25">
        <v>120</v>
      </c>
      <c r="M25">
        <v>84</v>
      </c>
      <c r="V25" t="s">
        <v>107</v>
      </c>
      <c r="W25" t="s">
        <v>107</v>
      </c>
      <c r="X25" t="s">
        <v>73</v>
      </c>
      <c r="Y25" t="s">
        <v>73</v>
      </c>
      <c r="Z25" t="s">
        <v>73</v>
      </c>
      <c r="AA25" t="s">
        <v>73</v>
      </c>
      <c r="AB25" t="s">
        <v>166</v>
      </c>
    </row>
    <row r="26">
      <c r="A26" t="s">
        <v>203</v>
      </c>
      <c r="B26" t="s">
        <v>149</v>
      </c>
      <c r="C26" s="1">
        <f t="shared" si="24"/>
        <v>0.20000000000000001</v>
      </c>
      <c r="D26" s="2">
        <f t="shared" si="22"/>
        <v>1.7399575</v>
      </c>
      <c r="E26" s="3">
        <f t="shared" si="25"/>
        <v>3.3599999999999999</v>
      </c>
      <c r="G26">
        <v>3.3599999999999999</v>
      </c>
      <c r="H26">
        <f>0.051*C3</f>
        <v>1.6998299999999997</v>
      </c>
      <c r="J26">
        <v>0.20000000000000001</v>
      </c>
      <c r="K26">
        <v>1.7</v>
      </c>
      <c r="V26" t="s">
        <v>204</v>
      </c>
      <c r="W26" t="s">
        <v>166</v>
      </c>
      <c r="Y26" t="s">
        <v>73</v>
      </c>
      <c r="Z26" t="s">
        <v>73</v>
      </c>
      <c r="AA26" t="s">
        <v>73</v>
      </c>
      <c r="AB26" t="s">
        <v>73</v>
      </c>
    </row>
    <row r="27">
      <c r="A27" t="s">
        <v>205</v>
      </c>
      <c r="B27" t="s">
        <v>149</v>
      </c>
      <c r="C27" s="1">
        <f t="shared" si="24"/>
        <v>0</v>
      </c>
      <c r="D27" s="2">
        <f>AVERAGE(F27:O27)</f>
        <v>0</v>
      </c>
      <c r="E27" s="3">
        <f t="shared" si="25"/>
        <v>0</v>
      </c>
      <c r="G27" t="s">
        <v>206</v>
      </c>
      <c r="H27">
        <v>0</v>
      </c>
      <c r="V27" t="s">
        <v>204</v>
      </c>
      <c r="W27" t="s">
        <v>73</v>
      </c>
    </row>
    <row r="28">
      <c r="A28" t="s">
        <v>207</v>
      </c>
      <c r="B28" t="s">
        <v>165</v>
      </c>
      <c r="C28" s="1">
        <f t="shared" si="24"/>
        <v>80</v>
      </c>
      <c r="D28" s="2">
        <f t="shared" si="22"/>
        <v>395.79787234042556</v>
      </c>
      <c r="E28" s="3">
        <f t="shared" si="25"/>
        <v>1000</v>
      </c>
      <c r="G28">
        <f>136/assumptions!F6</f>
        <v>144.68085106382981</v>
      </c>
      <c r="H28">
        <f>337/assumptions!F6</f>
        <v>358.51063829787233</v>
      </c>
      <c r="I28">
        <v>80</v>
      </c>
      <c r="J28">
        <v>1000</v>
      </c>
      <c r="V28" t="s">
        <v>107</v>
      </c>
      <c r="W28" t="s">
        <v>107</v>
      </c>
      <c r="X28" t="s">
        <v>73</v>
      </c>
      <c r="Y28" t="s">
        <v>73</v>
      </c>
      <c r="Z28" t="s">
        <v>73</v>
      </c>
      <c r="AA28" t="s">
        <v>73</v>
      </c>
    </row>
    <row r="29">
      <c r="A29" t="s">
        <v>208</v>
      </c>
      <c r="B29" t="s">
        <v>149</v>
      </c>
      <c r="C29" s="8">
        <f t="shared" si="24"/>
        <v>1.3999999999999999</v>
      </c>
      <c r="D29" s="2">
        <f t="shared" si="22"/>
        <v>1.8</v>
      </c>
      <c r="E29" s="3">
        <f t="shared" si="25"/>
        <v>2</v>
      </c>
      <c r="G29">
        <v>2</v>
      </c>
      <c r="H29">
        <v>2</v>
      </c>
      <c r="I29">
        <v>1.3999999999999999</v>
      </c>
      <c r="V29" t="s">
        <v>73</v>
      </c>
      <c r="W29" t="s">
        <v>73</v>
      </c>
      <c r="X29" t="s">
        <v>204</v>
      </c>
    </row>
    <row r="30">
      <c r="A30" t="s">
        <v>209</v>
      </c>
      <c r="B30" t="s">
        <v>149</v>
      </c>
      <c r="C30" s="8">
        <f>MIN(F30:U30)</f>
        <v>10.998900000000001</v>
      </c>
      <c r="D30" s="2">
        <f>AVERAGE(F30:T30)</f>
        <v>14.540155555555556</v>
      </c>
      <c r="E30" s="3">
        <f t="shared" si="25"/>
        <v>20.399999999999999</v>
      </c>
      <c r="G30">
        <v>13.6</v>
      </c>
      <c r="H30">
        <v>20.399999999999999</v>
      </c>
      <c r="I30">
        <v>17</v>
      </c>
      <c r="J30">
        <v>11.300000000000001</v>
      </c>
      <c r="K30">
        <f>0.33*C3</f>
        <v>10.998900000000001</v>
      </c>
      <c r="L30">
        <f>0.45*C3</f>
        <v>14.9985</v>
      </c>
      <c r="M30">
        <f>0.41*C3</f>
        <v>13.665299999999998</v>
      </c>
      <c r="N30" t="s">
        <v>210</v>
      </c>
      <c r="O30" t="s">
        <v>211</v>
      </c>
      <c r="P30">
        <f>12.1+3.8</f>
        <v>15.899999999999999</v>
      </c>
      <c r="Q30">
        <f>0.39*C3</f>
        <v>12.998699999999999</v>
      </c>
      <c r="V30" t="s">
        <v>73</v>
      </c>
      <c r="W30" t="s">
        <v>73</v>
      </c>
      <c r="X30" t="s">
        <v>73</v>
      </c>
      <c r="Y30" t="s">
        <v>73</v>
      </c>
      <c r="Z30" t="s">
        <v>107</v>
      </c>
      <c r="AA30" t="s">
        <v>107</v>
      </c>
      <c r="AB30" t="s">
        <v>107</v>
      </c>
      <c r="AC30" t="s">
        <v>212</v>
      </c>
      <c r="AD30" t="s">
        <v>213</v>
      </c>
      <c r="AE30" t="s">
        <v>204</v>
      </c>
      <c r="AF30" t="s">
        <v>166</v>
      </c>
    </row>
    <row r="31">
      <c r="A31" t="s">
        <v>187</v>
      </c>
      <c r="B31" t="s">
        <v>82</v>
      </c>
      <c r="C31" s="1">
        <f>MAX(F31:AG31)</f>
        <v>0.98999999999999999</v>
      </c>
      <c r="D31" s="2">
        <f>AVERAGE(F31:P31)</f>
        <v>0.94267999999999996</v>
      </c>
      <c r="E31" s="3">
        <f>MIN(F31:S31)</f>
        <v>0.90000000000000002</v>
      </c>
      <c r="G31">
        <v>0.94999999999999996</v>
      </c>
      <c r="I31">
        <v>0.90000000000000002</v>
      </c>
      <c r="J31">
        <v>0.98999999999999999</v>
      </c>
      <c r="K31">
        <v>0.97340000000000004</v>
      </c>
      <c r="L31">
        <v>0.90000000000000002</v>
      </c>
      <c r="V31" t="s">
        <v>73</v>
      </c>
      <c r="W31" t="s">
        <v>73</v>
      </c>
      <c r="X31" t="s">
        <v>107</v>
      </c>
      <c r="Y31" t="s">
        <v>214</v>
      </c>
      <c r="Z31" t="s">
        <v>204</v>
      </c>
      <c r="AA31" t="s">
        <v>166</v>
      </c>
    </row>
    <row r="33">
      <c r="A33" s="6" t="s">
        <v>215</v>
      </c>
      <c r="F33">
        <f>15.6/3.6</f>
        <v>4.333333333333333</v>
      </c>
    </row>
    <row r="34">
      <c r="A34" t="s">
        <v>216</v>
      </c>
      <c r="B34" t="s">
        <v>217</v>
      </c>
      <c r="C34" s="1">
        <f>F34</f>
        <v>5.2000000000000002</v>
      </c>
      <c r="D34" s="2">
        <f>AVERAGE(F34:T34)</f>
        <v>5.2000000000000002</v>
      </c>
      <c r="E34" s="3">
        <f t="shared" ref="E34:E54" si="26">MAX(F34:S34)</f>
        <v>5.2000000000000002</v>
      </c>
      <c r="F34">
        <v>5.2000000000000002</v>
      </c>
    </row>
    <row r="35">
      <c r="A35" t="s">
        <v>218</v>
      </c>
      <c r="B35" t="s">
        <v>219</v>
      </c>
      <c r="C35" s="1">
        <f t="shared" ref="C35:C43" si="27">MIN(F35:P35)</f>
        <v>0.108</v>
      </c>
      <c r="D35" s="2">
        <f t="shared" ref="D35:D38" si="28">AVERAGE(F35:P35)</f>
        <v>0.47116666666666668</v>
      </c>
      <c r="E35" s="3">
        <f t="shared" si="26"/>
        <v>0.80000000000000004</v>
      </c>
      <c r="G35">
        <v>0.5</v>
      </c>
      <c r="H35">
        <v>0.80000000000000004</v>
      </c>
      <c r="I35">
        <v>0.5</v>
      </c>
      <c r="J35">
        <v>0.80000000000000004</v>
      </c>
      <c r="K35">
        <v>0.108</v>
      </c>
      <c r="L35">
        <v>0.11899999999999999</v>
      </c>
      <c r="V35" t="s">
        <v>220</v>
      </c>
      <c r="W35" t="s">
        <v>220</v>
      </c>
      <c r="X35" t="s">
        <v>221</v>
      </c>
      <c r="Y35" t="s">
        <v>221</v>
      </c>
      <c r="Z35" t="s">
        <v>108</v>
      </c>
      <c r="AA35" t="s">
        <v>222</v>
      </c>
    </row>
    <row r="36">
      <c r="A36" t="s">
        <v>223</v>
      </c>
      <c r="B36" t="s">
        <v>224</v>
      </c>
      <c r="C36" s="1">
        <f t="shared" si="27"/>
        <v>0.17999999999999999</v>
      </c>
      <c r="D36" s="2">
        <f t="shared" si="28"/>
        <v>0.17999999999999999</v>
      </c>
      <c r="E36" s="3">
        <f t="shared" si="26"/>
        <v>0.17999999999999999</v>
      </c>
      <c r="G36">
        <v>0.17999999999999999</v>
      </c>
      <c r="V36" t="s">
        <v>180</v>
      </c>
    </row>
    <row r="37">
      <c r="A37" t="s">
        <v>225</v>
      </c>
      <c r="B37" t="s">
        <v>226</v>
      </c>
      <c r="C37" s="1">
        <f t="shared" si="27"/>
        <v>0.83999999999999997</v>
      </c>
      <c r="D37" s="2">
        <f t="shared" si="28"/>
        <v>0.83999999999999997</v>
      </c>
      <c r="E37" s="3">
        <f t="shared" si="26"/>
        <v>0.83999999999999997</v>
      </c>
      <c r="G37">
        <v>0.83999999999999997</v>
      </c>
      <c r="V37" t="s">
        <v>180</v>
      </c>
    </row>
    <row r="38">
      <c r="A38" t="s">
        <v>227</v>
      </c>
      <c r="B38" t="s">
        <v>217</v>
      </c>
      <c r="C38" s="1">
        <f t="shared" si="27"/>
        <v>0.44</v>
      </c>
      <c r="D38" s="2">
        <f t="shared" si="28"/>
        <v>0.56819999999999993</v>
      </c>
      <c r="E38" s="3">
        <f t="shared" si="26"/>
        <v>0.755</v>
      </c>
      <c r="G38">
        <v>0.47999999999999998</v>
      </c>
      <c r="H38">
        <v>0.56599999999999995</v>
      </c>
      <c r="I38">
        <v>0.755</v>
      </c>
      <c r="J38">
        <v>0.44</v>
      </c>
      <c r="K38">
        <v>0.59999999999999998</v>
      </c>
      <c r="V38" t="s">
        <v>180</v>
      </c>
      <c r="W38" t="s">
        <v>73</v>
      </c>
      <c r="X38" t="s">
        <v>73</v>
      </c>
      <c r="Y38" t="s">
        <v>108</v>
      </c>
      <c r="Z38" t="s">
        <v>162</v>
      </c>
    </row>
    <row r="39">
      <c r="A39" t="s">
        <v>228</v>
      </c>
      <c r="B39" t="s">
        <v>229</v>
      </c>
      <c r="C39" s="1">
        <f t="shared" si="27"/>
        <v>440.89999999999998</v>
      </c>
      <c r="D39" s="2">
        <f>AVERAGE(F39:T39)</f>
        <v>959.23813420621946</v>
      </c>
      <c r="E39" s="3">
        <f t="shared" si="26"/>
        <v>1973.9000000000001</v>
      </c>
      <c r="G39">
        <v>840</v>
      </c>
      <c r="H39">
        <v>987</v>
      </c>
      <c r="I39">
        <v>1973.9000000000001</v>
      </c>
      <c r="J39">
        <v>440.89999999999998</v>
      </c>
      <c r="K39">
        <v>881.70000000000005</v>
      </c>
      <c r="L39">
        <v>870</v>
      </c>
      <c r="M39">
        <f>566/assumptions!F6</f>
        <v>602.12765957446811</v>
      </c>
      <c r="N39">
        <f>808/assumptions!F6</f>
        <v>859.57446808510645</v>
      </c>
      <c r="O39">
        <f>1051/assumptions!F6</f>
        <v>1118.0851063829789</v>
      </c>
      <c r="P39">
        <f>481/assumptions!F6</f>
        <v>511.7021276595745</v>
      </c>
      <c r="Q39">
        <f>1812/assumptions!F6</f>
        <v>1927.6595744680851</v>
      </c>
      <c r="R39">
        <f>570/assumptions!F6</f>
        <v>606.38297872340434</v>
      </c>
      <c r="S39">
        <f>800/assumptions!C6</f>
        <v>851.06382978723411</v>
      </c>
      <c r="V39" t="s">
        <v>55</v>
      </c>
      <c r="W39" t="s">
        <v>230</v>
      </c>
      <c r="X39" t="s">
        <v>230</v>
      </c>
      <c r="Y39" t="s">
        <v>231</v>
      </c>
      <c r="Z39" t="s">
        <v>231</v>
      </c>
      <c r="AA39" t="s">
        <v>68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166</v>
      </c>
    </row>
    <row r="40">
      <c r="A40" t="s">
        <v>232</v>
      </c>
      <c r="B40" t="s">
        <v>233</v>
      </c>
      <c r="C40" s="1">
        <f t="shared" si="27"/>
        <v>0.56212000000000006</v>
      </c>
      <c r="D40" s="2">
        <f t="shared" ref="D40:D46" si="29">AVERAGE(F40:P40)</f>
        <v>0.96488228368794338</v>
      </c>
      <c r="E40" s="3">
        <f t="shared" si="26"/>
        <v>1.6472560000000001</v>
      </c>
      <c r="G40">
        <f>(9800000/15000000)/assumptions!F6</f>
        <v>0.69503546099290781</v>
      </c>
      <c r="H40">
        <f>0.9/assumptions!F6</f>
        <v>0.95744680851063835</v>
      </c>
      <c r="I40">
        <v>1.0600000000000001</v>
      </c>
      <c r="J40">
        <v>0.70199999999999996</v>
      </c>
      <c r="K40">
        <v>0.92000000000000004</v>
      </c>
      <c r="L40">
        <f>assumptions!F6*0.337*C34</f>
        <v>1.6472560000000001</v>
      </c>
      <c r="M40">
        <f>assumptions!F6*0.115*C34</f>
        <v>0.56212000000000006</v>
      </c>
      <c r="N40">
        <f>(226/1000)*C34</f>
        <v>1.1752</v>
      </c>
      <c r="V40" t="s">
        <v>234</v>
      </c>
      <c r="W40" t="s">
        <v>68</v>
      </c>
      <c r="X40" t="s">
        <v>108</v>
      </c>
      <c r="Y40" t="s">
        <v>235</v>
      </c>
      <c r="Z40" t="s">
        <v>236</v>
      </c>
      <c r="AA40" t="s">
        <v>107</v>
      </c>
      <c r="AB40" t="s">
        <v>107</v>
      </c>
      <c r="AC40" t="s">
        <v>166</v>
      </c>
    </row>
    <row r="41">
      <c r="A41" t="s">
        <v>237</v>
      </c>
      <c r="B41" t="s">
        <v>173</v>
      </c>
      <c r="C41" s="11">
        <f t="shared" si="27"/>
        <v>0.0040000000000000001</v>
      </c>
      <c r="D41" s="2">
        <f t="shared" si="29"/>
        <v>0.014</v>
      </c>
      <c r="E41" s="3">
        <f t="shared" si="26"/>
        <v>0.024</v>
      </c>
      <c r="G41">
        <v>0.024</v>
      </c>
      <c r="H41">
        <v>0.0040000000000000001</v>
      </c>
      <c r="V41" t="s">
        <v>238</v>
      </c>
      <c r="W41" t="s">
        <v>116</v>
      </c>
    </row>
    <row r="42">
      <c r="A42" t="s">
        <v>239</v>
      </c>
      <c r="B42" t="s">
        <v>173</v>
      </c>
      <c r="C42" s="1">
        <f t="shared" si="27"/>
        <v>0.01</v>
      </c>
      <c r="D42" s="2">
        <f t="shared" si="29"/>
        <v>0.058124999999999996</v>
      </c>
      <c r="E42" s="3">
        <f t="shared" si="26"/>
        <v>0.12</v>
      </c>
      <c r="G42" s="12">
        <v>0.040000000000000001</v>
      </c>
      <c r="H42">
        <f>0.12</f>
        <v>0.12</v>
      </c>
      <c r="I42">
        <v>0.025000000000000001</v>
      </c>
      <c r="J42">
        <v>0.040000000000000001</v>
      </c>
      <c r="K42">
        <v>0.10000000000000001</v>
      </c>
      <c r="L42">
        <v>0.029999999999999999</v>
      </c>
      <c r="M42">
        <v>0.10000000000000001</v>
      </c>
      <c r="N42">
        <v>0.01</v>
      </c>
      <c r="V42" t="s">
        <v>240</v>
      </c>
      <c r="W42" t="s">
        <v>241</v>
      </c>
      <c r="X42" t="s">
        <v>241</v>
      </c>
      <c r="Y42" t="s">
        <v>73</v>
      </c>
      <c r="Z42" t="s">
        <v>108</v>
      </c>
      <c r="AA42" t="s">
        <v>107</v>
      </c>
      <c r="AB42" t="s">
        <v>107</v>
      </c>
      <c r="AC42" t="s">
        <v>238</v>
      </c>
    </row>
    <row r="43">
      <c r="A43" t="s">
        <v>242</v>
      </c>
      <c r="B43" t="s">
        <v>243</v>
      </c>
      <c r="C43" s="1">
        <f t="shared" si="27"/>
        <v>0.0378</v>
      </c>
      <c r="D43" s="2">
        <f t="shared" si="29"/>
        <v>0.058900000000000001</v>
      </c>
      <c r="E43" s="3">
        <f t="shared" si="26"/>
        <v>0.080000000000000002</v>
      </c>
      <c r="G43" s="4"/>
      <c r="H43">
        <v>0.0378</v>
      </c>
      <c r="I43">
        <f>160/2000</f>
        <v>0.080000000000000002</v>
      </c>
      <c r="W43" t="s">
        <v>240</v>
      </c>
      <c r="X43" t="s">
        <v>244</v>
      </c>
    </row>
    <row r="44" s="13" customFormat="1">
      <c r="A44" s="13" t="s">
        <v>245</v>
      </c>
      <c r="B44" s="13" t="s">
        <v>246</v>
      </c>
      <c r="C44" s="14">
        <f>MAX(G44:T44)</f>
        <v>60000</v>
      </c>
      <c r="D44" s="2">
        <f t="shared" si="29"/>
        <v>35000</v>
      </c>
      <c r="E44" s="3">
        <f t="shared" si="26"/>
        <v>60000</v>
      </c>
      <c r="G44" s="13">
        <v>60000</v>
      </c>
      <c r="H44" s="13">
        <v>10000</v>
      </c>
      <c r="V44" s="13" t="s">
        <v>73</v>
      </c>
      <c r="W44" s="13" t="s">
        <v>73</v>
      </c>
    </row>
    <row r="45">
      <c r="A45" t="s">
        <v>247</v>
      </c>
      <c r="B45" t="s">
        <v>165</v>
      </c>
      <c r="C45" s="1">
        <f t="shared" ref="C45:C47" si="30">MIN(G45:T45)</f>
        <v>250</v>
      </c>
      <c r="D45" s="2">
        <f t="shared" si="29"/>
        <v>535.95372340425536</v>
      </c>
      <c r="E45" s="3">
        <f t="shared" si="26"/>
        <v>1524.7</v>
      </c>
      <c r="G45">
        <v>310.80000000000001</v>
      </c>
      <c r="H45">
        <v>783.39999999999998</v>
      </c>
      <c r="I45">
        <v>1524.7</v>
      </c>
      <c r="J45">
        <v>604.89999999999998</v>
      </c>
      <c r="K45">
        <f>289/assumptions!F6</f>
        <v>307.44680851063833</v>
      </c>
      <c r="L45">
        <f>241/assumptions!F6</f>
        <v>256.38297872340428</v>
      </c>
      <c r="M45">
        <f>235/assumptions!F6</f>
        <v>250</v>
      </c>
      <c r="N45">
        <f>235/assumptions!C6</f>
        <v>250</v>
      </c>
      <c r="V45" t="s">
        <v>73</v>
      </c>
      <c r="W45" t="s">
        <v>73</v>
      </c>
      <c r="X45" t="s">
        <v>73</v>
      </c>
      <c r="Y45" t="s">
        <v>73</v>
      </c>
      <c r="Z45" t="s">
        <v>107</v>
      </c>
      <c r="AA45" t="s">
        <v>107</v>
      </c>
      <c r="AB45" t="s">
        <v>107</v>
      </c>
      <c r="AC45" t="s">
        <v>166</v>
      </c>
    </row>
    <row r="46">
      <c r="A46" t="s">
        <v>248</v>
      </c>
      <c r="B46" t="s">
        <v>249</v>
      </c>
      <c r="C46" s="8">
        <f t="shared" si="30"/>
        <v>1.25</v>
      </c>
      <c r="D46" s="2">
        <f t="shared" si="29"/>
        <v>1.625</v>
      </c>
      <c r="E46" s="3">
        <f t="shared" si="26"/>
        <v>2</v>
      </c>
      <c r="G46">
        <v>2</v>
      </c>
      <c r="H46">
        <v>1.25</v>
      </c>
      <c r="V46" t="s">
        <v>73</v>
      </c>
      <c r="W46" t="s">
        <v>73</v>
      </c>
    </row>
    <row r="47">
      <c r="A47" t="s">
        <v>250</v>
      </c>
      <c r="B47" t="s">
        <v>249</v>
      </c>
      <c r="C47" s="8">
        <f t="shared" si="30"/>
        <v>4.2329099999999995</v>
      </c>
      <c r="D47" s="2">
        <f>AVERAGE(F47:T47)</f>
        <v>8.2189383333333321</v>
      </c>
      <c r="E47" s="3">
        <f t="shared" si="26"/>
        <v>16.800000000000001</v>
      </c>
      <c r="G47">
        <v>8.0999999999999996</v>
      </c>
      <c r="H47">
        <v>11.199999999999999</v>
      </c>
      <c r="I47">
        <v>14</v>
      </c>
      <c r="J47">
        <v>16.800000000000001</v>
      </c>
      <c r="K47">
        <f>0.14*C3</f>
        <v>4.6661999999999999</v>
      </c>
      <c r="L47">
        <f>0.148*C3</f>
        <v>4.9328399999999997</v>
      </c>
      <c r="M47">
        <f>0.139*E3</f>
        <v>4.6328700000000005</v>
      </c>
      <c r="N47">
        <f>0.131*D3</f>
        <v>4.3662299999999998</v>
      </c>
      <c r="O47">
        <f>0.127*F3</f>
        <v>4.2329099999999995</v>
      </c>
      <c r="P47">
        <f>((5.2/3.6)/C34)*C3</f>
        <v>9.2583333333333329</v>
      </c>
      <c r="V47" t="s">
        <v>73</v>
      </c>
      <c r="W47" t="s">
        <v>73</v>
      </c>
      <c r="X47" t="s">
        <v>73</v>
      </c>
      <c r="Y47" t="s">
        <v>73</v>
      </c>
      <c r="Z47" t="s">
        <v>166</v>
      </c>
      <c r="AA47" t="s">
        <v>107</v>
      </c>
      <c r="AB47" t="s">
        <v>107</v>
      </c>
      <c r="AC47" t="s">
        <v>107</v>
      </c>
      <c r="AD47" t="s">
        <v>107</v>
      </c>
      <c r="AE47" t="s">
        <v>251</v>
      </c>
    </row>
    <row r="48">
      <c r="A48" t="s">
        <v>252</v>
      </c>
      <c r="B48" t="s">
        <v>82</v>
      </c>
      <c r="C48" s="1">
        <f t="shared" ref="C48:C49" si="31">MAX(G48:T48)</f>
        <v>0.97999999999999998</v>
      </c>
      <c r="D48" s="2">
        <f t="shared" ref="D48:D55" si="32">AVERAGE(F48:P48)</f>
        <v>0.97999999999999998</v>
      </c>
      <c r="E48" s="3">
        <f t="shared" si="26"/>
        <v>0.97999999999999998</v>
      </c>
      <c r="G48">
        <v>0.97999999999999998</v>
      </c>
      <c r="V48" t="s">
        <v>73</v>
      </c>
    </row>
    <row r="49">
      <c r="A49" t="s">
        <v>253</v>
      </c>
      <c r="B49" t="s">
        <v>82</v>
      </c>
      <c r="C49" s="1">
        <f t="shared" si="31"/>
        <v>0.75</v>
      </c>
      <c r="D49" s="2">
        <f t="shared" si="32"/>
        <v>0.75</v>
      </c>
      <c r="E49" s="3">
        <f t="shared" si="26"/>
        <v>0.75</v>
      </c>
      <c r="G49">
        <v>0.75</v>
      </c>
      <c r="V49" t="s">
        <v>73</v>
      </c>
    </row>
    <row r="50">
      <c r="A50" t="s">
        <v>254</v>
      </c>
      <c r="B50" t="s">
        <v>152</v>
      </c>
      <c r="C50" s="1">
        <f>MIN(G50:T50)</f>
        <v>893.61702127659589</v>
      </c>
      <c r="D50" s="2">
        <f t="shared" si="32"/>
        <v>1157.0328723404257</v>
      </c>
      <c r="E50" s="3">
        <f t="shared" si="26"/>
        <v>1462.7659574468087</v>
      </c>
      <c r="G50">
        <f>assumptions!C28*G73</f>
        <v>893.61702127659589</v>
      </c>
      <c r="H50">
        <f>assumptions!E28*H73</f>
        <v>1462.7659574468087</v>
      </c>
      <c r="I50">
        <f>assumptions!D28*I73</f>
        <v>1152.6063829787236</v>
      </c>
      <c r="J50">
        <f>assumptions!D28*J73</f>
        <v>1162.5</v>
      </c>
      <c r="K50">
        <f>assumptions!D28*K73</f>
        <v>1113.6750000000002</v>
      </c>
      <c r="V50" t="s">
        <v>103</v>
      </c>
      <c r="W50" t="s">
        <v>103</v>
      </c>
      <c r="X50" t="s">
        <v>83</v>
      </c>
      <c r="Y50" t="s">
        <v>190</v>
      </c>
    </row>
    <row r="52">
      <c r="A52" s="6" t="s">
        <v>255</v>
      </c>
    </row>
    <row r="53">
      <c r="A53" t="s">
        <v>256</v>
      </c>
      <c r="B53" t="s">
        <v>257</v>
      </c>
      <c r="C53" s="1">
        <f t="shared" ref="C53:C55" si="33">MAX(G53:T53)</f>
        <v>13.888888888888889</v>
      </c>
      <c r="D53" s="2">
        <f t="shared" si="32"/>
        <v>13.888888888888889</v>
      </c>
      <c r="E53" s="3">
        <f t="shared" si="26"/>
        <v>13.888888888888889</v>
      </c>
      <c r="G53">
        <f>50/3.6</f>
        <v>13.888888888888889</v>
      </c>
      <c r="V53" t="s">
        <v>258</v>
      </c>
    </row>
    <row r="54">
      <c r="A54" t="s">
        <v>259</v>
      </c>
      <c r="B54" t="s">
        <v>193</v>
      </c>
      <c r="C54" s="1">
        <f t="shared" si="33"/>
        <v>410</v>
      </c>
      <c r="D54" s="2">
        <f t="shared" si="32"/>
        <v>410</v>
      </c>
      <c r="E54" s="3">
        <f t="shared" si="26"/>
        <v>410</v>
      </c>
      <c r="G54">
        <v>410</v>
      </c>
      <c r="V54" t="s">
        <v>55</v>
      </c>
    </row>
    <row r="55">
      <c r="A55" t="s">
        <v>260</v>
      </c>
      <c r="B55" t="s">
        <v>82</v>
      </c>
      <c r="C55" s="8">
        <f t="shared" si="33"/>
        <v>0.78000000000000003</v>
      </c>
      <c r="D55" s="2">
        <f t="shared" si="32"/>
        <v>0.76666666666666661</v>
      </c>
      <c r="E55" s="3">
        <f>MIN(F55:S55)</f>
        <v>0.75</v>
      </c>
      <c r="G55">
        <v>0.77000000000000002</v>
      </c>
      <c r="I55">
        <v>0.78000000000000003</v>
      </c>
      <c r="J55">
        <v>0.75</v>
      </c>
      <c r="V55" t="s">
        <v>107</v>
      </c>
      <c r="W55" t="s">
        <v>107</v>
      </c>
      <c r="X55" t="s">
        <v>261</v>
      </c>
      <c r="Y55" t="s">
        <v>261</v>
      </c>
    </row>
    <row r="56">
      <c r="A56" t="s">
        <v>262</v>
      </c>
      <c r="B56" t="s">
        <v>263</v>
      </c>
      <c r="C56" s="1">
        <f t="shared" ref="C56:C60" si="34">MIN(G56:T56)</f>
        <v>132.97872340425533</v>
      </c>
      <c r="D56" s="2">
        <f>AVERAGE(F56:U56)</f>
        <v>576.49645390070918</v>
      </c>
      <c r="E56" s="3">
        <f>MAX(F56:T56)</f>
        <v>1436.1702127659576</v>
      </c>
      <c r="G56">
        <f>800/assumptions!F6</f>
        <v>851.06382978723411</v>
      </c>
      <c r="H56">
        <f>600/assumptions!F6</f>
        <v>638.29787234042556</v>
      </c>
      <c r="I56">
        <f>761/assumptions!F6</f>
        <v>809.57446808510645</v>
      </c>
      <c r="J56">
        <f>662/assumptions!F6</f>
        <v>704.25531914893622</v>
      </c>
      <c r="K56">
        <f>735/assumptions!F6</f>
        <v>781.91489361702133</v>
      </c>
      <c r="L56">
        <v>300</v>
      </c>
      <c r="M56">
        <v>440</v>
      </c>
      <c r="N56">
        <f>600/assumptions!C6</f>
        <v>638.29787234042556</v>
      </c>
      <c r="O56">
        <f>530/assumptions!C6</f>
        <v>563.82978723404256</v>
      </c>
      <c r="P56">
        <f>375/assumptions!C6</f>
        <v>398.936170212766</v>
      </c>
      <c r="Q56">
        <f>295/assumptions!C6</f>
        <v>313.82978723404256</v>
      </c>
      <c r="R56">
        <f>125/assumptions!C6</f>
        <v>132.97872340425533</v>
      </c>
      <c r="S56">
        <f>450/assumptions!C6</f>
        <v>478.72340425531917</v>
      </c>
      <c r="T56">
        <f>1350/assumptions!C6</f>
        <v>1436.1702127659576</v>
      </c>
      <c r="U56">
        <f>150/assumptions!C6</f>
        <v>159.57446808510639</v>
      </c>
      <c r="V56" t="s">
        <v>107</v>
      </c>
      <c r="W56" t="s">
        <v>107</v>
      </c>
      <c r="X56" t="s">
        <v>107</v>
      </c>
      <c r="Y56" t="s">
        <v>107</v>
      </c>
      <c r="Z56" t="s">
        <v>264</v>
      </c>
      <c r="AA56" t="s">
        <v>108</v>
      </c>
      <c r="AB56" t="s">
        <v>265</v>
      </c>
      <c r="AC56" t="s">
        <v>266</v>
      </c>
      <c r="AD56" t="s">
        <v>266</v>
      </c>
      <c r="AE56" t="s">
        <v>266</v>
      </c>
      <c r="AF56" t="s">
        <v>266</v>
      </c>
      <c r="AG56" t="s">
        <v>261</v>
      </c>
      <c r="AH56" t="s">
        <v>261</v>
      </c>
      <c r="AI56" t="s">
        <v>261</v>
      </c>
      <c r="AJ56" t="s">
        <v>261</v>
      </c>
    </row>
    <row r="57">
      <c r="A57" t="s">
        <v>267</v>
      </c>
      <c r="B57" t="s">
        <v>263</v>
      </c>
      <c r="C57" s="1">
        <f t="shared" si="34"/>
        <v>286</v>
      </c>
      <c r="D57" s="2">
        <f t="shared" ref="D57:D58" si="35">AVERAGE(F57:P57)</f>
        <v>983.29787234042544</v>
      </c>
      <c r="E57" s="3">
        <f t="shared" ref="E57:E60" si="36">MAX(F57:S57)</f>
        <v>1914.8936170212767</v>
      </c>
      <c r="G57">
        <f>1800/assumptions!F6</f>
        <v>1914.8936170212767</v>
      </c>
      <c r="H57">
        <v>749</v>
      </c>
      <c r="I57">
        <v>286</v>
      </c>
      <c r="V57" t="s">
        <v>107</v>
      </c>
    </row>
    <row r="58">
      <c r="A58" t="s">
        <v>267</v>
      </c>
      <c r="B58" t="s">
        <v>268</v>
      </c>
      <c r="C58" s="1">
        <f t="shared" si="34"/>
        <v>0.11702127659574468</v>
      </c>
      <c r="D58" s="2">
        <f t="shared" si="35"/>
        <v>0.64346504559270523</v>
      </c>
      <c r="E58" s="3">
        <f t="shared" si="36"/>
        <v>1.5</v>
      </c>
      <c r="G58">
        <f>1220/(assumptions!F6*1000)</f>
        <v>1.2978723404255319</v>
      </c>
      <c r="H58">
        <f>730/(assumptions!F6*1000)</f>
        <v>0.77659574468085102</v>
      </c>
      <c r="I58">
        <f>338/(assumptions!F6*1000)</f>
        <v>0.3595744680851064</v>
      </c>
      <c r="J58">
        <f>189/(assumptions!F6*1000)</f>
        <v>0.20106382978723406</v>
      </c>
      <c r="K58">
        <f>237/(assumptions!F6*1000)</f>
        <v>0.25212765957446809</v>
      </c>
      <c r="L58">
        <f>110/(assumptions!F6*1000)</f>
        <v>0.11702127659574468</v>
      </c>
      <c r="M58">
        <v>1.5</v>
      </c>
      <c r="V58" t="s">
        <v>269</v>
      </c>
      <c r="W58" t="s">
        <v>269</v>
      </c>
      <c r="X58" t="s">
        <v>270</v>
      </c>
      <c r="Y58" t="s">
        <v>271</v>
      </c>
      <c r="Z58" t="s">
        <v>272</v>
      </c>
      <c r="AA58" t="s">
        <v>273</v>
      </c>
      <c r="AB58" t="s">
        <v>108</v>
      </c>
    </row>
    <row r="59">
      <c r="A59" t="s">
        <v>274</v>
      </c>
      <c r="B59" t="s">
        <v>275</v>
      </c>
      <c r="C59" s="1">
        <f t="shared" si="34"/>
        <v>0.20000000000000001</v>
      </c>
      <c r="D59" s="2">
        <f t="shared" ref="D59:D60" si="37">AVERAGE(F59:T59)</f>
        <v>0.33634833333333336</v>
      </c>
      <c r="E59" s="3">
        <f t="shared" si="36"/>
        <v>0.52777777777777779</v>
      </c>
      <c r="G59">
        <v>0.25</v>
      </c>
      <c r="H59">
        <v>0.20000000000000001</v>
      </c>
      <c r="I59">
        <v>0.29999999999999999</v>
      </c>
      <c r="J59">
        <f>1.8/3.6</f>
        <v>0.5</v>
      </c>
      <c r="K59" t="s">
        <v>276</v>
      </c>
      <c r="L59">
        <f>1.1/3.6</f>
        <v>0.30555555555555558</v>
      </c>
      <c r="M59">
        <f>1.5/3.6</f>
        <v>0.41666666666666663</v>
      </c>
      <c r="N59">
        <f>1.9/3.6</f>
        <v>0.52777777777777779</v>
      </c>
      <c r="O59">
        <f>0.9/3.6</f>
        <v>0.25</v>
      </c>
      <c r="P59">
        <f>1.29/3.6</f>
        <v>0.35833333333333334</v>
      </c>
      <c r="Q59">
        <v>0.25514999999999999</v>
      </c>
      <c r="V59" t="s">
        <v>107</v>
      </c>
      <c r="W59" t="s">
        <v>180</v>
      </c>
      <c r="X59" t="s">
        <v>180</v>
      </c>
      <c r="Y59" t="s">
        <v>277</v>
      </c>
      <c r="Z59" t="s">
        <v>278</v>
      </c>
      <c r="AA59" t="s">
        <v>108</v>
      </c>
      <c r="AB59" t="s">
        <v>108</v>
      </c>
      <c r="AC59" t="s">
        <v>108</v>
      </c>
      <c r="AD59" t="s">
        <v>127</v>
      </c>
      <c r="AE59" t="s">
        <v>127</v>
      </c>
      <c r="AF59" t="s">
        <v>109</v>
      </c>
    </row>
    <row r="60">
      <c r="A60" t="s">
        <v>279</v>
      </c>
      <c r="B60" t="s">
        <v>275</v>
      </c>
      <c r="C60" s="1">
        <f t="shared" si="34"/>
        <v>1.163888888888889</v>
      </c>
      <c r="D60" s="2">
        <f t="shared" si="37"/>
        <v>1.9112755555555558</v>
      </c>
      <c r="E60" s="3">
        <f t="shared" si="36"/>
        <v>2.9700000000000002</v>
      </c>
      <c r="G60">
        <v>1.5</v>
      </c>
      <c r="H60">
        <v>2</v>
      </c>
      <c r="I60">
        <f>5.4/3.6</f>
        <v>1.5</v>
      </c>
      <c r="J60">
        <v>2</v>
      </c>
      <c r="K60">
        <f>6/3.6</f>
        <v>1.6666666666666665</v>
      </c>
      <c r="L60">
        <f>8/3.6</f>
        <v>2.2222222222222223</v>
      </c>
      <c r="M60">
        <f>10/3.6</f>
        <v>2.7777777777777777</v>
      </c>
      <c r="N60">
        <f>4.19/3.6</f>
        <v>1.163888888888889</v>
      </c>
      <c r="O60">
        <v>2.9700000000000002</v>
      </c>
      <c r="P60">
        <v>1.3122</v>
      </c>
      <c r="V60" t="s">
        <v>180</v>
      </c>
      <c r="W60" t="s">
        <v>180</v>
      </c>
      <c r="X60" t="s">
        <v>277</v>
      </c>
      <c r="Y60" t="s">
        <v>278</v>
      </c>
      <c r="Z60" t="s">
        <v>108</v>
      </c>
      <c r="AA60" t="s">
        <v>108</v>
      </c>
      <c r="AB60" t="s">
        <v>108</v>
      </c>
      <c r="AC60" t="s">
        <v>127</v>
      </c>
      <c r="AD60" t="s">
        <v>265</v>
      </c>
      <c r="AE60" t="s">
        <v>109</v>
      </c>
    </row>
    <row r="61">
      <c r="A61" t="s">
        <v>280</v>
      </c>
      <c r="B61" t="s">
        <v>82</v>
      </c>
      <c r="C61" s="1">
        <f>MAX(G61:T61)</f>
        <v>0.68000000000000005</v>
      </c>
      <c r="D61" s="2">
        <f t="shared" ref="D61:D66" si="38">AVERAGE(F61:P61)</f>
        <v>0.63</v>
      </c>
      <c r="E61" s="3">
        <f>MIN(F61:S61)</f>
        <v>0.57999999999999996</v>
      </c>
      <c r="G61">
        <v>0.57999999999999996</v>
      </c>
      <c r="H61">
        <v>0.68000000000000005</v>
      </c>
      <c r="V61" t="s">
        <v>180</v>
      </c>
      <c r="W61" t="s">
        <v>180</v>
      </c>
    </row>
    <row r="62">
      <c r="A62" t="s">
        <v>281</v>
      </c>
      <c r="B62" t="s">
        <v>275</v>
      </c>
      <c r="C62" s="1">
        <f t="shared" ref="C62:C65" si="39">MIN(G62:T62)</f>
        <v>1.02</v>
      </c>
      <c r="D62" s="2">
        <f t="shared" si="38"/>
        <v>1.2587499999999998</v>
      </c>
      <c r="E62" s="3">
        <f t="shared" ref="E62:E64" si="40">MAX(F62:S62)</f>
        <v>1.643</v>
      </c>
      <c r="G62">
        <f>0.58*2</f>
        <v>1.1599999999999999</v>
      </c>
      <c r="H62">
        <f>0.68*1.5</f>
        <v>1.02</v>
      </c>
      <c r="I62">
        <f>1.212</f>
        <v>1.212</v>
      </c>
      <c r="J62">
        <f>1.643</f>
        <v>1.643</v>
      </c>
      <c r="V62" t="s">
        <v>180</v>
      </c>
      <c r="W62" t="s">
        <v>180</v>
      </c>
      <c r="X62" t="s">
        <v>265</v>
      </c>
      <c r="Y62" t="s">
        <v>265</v>
      </c>
    </row>
    <row r="63">
      <c r="A63" t="s">
        <v>282</v>
      </c>
      <c r="B63" t="s">
        <v>257</v>
      </c>
      <c r="C63" s="1">
        <f t="shared" si="39"/>
        <v>0.14000000000000001</v>
      </c>
      <c r="D63" s="2">
        <f t="shared" si="38"/>
        <v>0.50866666666666671</v>
      </c>
      <c r="E63" s="3">
        <f t="shared" si="40"/>
        <v>0.85524999999999995</v>
      </c>
      <c r="G63">
        <v>0.14000000000000001</v>
      </c>
      <c r="H63">
        <f>0.193*F64</f>
        <v>0.53075000000000006</v>
      </c>
      <c r="I63">
        <f>0.311*F64</f>
        <v>0.85524999999999995</v>
      </c>
      <c r="V63" t="s">
        <v>180</v>
      </c>
      <c r="W63" t="s">
        <v>265</v>
      </c>
      <c r="X63" t="s">
        <v>265</v>
      </c>
    </row>
    <row r="64">
      <c r="A64" t="s">
        <v>283</v>
      </c>
      <c r="B64" t="s">
        <v>284</v>
      </c>
      <c r="C64" s="1">
        <f t="shared" si="39"/>
        <v>2.7488999999999999</v>
      </c>
      <c r="D64" s="2">
        <f t="shared" si="38"/>
        <v>2.7622249999999999</v>
      </c>
      <c r="E64" s="3">
        <f t="shared" si="40"/>
        <v>2.7999999999999998</v>
      </c>
      <c r="F64">
        <v>2.75</v>
      </c>
      <c r="G64">
        <f>0.198*C53</f>
        <v>2.75</v>
      </c>
      <c r="H64">
        <v>2.7488999999999999</v>
      </c>
      <c r="I64">
        <v>2.7999999999999998</v>
      </c>
      <c r="V64" t="s">
        <v>127</v>
      </c>
      <c r="W64" t="s">
        <v>180</v>
      </c>
      <c r="X64" t="s">
        <v>285</v>
      </c>
    </row>
    <row r="65" s="13" customFormat="1">
      <c r="A65" s="13" t="s">
        <v>286</v>
      </c>
      <c r="B65" s="13" t="s">
        <v>287</v>
      </c>
      <c r="C65" s="14">
        <f t="shared" si="39"/>
        <v>0.5198539655945793</v>
      </c>
      <c r="D65" s="15">
        <f>AVERAGE(G65:P65)</f>
        <v>0.5198539655945793</v>
      </c>
      <c r="E65" s="16">
        <f>MAX(G65:S65)</f>
        <v>0.5198539655945793</v>
      </c>
      <c r="G65" s="13" t="s">
        <v>288</v>
      </c>
      <c r="H65" s="13">
        <f>(1.26/C3)/(1.01/C53)</f>
        <v>0.5198539655945793</v>
      </c>
      <c r="V65" s="13" t="s">
        <v>289</v>
      </c>
      <c r="W65" s="13" t="s">
        <v>180</v>
      </c>
    </row>
    <row r="66">
      <c r="A66" t="s">
        <v>290</v>
      </c>
      <c r="B66" t="s">
        <v>291</v>
      </c>
      <c r="C66" s="1">
        <f>F66</f>
        <v>1.125</v>
      </c>
      <c r="D66" s="2">
        <f t="shared" si="38"/>
        <v>1.125</v>
      </c>
      <c r="E66" s="3">
        <f t="shared" ref="E66:E77" si="41">MAX(F66:S66)</f>
        <v>1.125</v>
      </c>
      <c r="F66">
        <f>18/16</f>
        <v>1.125</v>
      </c>
    </row>
    <row r="67" ht="15.75" customHeight="1">
      <c r="A67" t="s">
        <v>292</v>
      </c>
      <c r="B67" t="s">
        <v>293</v>
      </c>
      <c r="C67" s="8">
        <f t="shared" ref="C67:C77" si="42">MIN(G67:T67)</f>
        <v>277.29496402877697</v>
      </c>
      <c r="D67" s="2">
        <f>AVERAGE(F67:S67)</f>
        <v>715.73121757912816</v>
      </c>
      <c r="E67" s="3">
        <f t="shared" si="41"/>
        <v>1350</v>
      </c>
      <c r="G67">
        <f>331/assumptions!C6</f>
        <v>352.12765957446811</v>
      </c>
      <c r="H67">
        <f>717/assumptions!C6</f>
        <v>762.76595744680856</v>
      </c>
      <c r="I67">
        <f>1269/assumptions!C6</f>
        <v>1350</v>
      </c>
      <c r="J67">
        <f>440/(13900/8760)</f>
        <v>277.29496402877697</v>
      </c>
      <c r="K67">
        <f>1350/(13900/8760)</f>
        <v>850.79136690647476</v>
      </c>
      <c r="L67">
        <f>946/(13900/8760)</f>
        <v>596.18417266187043</v>
      </c>
      <c r="M67">
        <f>1226/(13900/8760)</f>
        <v>772.64460431654675</v>
      </c>
      <c r="N67">
        <f>660/(13900/8760)</f>
        <v>415.94244604316543</v>
      </c>
      <c r="O67">
        <f>1000/assumptions!C6</f>
        <v>1063.8297872340427</v>
      </c>
      <c r="V67" t="s">
        <v>107</v>
      </c>
      <c r="W67" t="s">
        <v>107</v>
      </c>
      <c r="X67" t="s">
        <v>107</v>
      </c>
      <c r="Y67" t="s">
        <v>294</v>
      </c>
      <c r="Z67" t="s">
        <v>294</v>
      </c>
      <c r="AA67" t="s">
        <v>295</v>
      </c>
      <c r="AB67" t="s">
        <v>295</v>
      </c>
      <c r="AC67" t="s">
        <v>295</v>
      </c>
      <c r="AD67" t="s">
        <v>296</v>
      </c>
    </row>
    <row r="68">
      <c r="A68" t="s">
        <v>297</v>
      </c>
      <c r="B68" t="s">
        <v>173</v>
      </c>
      <c r="C68" s="1">
        <f t="shared" si="42"/>
        <v>0.080000000000000002</v>
      </c>
      <c r="D68" s="2">
        <f t="shared" ref="D68:D71" si="43">AVERAGE(F68:P68)</f>
        <v>0.15839999999999999</v>
      </c>
      <c r="E68" s="3">
        <f t="shared" si="41"/>
        <v>0.29999999999999999</v>
      </c>
      <c r="G68">
        <v>0.080000000000000002</v>
      </c>
      <c r="H68">
        <v>0.10000000000000001</v>
      </c>
      <c r="I68">
        <v>0.14999999999999999</v>
      </c>
      <c r="J68">
        <v>0.12</v>
      </c>
      <c r="K68">
        <v>0.13700000000000001</v>
      </c>
      <c r="L68">
        <v>0.17000000000000001</v>
      </c>
      <c r="M68">
        <v>0.29999999999999999</v>
      </c>
      <c r="N68">
        <v>0.22</v>
      </c>
      <c r="O68">
        <v>0.17000000000000001</v>
      </c>
      <c r="P68">
        <v>0.13700000000000001</v>
      </c>
      <c r="V68" t="s">
        <v>298</v>
      </c>
      <c r="W68" t="s">
        <v>298</v>
      </c>
      <c r="X68" t="s">
        <v>298</v>
      </c>
      <c r="Y68" t="s">
        <v>299</v>
      </c>
      <c r="Z68" t="s">
        <v>299</v>
      </c>
      <c r="AA68" t="s">
        <v>116</v>
      </c>
      <c r="AB68" t="s">
        <v>300</v>
      </c>
      <c r="AC68" t="s">
        <v>300</v>
      </c>
      <c r="AD68" t="s">
        <v>300</v>
      </c>
      <c r="AE68" t="s">
        <v>238</v>
      </c>
    </row>
    <row r="69">
      <c r="A69" t="s">
        <v>301</v>
      </c>
      <c r="B69" t="s">
        <v>173</v>
      </c>
      <c r="C69" s="1">
        <f t="shared" si="42"/>
        <v>0.012</v>
      </c>
      <c r="D69" s="2">
        <f t="shared" si="43"/>
        <v>0.068142857142857144</v>
      </c>
      <c r="E69" s="3">
        <f t="shared" si="41"/>
        <v>0.14999999999999999</v>
      </c>
      <c r="G69">
        <v>0.14999999999999999</v>
      </c>
      <c r="H69">
        <v>0.080000000000000002</v>
      </c>
      <c r="J69">
        <v>0.074999999999999997</v>
      </c>
      <c r="K69">
        <v>0.029999999999999999</v>
      </c>
      <c r="L69">
        <v>0.080000000000000002</v>
      </c>
      <c r="M69" t="s">
        <v>302</v>
      </c>
      <c r="N69" t="s">
        <v>303</v>
      </c>
      <c r="O69">
        <v>0.050000000000000003</v>
      </c>
      <c r="P69">
        <v>0.012</v>
      </c>
      <c r="Q69">
        <v>0.075733800000000004</v>
      </c>
      <c r="V69" t="s">
        <v>300</v>
      </c>
      <c r="W69" t="s">
        <v>300</v>
      </c>
      <c r="X69" t="s">
        <v>116</v>
      </c>
      <c r="Y69" t="s">
        <v>299</v>
      </c>
      <c r="Z69" t="s">
        <v>240</v>
      </c>
      <c r="AA69" t="s">
        <v>240</v>
      </c>
      <c r="AB69" t="s">
        <v>304</v>
      </c>
      <c r="AC69" t="s">
        <v>304</v>
      </c>
      <c r="AD69" t="s">
        <v>240</v>
      </c>
      <c r="AE69" t="s">
        <v>240</v>
      </c>
      <c r="AF69" t="s">
        <v>238</v>
      </c>
    </row>
    <row r="70">
      <c r="A70" t="s">
        <v>305</v>
      </c>
      <c r="B70" t="s">
        <v>306</v>
      </c>
      <c r="C70" s="8">
        <f t="shared" si="42"/>
        <v>1.1805555555555556</v>
      </c>
      <c r="D70" s="2">
        <f t="shared" si="43"/>
        <v>14.092042198993417</v>
      </c>
      <c r="E70" s="3">
        <f t="shared" si="41"/>
        <v>40</v>
      </c>
      <c r="G70">
        <v>30</v>
      </c>
      <c r="H70">
        <v>40</v>
      </c>
      <c r="I70">
        <v>2.2799999999999998</v>
      </c>
      <c r="J70">
        <f>(85000000/160000)/450</f>
        <v>1.1805555555555556</v>
      </c>
      <c r="K70">
        <f>(51000/25)/450</f>
        <v>4.5333333333333332</v>
      </c>
      <c r="L70">
        <f>6000/450</f>
        <v>13.333333333333334</v>
      </c>
      <c r="M70">
        <f>3000/C54</f>
        <v>7.3170731707317076</v>
      </c>
      <c r="V70" t="s">
        <v>181</v>
      </c>
      <c r="W70" t="s">
        <v>181</v>
      </c>
      <c r="X70" t="s">
        <v>307</v>
      </c>
      <c r="Y70" t="s">
        <v>116</v>
      </c>
      <c r="Z70" t="s">
        <v>308</v>
      </c>
      <c r="AA70" t="s">
        <v>309</v>
      </c>
      <c r="AB70" t="s">
        <v>310</v>
      </c>
    </row>
    <row r="71">
      <c r="A71" t="s">
        <v>311</v>
      </c>
      <c r="B71" t="s">
        <v>312</v>
      </c>
      <c r="C71" s="11">
        <f t="shared" si="42"/>
        <v>0.5</v>
      </c>
      <c r="D71" s="2">
        <f t="shared" si="43"/>
        <v>0.81400000000000006</v>
      </c>
      <c r="E71" s="3">
        <f t="shared" si="41"/>
        <v>1.27</v>
      </c>
      <c r="G71">
        <v>1.27</v>
      </c>
      <c r="H71">
        <v>0.5</v>
      </c>
      <c r="I71">
        <v>0.80000000000000004</v>
      </c>
      <c r="K71">
        <v>0.69999999999999996</v>
      </c>
      <c r="L71">
        <v>0.80000000000000004</v>
      </c>
      <c r="V71" t="s">
        <v>300</v>
      </c>
      <c r="W71" t="s">
        <v>313</v>
      </c>
      <c r="X71" t="s">
        <v>313</v>
      </c>
      <c r="Y71" t="s">
        <v>313</v>
      </c>
      <c r="Z71" t="s">
        <v>298</v>
      </c>
      <c r="AA71" t="s">
        <v>298</v>
      </c>
      <c r="AB71" t="s">
        <v>298</v>
      </c>
    </row>
    <row r="72" ht="15.75" customHeight="1">
      <c r="A72" t="s">
        <v>314</v>
      </c>
      <c r="B72" t="s">
        <v>315</v>
      </c>
      <c r="C72" s="8">
        <v>0.23999999999999999</v>
      </c>
      <c r="D72" s="2">
        <f>AVERAGE(F72:T72)</f>
        <v>0.74449999999999994</v>
      </c>
      <c r="E72" s="7">
        <f t="shared" si="41"/>
        <v>1.8300000000000001</v>
      </c>
      <c r="H72">
        <v>1.8300000000000001</v>
      </c>
      <c r="I72" s="10">
        <v>1.3799999999999999</v>
      </c>
      <c r="J72">
        <v>0.25</v>
      </c>
      <c r="K72">
        <v>0.30399999999999999</v>
      </c>
      <c r="M72">
        <v>0.23999999999999999</v>
      </c>
      <c r="N72">
        <v>0.28999999999999998</v>
      </c>
      <c r="O72">
        <v>0.34999999999999998</v>
      </c>
      <c r="P72">
        <v>0.93000000000000005</v>
      </c>
      <c r="Q72">
        <v>0.78000000000000003</v>
      </c>
      <c r="R72">
        <v>0.69999999999999996</v>
      </c>
      <c r="S72">
        <v>0.42999999999999999</v>
      </c>
      <c r="T72">
        <v>1.45</v>
      </c>
      <c r="U72">
        <f>0.08*C53</f>
        <v>1.1111111111111112</v>
      </c>
      <c r="V72" t="s">
        <v>107</v>
      </c>
      <c r="W72" t="s">
        <v>107</v>
      </c>
      <c r="X72" t="s">
        <v>107</v>
      </c>
      <c r="Y72" t="s">
        <v>45</v>
      </c>
      <c r="Z72" t="s">
        <v>45</v>
      </c>
      <c r="AA72" t="s">
        <v>45</v>
      </c>
      <c r="AB72" t="s">
        <v>107</v>
      </c>
      <c r="AC72" t="s">
        <v>127</v>
      </c>
      <c r="AD72" t="s">
        <v>127</v>
      </c>
      <c r="AE72" t="s">
        <v>294</v>
      </c>
      <c r="AF72" t="s">
        <v>294</v>
      </c>
      <c r="AG72" t="s">
        <v>294</v>
      </c>
      <c r="AH72" t="s">
        <v>294</v>
      </c>
      <c r="AI72" t="s">
        <v>294</v>
      </c>
      <c r="AJ72" t="s">
        <v>109</v>
      </c>
    </row>
    <row r="73">
      <c r="A73" t="s">
        <v>316</v>
      </c>
      <c r="B73" t="s">
        <v>152</v>
      </c>
      <c r="C73" s="1">
        <f t="shared" si="42"/>
        <v>824.468085106383</v>
      </c>
      <c r="D73" s="2">
        <f>AVERAGE(F73:P73)</f>
        <v>965.872340425532</v>
      </c>
      <c r="E73" s="3">
        <f t="shared" si="41"/>
        <v>1170.2127659574469</v>
      </c>
      <c r="G73">
        <f>800/assumptions!F6</f>
        <v>851.06382978723411</v>
      </c>
      <c r="H73">
        <f>1100/assumptions!F6</f>
        <v>1170.2127659574469</v>
      </c>
      <c r="I73">
        <f>932/assumptions!F6</f>
        <v>991.48936170212767</v>
      </c>
      <c r="J73">
        <v>1000</v>
      </c>
      <c r="K73">
        <v>958</v>
      </c>
      <c r="L73">
        <f>775/assumptions!C6</f>
        <v>824.468085106383</v>
      </c>
      <c r="V73" t="s">
        <v>103</v>
      </c>
      <c r="W73" t="s">
        <v>103</v>
      </c>
      <c r="X73" t="s">
        <v>83</v>
      </c>
      <c r="Y73" t="s">
        <v>190</v>
      </c>
      <c r="Z73" t="s">
        <v>317</v>
      </c>
      <c r="AA73" t="s">
        <v>120</v>
      </c>
    </row>
    <row r="74">
      <c r="A74" s="10" t="s">
        <v>318</v>
      </c>
      <c r="B74" t="s">
        <v>82</v>
      </c>
    </row>
    <row r="75">
      <c r="A75" s="10" t="s">
        <v>319</v>
      </c>
      <c r="B75" t="s">
        <v>249</v>
      </c>
      <c r="C75" s="8">
        <f t="shared" si="42"/>
        <v>2</v>
      </c>
      <c r="D75" s="2">
        <f t="shared" ref="D75:D76" si="44">AVERAGE(G75:T75)</f>
        <v>2</v>
      </c>
      <c r="E75" s="7">
        <f t="shared" si="41"/>
        <v>2</v>
      </c>
      <c r="G75">
        <f>2</f>
        <v>2</v>
      </c>
      <c r="V75" t="s">
        <v>320</v>
      </c>
    </row>
    <row r="76">
      <c r="A76" t="s">
        <v>321</v>
      </c>
      <c r="B76" t="s">
        <v>249</v>
      </c>
      <c r="C76" s="8">
        <f t="shared" si="42"/>
        <v>5.2300000000000004</v>
      </c>
      <c r="D76" s="2">
        <f t="shared" si="44"/>
        <v>6.4100000000000001</v>
      </c>
      <c r="E76" s="7">
        <f t="shared" si="41"/>
        <v>8</v>
      </c>
      <c r="G76" s="10">
        <v>6</v>
      </c>
      <c r="H76" s="10" t="s">
        <v>322</v>
      </c>
      <c r="I76" t="s">
        <v>323</v>
      </c>
      <c r="J76" t="s">
        <v>324</v>
      </c>
      <c r="L76" t="s">
        <v>325</v>
      </c>
      <c r="N76">
        <f>10-G75</f>
        <v>8</v>
      </c>
      <c r="R76">
        <f>7.23-2</f>
        <v>5.2300000000000004</v>
      </c>
      <c r="V76" t="s">
        <v>326</v>
      </c>
      <c r="W76" t="s">
        <v>327</v>
      </c>
      <c r="X76" t="s">
        <v>328</v>
      </c>
      <c r="Y76" t="s">
        <v>329</v>
      </c>
      <c r="Z76" t="s">
        <v>330</v>
      </c>
      <c r="AA76" t="s">
        <v>331</v>
      </c>
      <c r="AB76" t="s">
        <v>332</v>
      </c>
      <c r="AC76" t="s">
        <v>333</v>
      </c>
      <c r="AD76" t="s">
        <v>334</v>
      </c>
      <c r="AE76" t="s">
        <v>335</v>
      </c>
      <c r="AF76" t="s">
        <v>335</v>
      </c>
      <c r="AG76" t="s">
        <v>320</v>
      </c>
    </row>
    <row r="77">
      <c r="A77" t="s">
        <v>336</v>
      </c>
      <c r="B77" t="s">
        <v>165</v>
      </c>
      <c r="C77" s="1">
        <f t="shared" si="42"/>
        <v>741.48936170212767</v>
      </c>
      <c r="D77" s="2">
        <f t="shared" ref="D77:D102" si="45">AVERAGE(F77:P77)</f>
        <v>858.82849809803679</v>
      </c>
      <c r="E77" s="3">
        <f t="shared" si="41"/>
        <v>977.65957446808511</v>
      </c>
      <c r="G77" s="17">
        <f>261100000/(9000*C3)</f>
        <v>870.42037537087037</v>
      </c>
      <c r="H77" t="s">
        <v>337</v>
      </c>
      <c r="I77" t="s">
        <v>338</v>
      </c>
      <c r="J77">
        <f>697/assumptions!F6</f>
        <v>741.48936170212767</v>
      </c>
      <c r="K77">
        <f>795/assumptions!F6</f>
        <v>845.74468085106389</v>
      </c>
      <c r="L77">
        <f>919/assumptions!F6</f>
        <v>977.65957446808511</v>
      </c>
      <c r="V77" t="s">
        <v>327</v>
      </c>
      <c r="W77" t="s">
        <v>328</v>
      </c>
      <c r="X77" t="s">
        <v>329</v>
      </c>
      <c r="Y77" t="s">
        <v>339</v>
      </c>
      <c r="Z77" t="s">
        <v>340</v>
      </c>
      <c r="AA77" t="s">
        <v>341</v>
      </c>
    </row>
    <row r="78">
      <c r="A78" t="s">
        <v>342</v>
      </c>
      <c r="B78" t="s">
        <v>343</v>
      </c>
      <c r="C78" s="1">
        <f t="shared" ref="C78:C79" si="46">MAX(G78:T78)</f>
        <v>0.75</v>
      </c>
      <c r="D78" s="2">
        <f t="shared" si="45"/>
        <v>0.75</v>
      </c>
      <c r="E78" s="3">
        <f t="shared" ref="E78:E85" si="47">MIN(F78:S78)</f>
        <v>0.75</v>
      </c>
      <c r="G78" s="17">
        <v>0.75</v>
      </c>
      <c r="V78" t="s">
        <v>344</v>
      </c>
    </row>
    <row r="79">
      <c r="A79" t="s">
        <v>345</v>
      </c>
      <c r="B79" t="s">
        <v>346</v>
      </c>
      <c r="C79" s="18">
        <f t="shared" si="46"/>
        <v>1</v>
      </c>
      <c r="D79" s="2">
        <f t="shared" si="45"/>
        <v>0.6333333333333333</v>
      </c>
      <c r="E79" s="3">
        <f t="shared" si="47"/>
        <v>0.20000000000000001</v>
      </c>
      <c r="G79">
        <f>0.2</f>
        <v>0.20000000000000001</v>
      </c>
      <c r="H79">
        <v>1</v>
      </c>
      <c r="I79">
        <v>0.69999999999999996</v>
      </c>
      <c r="V79" t="s">
        <v>347</v>
      </c>
      <c r="W79" t="s">
        <v>347</v>
      </c>
      <c r="X79" t="s">
        <v>348</v>
      </c>
    </row>
    <row r="80">
      <c r="A80" t="s">
        <v>349</v>
      </c>
      <c r="C80" s="1">
        <f>MAX(G80:R80)</f>
        <v>0.59999999999999998</v>
      </c>
      <c r="D80" s="2">
        <f t="shared" si="45"/>
        <v>0.57666666666666666</v>
      </c>
      <c r="E80" s="3">
        <f t="shared" si="47"/>
        <v>0.55000000000000004</v>
      </c>
      <c r="G80">
        <v>0.57999999999999996</v>
      </c>
      <c r="H80">
        <v>0.55000000000000004</v>
      </c>
      <c r="I80">
        <v>0.59999999999999998</v>
      </c>
      <c r="V80" t="s">
        <v>332</v>
      </c>
      <c r="W80" t="s">
        <v>350</v>
      </c>
      <c r="X80" t="s">
        <v>334</v>
      </c>
    </row>
    <row r="81">
      <c r="A81" t="s">
        <v>351</v>
      </c>
      <c r="C81" s="1">
        <f>MAX(I81:T81)</f>
        <v>0</v>
      </c>
      <c r="D81" s="2">
        <f t="shared" si="45"/>
        <v>4</v>
      </c>
      <c r="E81" s="3">
        <f t="shared" si="47"/>
        <v>4</v>
      </c>
      <c r="G81">
        <f>800/200</f>
        <v>4</v>
      </c>
    </row>
    <row r="83">
      <c r="C83" s="19"/>
    </row>
    <row r="84">
      <c r="A84" s="6" t="s">
        <v>352</v>
      </c>
    </row>
    <row r="85">
      <c r="A85" t="s">
        <v>353</v>
      </c>
      <c r="B85" t="s">
        <v>354</v>
      </c>
      <c r="C85" s="1">
        <f>MAX(G85:T85)</f>
        <v>2.0555555555555558</v>
      </c>
      <c r="D85" s="2">
        <f t="shared" si="45"/>
        <v>2.0555555555555558</v>
      </c>
      <c r="E85" s="3">
        <f t="shared" si="47"/>
        <v>2.0555555555555558</v>
      </c>
      <c r="G85">
        <f>7.4/3.6</f>
        <v>2.0555555555555558</v>
      </c>
      <c r="V85" t="s">
        <v>55</v>
      </c>
    </row>
    <row r="86">
      <c r="A86" t="s">
        <v>355</v>
      </c>
      <c r="B86" t="s">
        <v>134</v>
      </c>
      <c r="C86" s="1">
        <f t="shared" ref="C86:C94" si="48">MIN(G86:T86)</f>
        <v>145</v>
      </c>
      <c r="D86" s="2">
        <f t="shared" si="45"/>
        <v>207.44047619047618</v>
      </c>
      <c r="E86" s="3">
        <f t="shared" ref="E86:E94" si="49">MAX(G86:T86)</f>
        <v>240</v>
      </c>
      <c r="G86">
        <v>225.71428571428569</v>
      </c>
      <c r="H86">
        <v>219.04761904761904</v>
      </c>
      <c r="I86">
        <v>145</v>
      </c>
      <c r="J86">
        <v>240</v>
      </c>
      <c r="V86" t="s">
        <v>356</v>
      </c>
      <c r="W86" t="s">
        <v>357</v>
      </c>
      <c r="X86" t="s">
        <v>358</v>
      </c>
      <c r="Y86" t="s">
        <v>359</v>
      </c>
    </row>
    <row r="87">
      <c r="A87" t="s">
        <v>360</v>
      </c>
      <c r="B87" t="s">
        <v>134</v>
      </c>
      <c r="C87" s="1">
        <f t="shared" si="48"/>
        <v>80</v>
      </c>
      <c r="D87" s="2">
        <f t="shared" si="45"/>
        <v>154.54285714285714</v>
      </c>
      <c r="E87" s="3">
        <f t="shared" si="49"/>
        <v>190.47619047619048</v>
      </c>
      <c r="G87">
        <v>190.47619047619048</v>
      </c>
      <c r="H87">
        <v>175.23809523809524</v>
      </c>
      <c r="I87">
        <v>143</v>
      </c>
      <c r="J87">
        <v>80</v>
      </c>
      <c r="K87">
        <v>184</v>
      </c>
      <c r="V87" t="s">
        <v>356</v>
      </c>
      <c r="W87" t="s">
        <v>357</v>
      </c>
      <c r="X87" t="s">
        <v>361</v>
      </c>
      <c r="Y87" t="s">
        <v>358</v>
      </c>
      <c r="Z87" t="s">
        <v>359</v>
      </c>
    </row>
    <row r="88">
      <c r="A88" t="s">
        <v>362</v>
      </c>
      <c r="B88" t="s">
        <v>354</v>
      </c>
      <c r="C88" s="1">
        <f t="shared" si="48"/>
        <v>1.1599999999999999</v>
      </c>
      <c r="D88" s="2">
        <f t="shared" si="45"/>
        <v>1.1933333333333334</v>
      </c>
      <c r="E88" s="3">
        <f t="shared" si="49"/>
        <v>1.2266666666666668</v>
      </c>
      <c r="G88">
        <f>3.48/3</f>
        <v>1.1599999999999999</v>
      </c>
      <c r="H88">
        <f>3.68/3</f>
        <v>1.2266666666666668</v>
      </c>
      <c r="V88" t="s">
        <v>363</v>
      </c>
      <c r="W88" t="s">
        <v>364</v>
      </c>
    </row>
    <row r="89">
      <c r="A89" s="6" t="s">
        <v>365</v>
      </c>
      <c r="B89" t="s">
        <v>366</v>
      </c>
      <c r="C89" s="1">
        <f t="shared" si="48"/>
        <v>78254058.120000005</v>
      </c>
      <c r="D89" s="2">
        <f t="shared" si="45"/>
        <v>78254058.120000005</v>
      </c>
      <c r="E89" s="3">
        <f t="shared" si="49"/>
        <v>78254058.120000005</v>
      </c>
      <c r="G89" s="17">
        <v>78254058.120000005</v>
      </c>
    </row>
    <row r="90">
      <c r="A90" s="6" t="s">
        <v>367</v>
      </c>
      <c r="B90" t="s">
        <v>368</v>
      </c>
      <c r="C90" s="1">
        <f t="shared" si="48"/>
        <v>159956100</v>
      </c>
      <c r="D90" s="2">
        <f t="shared" si="45"/>
        <v>159956100</v>
      </c>
      <c r="E90" s="3">
        <f t="shared" si="49"/>
        <v>159956100</v>
      </c>
      <c r="G90">
        <v>159956100</v>
      </c>
    </row>
    <row r="91">
      <c r="A91" s="6" t="s">
        <v>369</v>
      </c>
      <c r="B91" t="s">
        <v>370</v>
      </c>
      <c r="C91" s="18">
        <f t="shared" si="48"/>
        <v>0.00034200000000000002</v>
      </c>
      <c r="D91" s="2">
        <f t="shared" si="45"/>
        <v>0.00034200000000000002</v>
      </c>
      <c r="E91" s="3">
        <f t="shared" si="49"/>
        <v>0.00034200000000000002</v>
      </c>
      <c r="G91">
        <v>0.00034200000000000002</v>
      </c>
    </row>
    <row r="92">
      <c r="A92" t="s">
        <v>371</v>
      </c>
      <c r="B92" t="s">
        <v>152</v>
      </c>
      <c r="C92" s="1">
        <f t="shared" si="48"/>
        <v>1595.744680851064</v>
      </c>
      <c r="D92" s="2">
        <f t="shared" si="45"/>
        <v>2900.6382978723404</v>
      </c>
      <c r="E92" s="3">
        <f t="shared" si="49"/>
        <v>5000</v>
      </c>
      <c r="G92">
        <f>1500/assumptions!F6</f>
        <v>1595.744680851064</v>
      </c>
      <c r="H92">
        <f>2000/assumptions!F6</f>
        <v>2127.6595744680853</v>
      </c>
      <c r="I92">
        <f>2049/assumptions!F6</f>
        <v>2179.7872340425533</v>
      </c>
      <c r="J92">
        <v>3600</v>
      </c>
      <c r="K92">
        <v>5000</v>
      </c>
      <c r="V92" t="s">
        <v>103</v>
      </c>
      <c r="W92" t="s">
        <v>103</v>
      </c>
      <c r="X92" t="s">
        <v>190</v>
      </c>
      <c r="Y92" t="s">
        <v>372</v>
      </c>
      <c r="Z92" t="s">
        <v>372</v>
      </c>
    </row>
    <row r="93">
      <c r="A93" t="s">
        <v>373</v>
      </c>
      <c r="B93" t="s">
        <v>100</v>
      </c>
      <c r="C93" s="8">
        <f t="shared" si="48"/>
        <v>15.957446808510641</v>
      </c>
      <c r="D93" s="2">
        <f t="shared" si="45"/>
        <v>24.019503546099291</v>
      </c>
      <c r="E93" s="3">
        <f t="shared" si="49"/>
        <v>32.696808510638299</v>
      </c>
      <c r="G93">
        <f>22/assumptions!F6</f>
        <v>23.404255319148938</v>
      </c>
      <c r="H93">
        <f>0.01*G92</f>
        <v>15.957446808510641</v>
      </c>
      <c r="I93">
        <f>0.015*I92</f>
        <v>32.696808510638299</v>
      </c>
      <c r="V93" t="s">
        <v>103</v>
      </c>
      <c r="W93" t="s">
        <v>372</v>
      </c>
      <c r="X93" t="s">
        <v>372</v>
      </c>
    </row>
    <row r="94">
      <c r="A94" s="20" t="s">
        <v>374</v>
      </c>
      <c r="B94" t="s">
        <v>32</v>
      </c>
      <c r="C94" s="8">
        <f t="shared" si="48"/>
        <v>0.0042553191489361703</v>
      </c>
      <c r="D94" s="2">
        <f t="shared" si="45"/>
        <v>0.0042553191489361703</v>
      </c>
      <c r="E94" s="3">
        <f t="shared" si="49"/>
        <v>0.0042553191489361703</v>
      </c>
      <c r="G94">
        <f>0.004/assumptions!F6</f>
        <v>0.0042553191489361703</v>
      </c>
      <c r="V94" t="s">
        <v>103</v>
      </c>
    </row>
    <row r="95">
      <c r="A95" s="10" t="s">
        <v>375</v>
      </c>
      <c r="B95" t="s">
        <v>82</v>
      </c>
      <c r="C95" s="8">
        <f>MAX(G95:T95)</f>
        <v>0.45000000000000001</v>
      </c>
      <c r="D95" s="2">
        <f t="shared" si="45"/>
        <v>0.45000000000000001</v>
      </c>
      <c r="E95" s="3">
        <f>MIN(G95:T95)</f>
        <v>0.45000000000000001</v>
      </c>
      <c r="G95">
        <v>0.45000000000000001</v>
      </c>
      <c r="V95" t="s">
        <v>376</v>
      </c>
    </row>
    <row r="97">
      <c r="A97" s="6" t="s">
        <v>377</v>
      </c>
    </row>
    <row r="98">
      <c r="A98" t="s">
        <v>378</v>
      </c>
      <c r="B98" t="s">
        <v>379</v>
      </c>
      <c r="C98" s="1">
        <f t="shared" ref="C98:C99" si="50">MIN(F98:P98)</f>
        <v>3</v>
      </c>
      <c r="D98" s="2">
        <f t="shared" si="45"/>
        <v>4.1499999999999995</v>
      </c>
      <c r="E98" s="3">
        <f t="shared" ref="E98:E99" si="51">MAX(G98:T98)</f>
        <v>7</v>
      </c>
      <c r="G98">
        <v>3.1000000000000001</v>
      </c>
      <c r="H98">
        <v>4.7999999999999998</v>
      </c>
      <c r="I98">
        <v>3</v>
      </c>
      <c r="J98">
        <v>7</v>
      </c>
      <c r="K98">
        <v>3</v>
      </c>
      <c r="L98">
        <v>4</v>
      </c>
      <c r="V98" t="s">
        <v>380</v>
      </c>
      <c r="W98" t="s">
        <v>380</v>
      </c>
      <c r="X98" t="s">
        <v>381</v>
      </c>
      <c r="Y98" t="s">
        <v>381</v>
      </c>
      <c r="Z98" t="s">
        <v>108</v>
      </c>
      <c r="AA98" t="s">
        <v>120</v>
      </c>
    </row>
    <row r="99">
      <c r="A99" t="s">
        <v>382</v>
      </c>
      <c r="B99" t="s">
        <v>379</v>
      </c>
      <c r="C99" s="1">
        <f t="shared" si="50"/>
        <v>0.45000000000000001</v>
      </c>
      <c r="D99" s="2">
        <f t="shared" si="45"/>
        <v>0.45000000000000001</v>
      </c>
      <c r="E99" s="3">
        <f t="shared" si="51"/>
        <v>0.45000000000000001</v>
      </c>
      <c r="G99">
        <v>0.45000000000000001</v>
      </c>
      <c r="V99" t="s">
        <v>180</v>
      </c>
    </row>
    <row r="100">
      <c r="A100" t="s">
        <v>383</v>
      </c>
      <c r="B100" t="s">
        <v>384</v>
      </c>
      <c r="C100" s="1">
        <f t="shared" ref="C100:C102" si="52">MIN(F100:P100)</f>
        <v>9</v>
      </c>
      <c r="D100" s="2">
        <f t="shared" si="45"/>
        <v>10.033333333333333</v>
      </c>
      <c r="E100" s="3">
        <f t="shared" ref="E100:E102" si="53">MAX(G100:T100)</f>
        <v>11.1</v>
      </c>
      <c r="G100">
        <v>10</v>
      </c>
      <c r="H100">
        <v>9</v>
      </c>
      <c r="I100">
        <v>11.1</v>
      </c>
      <c r="V100" t="s">
        <v>161</v>
      </c>
      <c r="W100" t="s">
        <v>163</v>
      </c>
      <c r="X100" t="s">
        <v>385</v>
      </c>
    </row>
    <row r="101">
      <c r="A101" t="s">
        <v>386</v>
      </c>
      <c r="B101" t="s">
        <v>40</v>
      </c>
      <c r="C101" s="1">
        <f t="shared" si="52"/>
        <v>1.0600000000000001</v>
      </c>
      <c r="D101" s="2">
        <f t="shared" si="45"/>
        <v>1.21</v>
      </c>
      <c r="E101" s="3">
        <f t="shared" si="53"/>
        <v>1.3600000000000001</v>
      </c>
      <c r="G101">
        <v>1.0600000000000001</v>
      </c>
      <c r="H101">
        <v>1.3600000000000001</v>
      </c>
      <c r="V101" t="s">
        <v>381</v>
      </c>
      <c r="W101" t="s">
        <v>381</v>
      </c>
    </row>
    <row r="102">
      <c r="A102" t="s">
        <v>387</v>
      </c>
      <c r="B102" t="s">
        <v>388</v>
      </c>
      <c r="C102" s="1">
        <f t="shared" si="52"/>
        <v>1282</v>
      </c>
      <c r="D102" s="2">
        <f t="shared" si="45"/>
        <v>1722.4499999999998</v>
      </c>
      <c r="E102" s="3">
        <f t="shared" si="53"/>
        <v>2087.7999999999997</v>
      </c>
      <c r="G102">
        <v>1917</v>
      </c>
      <c r="H102">
        <v>1603</v>
      </c>
      <c r="I102">
        <v>1282</v>
      </c>
      <c r="J102">
        <f>5.72*365</f>
        <v>2087.7999999999997</v>
      </c>
      <c r="V102" t="s">
        <v>389</v>
      </c>
      <c r="W102" t="s">
        <v>389</v>
      </c>
      <c r="X102" t="s">
        <v>389</v>
      </c>
      <c r="Y102" t="s">
        <v>162</v>
      </c>
    </row>
    <row r="103">
      <c r="A103" t="s">
        <v>390</v>
      </c>
      <c r="B103" t="s">
        <v>67</v>
      </c>
      <c r="C103" s="1">
        <f>assumptions!C18</f>
        <v>25</v>
      </c>
      <c r="D103" s="1">
        <f>assumptions!D18</f>
        <v>25</v>
      </c>
      <c r="E103" s="1">
        <f>assumptions!E18</f>
        <v>25</v>
      </c>
      <c r="G103">
        <v>30</v>
      </c>
      <c r="V103" t="s">
        <v>389</v>
      </c>
    </row>
    <row r="108">
      <c r="A108" t="s">
        <v>391</v>
      </c>
      <c r="B108" t="s">
        <v>392</v>
      </c>
      <c r="C108" s="1">
        <f t="shared" ref="C108:C112" si="54">MIN(F108:P108)</f>
        <v>14.949999999999999</v>
      </c>
      <c r="G108">
        <v>14.949999999999999</v>
      </c>
      <c r="V108" t="s">
        <v>64</v>
      </c>
    </row>
    <row r="109">
      <c r="A109" t="s">
        <v>393</v>
      </c>
      <c r="B109" t="s">
        <v>394</v>
      </c>
      <c r="C109" s="1">
        <f t="shared" si="54"/>
        <v>0.54000000000000004</v>
      </c>
      <c r="G109">
        <v>0.54000000000000004</v>
      </c>
      <c r="V109" t="s">
        <v>64</v>
      </c>
    </row>
    <row r="110">
      <c r="A110" t="s">
        <v>395</v>
      </c>
      <c r="B110" t="s">
        <v>392</v>
      </c>
      <c r="C110" s="1">
        <f t="shared" si="54"/>
        <v>1.97</v>
      </c>
      <c r="G110">
        <v>1.97</v>
      </c>
      <c r="V110" t="s">
        <v>64</v>
      </c>
    </row>
    <row r="111">
      <c r="A111" t="s">
        <v>396</v>
      </c>
      <c r="B111" t="s">
        <v>394</v>
      </c>
      <c r="C111" s="1">
        <f t="shared" si="54"/>
        <v>0.059999999999999998</v>
      </c>
      <c r="G111">
        <v>0.059999999999999998</v>
      </c>
      <c r="V111" t="s">
        <v>64</v>
      </c>
    </row>
    <row r="112">
      <c r="A112" t="s">
        <v>397</v>
      </c>
      <c r="B112" t="s">
        <v>398</v>
      </c>
      <c r="C112" s="1">
        <f t="shared" si="54"/>
        <v>22000</v>
      </c>
      <c r="G112">
        <v>22000</v>
      </c>
      <c r="V112" t="s">
        <v>399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Tabelle1">
    <outlinePr applyStyles="0" summaryBelow="1" summaryRight="1" showOutlineSymbols="1"/>
    <pageSetUpPr autoPageBreaks="1" fitToPage="0"/>
  </sheetPr>
  <sheetViews>
    <sheetView topLeftCell="A34" zoomScale="100" workbookViewId="0">
      <selection activeCell="B59" activeCellId="0" sqref="B59"/>
    </sheetView>
  </sheetViews>
  <sheetFormatPr baseColWidth="10" defaultRowHeight="14.25"/>
  <cols>
    <col customWidth="1" min="1" max="1" width="3.796875"/>
    <col customWidth="1" min="2" max="2" width="74.6640625"/>
    <col customWidth="1" min="3" max="3" width="84.6640625"/>
    <col customWidth="1" min="4" max="4" width="61.46484375"/>
  </cols>
  <sheetData>
    <row r="1">
      <c r="A1" t="s">
        <v>400</v>
      </c>
      <c r="B1" t="s">
        <v>401</v>
      </c>
      <c r="C1" t="s">
        <v>402</v>
      </c>
      <c r="D1" t="s">
        <v>403</v>
      </c>
    </row>
    <row r="2">
      <c r="A2" t="s">
        <v>55</v>
      </c>
      <c r="B2" t="s">
        <v>404</v>
      </c>
    </row>
    <row r="3">
      <c r="A3" t="s">
        <v>154</v>
      </c>
      <c r="B3" s="21" t="s">
        <v>405</v>
      </c>
      <c r="C3" s="21"/>
      <c r="D3" s="21"/>
    </row>
    <row r="4">
      <c r="A4" t="s">
        <v>161</v>
      </c>
      <c r="B4" t="s">
        <v>406</v>
      </c>
    </row>
    <row r="5">
      <c r="A5" t="s">
        <v>163</v>
      </c>
      <c r="B5" t="s">
        <v>407</v>
      </c>
    </row>
    <row r="6">
      <c r="A6" t="s">
        <v>380</v>
      </c>
      <c r="B6" t="s">
        <v>408</v>
      </c>
    </row>
    <row r="7">
      <c r="A7" t="s">
        <v>409</v>
      </c>
      <c r="B7" t="s">
        <v>410</v>
      </c>
    </row>
    <row r="8">
      <c r="A8" t="s">
        <v>180</v>
      </c>
      <c r="B8" t="s">
        <v>411</v>
      </c>
    </row>
    <row r="9">
      <c r="A9" t="s">
        <v>385</v>
      </c>
      <c r="B9" s="22" t="s">
        <v>412</v>
      </c>
    </row>
    <row r="10">
      <c r="A10" t="s">
        <v>73</v>
      </c>
      <c r="B10" t="s">
        <v>413</v>
      </c>
    </row>
    <row r="11">
      <c r="A11" t="s">
        <v>64</v>
      </c>
      <c r="B11" s="23" t="s">
        <v>414</v>
      </c>
    </row>
    <row r="12">
      <c r="A12" t="s">
        <v>415</v>
      </c>
      <c r="B12" t="s">
        <v>416</v>
      </c>
    </row>
    <row r="13">
      <c r="A13" t="s">
        <v>399</v>
      </c>
      <c r="B13" t="s">
        <v>417</v>
      </c>
    </row>
    <row r="14">
      <c r="A14" t="s">
        <v>27</v>
      </c>
      <c r="B14" t="s">
        <v>418</v>
      </c>
    </row>
    <row r="15">
      <c r="A15" t="s">
        <v>419</v>
      </c>
      <c r="B15" t="s">
        <v>420</v>
      </c>
      <c r="D15" s="24">
        <v>45126</v>
      </c>
    </row>
    <row r="16">
      <c r="A16" t="s">
        <v>381</v>
      </c>
      <c r="B16" t="s">
        <v>421</v>
      </c>
    </row>
    <row r="17">
      <c r="A17" t="s">
        <v>45</v>
      </c>
      <c r="B17" s="21" t="s">
        <v>422</v>
      </c>
      <c r="C17" s="21"/>
      <c r="D17" s="21"/>
    </row>
    <row r="18">
      <c r="A18" t="s">
        <v>107</v>
      </c>
      <c r="B18" t="s">
        <v>423</v>
      </c>
    </row>
    <row r="19">
      <c r="A19" t="s">
        <v>181</v>
      </c>
      <c r="B19" t="s">
        <v>424</v>
      </c>
    </row>
    <row r="20">
      <c r="A20" t="s">
        <v>425</v>
      </c>
      <c r="B20" t="s">
        <v>426</v>
      </c>
    </row>
    <row r="21">
      <c r="A21" t="s">
        <v>68</v>
      </c>
      <c r="B21" t="s">
        <v>427</v>
      </c>
    </row>
    <row r="22">
      <c r="A22" t="s">
        <v>389</v>
      </c>
      <c r="B22" t="s">
        <v>428</v>
      </c>
    </row>
    <row r="23">
      <c r="A23" t="s">
        <v>120</v>
      </c>
      <c r="B23" t="s">
        <v>429</v>
      </c>
    </row>
    <row r="24">
      <c r="A24" t="s">
        <v>234</v>
      </c>
      <c r="B24" t="s">
        <v>430</v>
      </c>
    </row>
    <row r="25">
      <c r="A25" t="s">
        <v>431</v>
      </c>
      <c r="B25" t="s">
        <v>432</v>
      </c>
    </row>
    <row r="26">
      <c r="A26" t="s">
        <v>241</v>
      </c>
      <c r="B26" t="s">
        <v>433</v>
      </c>
    </row>
    <row r="27">
      <c r="A27" t="s">
        <v>434</v>
      </c>
      <c r="B27" t="s">
        <v>435</v>
      </c>
    </row>
    <row r="28">
      <c r="A28" t="s">
        <v>108</v>
      </c>
      <c r="B28" t="s">
        <v>436</v>
      </c>
    </row>
    <row r="29">
      <c r="A29" t="s">
        <v>240</v>
      </c>
      <c r="B29" t="s">
        <v>437</v>
      </c>
    </row>
    <row r="30">
      <c r="A30" t="s">
        <v>298</v>
      </c>
      <c r="B30" s="25" t="s">
        <v>438</v>
      </c>
    </row>
    <row r="31">
      <c r="A31" t="s">
        <v>299</v>
      </c>
      <c r="B31" t="s">
        <v>439</v>
      </c>
    </row>
    <row r="32">
      <c r="A32" t="s">
        <v>116</v>
      </c>
      <c r="B32" t="s">
        <v>440</v>
      </c>
    </row>
    <row r="33">
      <c r="A33" t="s">
        <v>300</v>
      </c>
      <c r="B33" t="s">
        <v>441</v>
      </c>
    </row>
    <row r="34">
      <c r="A34" t="s">
        <v>442</v>
      </c>
      <c r="B34" t="s">
        <v>443</v>
      </c>
    </row>
    <row r="35">
      <c r="A35" t="s">
        <v>313</v>
      </c>
      <c r="B35" t="s">
        <v>444</v>
      </c>
    </row>
    <row r="36">
      <c r="A36" t="s">
        <v>244</v>
      </c>
      <c r="B36" t="s">
        <v>445</v>
      </c>
    </row>
    <row r="37">
      <c r="A37" t="s">
        <v>114</v>
      </c>
      <c r="B37" t="s">
        <v>423</v>
      </c>
    </row>
    <row r="38">
      <c r="A38" t="s">
        <v>115</v>
      </c>
      <c r="B38" t="s">
        <v>446</v>
      </c>
    </row>
    <row r="39">
      <c r="A39" t="s">
        <v>185</v>
      </c>
      <c r="B39" t="s">
        <v>447</v>
      </c>
    </row>
    <row r="40">
      <c r="A40" t="s">
        <v>448</v>
      </c>
      <c r="B40" t="s">
        <v>449</v>
      </c>
    </row>
    <row r="41">
      <c r="A41" t="s">
        <v>171</v>
      </c>
      <c r="B41" t="s">
        <v>450</v>
      </c>
    </row>
    <row r="42">
      <c r="A42" t="s">
        <v>177</v>
      </c>
      <c r="B42" t="s">
        <v>451</v>
      </c>
    </row>
    <row r="43">
      <c r="A43" t="s">
        <v>65</v>
      </c>
      <c r="B43" t="s">
        <v>452</v>
      </c>
    </row>
    <row r="44">
      <c r="A44" t="s">
        <v>83</v>
      </c>
      <c r="B44" t="s">
        <v>453</v>
      </c>
    </row>
    <row r="45">
      <c r="A45" t="s">
        <v>103</v>
      </c>
      <c r="B45" t="s">
        <v>454</v>
      </c>
    </row>
    <row r="46">
      <c r="A46" t="s">
        <v>190</v>
      </c>
      <c r="B46" t="s">
        <v>455</v>
      </c>
    </row>
    <row r="47">
      <c r="A47">
        <v>46</v>
      </c>
      <c r="B47" t="s">
        <v>456</v>
      </c>
    </row>
    <row r="48">
      <c r="A48">
        <v>47</v>
      </c>
      <c r="B48" t="s">
        <v>457</v>
      </c>
    </row>
    <row r="49">
      <c r="A49">
        <v>48</v>
      </c>
      <c r="B49" t="s">
        <v>458</v>
      </c>
    </row>
    <row r="50">
      <c r="A50">
        <v>49</v>
      </c>
      <c r="B50" s="26" t="s">
        <v>459</v>
      </c>
    </row>
    <row r="51">
      <c r="A51">
        <v>50</v>
      </c>
      <c r="B51" t="s">
        <v>460</v>
      </c>
    </row>
    <row r="52">
      <c r="A52">
        <v>51</v>
      </c>
      <c r="B52" t="s">
        <v>461</v>
      </c>
    </row>
    <row r="53">
      <c r="A53">
        <v>52</v>
      </c>
      <c r="B53" t="s">
        <v>462</v>
      </c>
    </row>
    <row r="54">
      <c r="A54">
        <v>53</v>
      </c>
      <c r="B54" t="s">
        <v>463</v>
      </c>
    </row>
    <row r="55">
      <c r="A55">
        <v>54</v>
      </c>
      <c r="B55" t="s">
        <v>464</v>
      </c>
    </row>
    <row r="56">
      <c r="A56">
        <v>55</v>
      </c>
      <c r="B56" t="s">
        <v>465</v>
      </c>
    </row>
    <row r="57">
      <c r="A57">
        <v>56</v>
      </c>
      <c r="B57" t="s">
        <v>466</v>
      </c>
    </row>
    <row r="58">
      <c r="A58">
        <v>57</v>
      </c>
      <c r="B58" t="s">
        <v>467</v>
      </c>
    </row>
    <row r="59">
      <c r="A59">
        <v>58</v>
      </c>
      <c r="B59" s="26" t="s">
        <v>468</v>
      </c>
    </row>
    <row r="60">
      <c r="A60">
        <v>59</v>
      </c>
      <c r="B60" t="s">
        <v>469</v>
      </c>
    </row>
    <row r="61">
      <c r="A61">
        <v>60</v>
      </c>
      <c r="B61" t="s">
        <v>470</v>
      </c>
    </row>
    <row r="62">
      <c r="A62">
        <v>61</v>
      </c>
      <c r="B62" t="s">
        <v>471</v>
      </c>
    </row>
    <row r="63">
      <c r="A63">
        <v>62</v>
      </c>
      <c r="B63" t="s">
        <v>472</v>
      </c>
    </row>
    <row r="64">
      <c r="A64">
        <v>63</v>
      </c>
      <c r="B64" t="s">
        <v>473</v>
      </c>
    </row>
    <row r="65">
      <c r="A65">
        <v>64</v>
      </c>
      <c r="B65" s="26" t="s">
        <v>474</v>
      </c>
    </row>
    <row r="66">
      <c r="A66">
        <v>65</v>
      </c>
      <c r="B66" t="s">
        <v>475</v>
      </c>
    </row>
    <row r="67">
      <c r="A67">
        <v>66</v>
      </c>
      <c r="B67" t="s">
        <v>476</v>
      </c>
    </row>
    <row r="68">
      <c r="A68">
        <v>67</v>
      </c>
      <c r="B68" t="s">
        <v>477</v>
      </c>
    </row>
    <row r="69">
      <c r="A69">
        <v>68</v>
      </c>
      <c r="B69" t="s">
        <v>478</v>
      </c>
      <c r="C69" t="s">
        <v>479</v>
      </c>
    </row>
    <row r="70">
      <c r="A70">
        <v>69</v>
      </c>
      <c r="B70" t="s">
        <v>480</v>
      </c>
      <c r="C70" t="s">
        <v>481</v>
      </c>
    </row>
    <row r="71">
      <c r="A71">
        <v>70</v>
      </c>
      <c r="B71" t="s">
        <v>477</v>
      </c>
    </row>
    <row r="72">
      <c r="A72">
        <v>71</v>
      </c>
      <c r="B72" s="21" t="s">
        <v>482</v>
      </c>
    </row>
    <row r="73">
      <c r="A73">
        <v>72</v>
      </c>
      <c r="B73" t="s">
        <v>483</v>
      </c>
    </row>
    <row r="74">
      <c r="A74">
        <v>73</v>
      </c>
      <c r="B74" t="s">
        <v>484</v>
      </c>
    </row>
    <row r="75">
      <c r="A75">
        <v>74</v>
      </c>
      <c r="B75" t="s">
        <v>485</v>
      </c>
    </row>
    <row r="76">
      <c r="A76">
        <v>75</v>
      </c>
      <c r="B76" t="s">
        <v>486</v>
      </c>
    </row>
    <row r="77">
      <c r="A77">
        <v>76</v>
      </c>
      <c r="B77" t="s">
        <v>487</v>
      </c>
    </row>
    <row r="78">
      <c r="A78">
        <v>77</v>
      </c>
      <c r="B78" t="s">
        <v>488</v>
      </c>
    </row>
    <row r="79">
      <c r="A79">
        <v>78</v>
      </c>
      <c r="B79" t="s">
        <v>489</v>
      </c>
    </row>
    <row r="80">
      <c r="A80">
        <v>79</v>
      </c>
      <c r="B80" t="s">
        <v>490</v>
      </c>
    </row>
    <row r="81">
      <c r="A81">
        <v>80</v>
      </c>
      <c r="B81" t="s">
        <v>491</v>
      </c>
    </row>
    <row r="82">
      <c r="A82">
        <v>81</v>
      </c>
      <c r="B82" t="s">
        <v>492</v>
      </c>
    </row>
    <row r="83">
      <c r="A83">
        <v>82</v>
      </c>
      <c r="B83" t="s">
        <v>493</v>
      </c>
    </row>
    <row r="84">
      <c r="A84">
        <v>83</v>
      </c>
      <c r="B84" t="s">
        <v>494</v>
      </c>
      <c r="C84" s="26" t="s">
        <v>495</v>
      </c>
    </row>
    <row r="85">
      <c r="A85">
        <v>84</v>
      </c>
      <c r="B85" t="s">
        <v>496</v>
      </c>
    </row>
    <row r="86">
      <c r="A86">
        <v>85</v>
      </c>
      <c r="B86" t="s">
        <v>497</v>
      </c>
    </row>
    <row r="87">
      <c r="A87">
        <v>86</v>
      </c>
      <c r="B87" t="s">
        <v>498</v>
      </c>
    </row>
    <row r="88">
      <c r="A88">
        <v>87</v>
      </c>
      <c r="B88" t="s">
        <v>499</v>
      </c>
    </row>
    <row r="89">
      <c r="A89">
        <v>88</v>
      </c>
      <c r="B89" t="s">
        <v>500</v>
      </c>
    </row>
    <row r="90">
      <c r="A90">
        <v>89</v>
      </c>
      <c r="B90" t="s">
        <v>501</v>
      </c>
    </row>
    <row r="91">
      <c r="A91">
        <v>90</v>
      </c>
      <c r="B91" t="s">
        <v>502</v>
      </c>
    </row>
    <row r="92">
      <c r="A92">
        <v>91</v>
      </c>
      <c r="B92" s="26" t="s">
        <v>503</v>
      </c>
    </row>
    <row r="93">
      <c r="A93">
        <v>92</v>
      </c>
      <c r="B93" t="s">
        <v>504</v>
      </c>
    </row>
    <row r="94">
      <c r="A94">
        <v>93</v>
      </c>
      <c r="B94" t="s">
        <v>505</v>
      </c>
    </row>
    <row r="95">
      <c r="A95">
        <v>94</v>
      </c>
      <c r="B95" t="s">
        <v>506</v>
      </c>
    </row>
    <row r="96">
      <c r="A96">
        <v>95</v>
      </c>
      <c r="B96" t="s">
        <v>507</v>
      </c>
    </row>
    <row r="97">
      <c r="A97">
        <v>96</v>
      </c>
      <c r="B97" t="s">
        <v>508</v>
      </c>
    </row>
    <row r="98">
      <c r="A98">
        <v>97</v>
      </c>
      <c r="B98" s="26" t="s">
        <v>509</v>
      </c>
    </row>
    <row r="99">
      <c r="A99">
        <v>98</v>
      </c>
      <c r="B99" t="s">
        <v>510</v>
      </c>
      <c r="C99" s="26" t="s">
        <v>511</v>
      </c>
    </row>
    <row r="100">
      <c r="A100">
        <v>99</v>
      </c>
      <c r="B100" t="s">
        <v>512</v>
      </c>
    </row>
    <row r="101">
      <c r="A101">
        <v>100</v>
      </c>
      <c r="B101" t="s">
        <v>513</v>
      </c>
    </row>
    <row r="102">
      <c r="A102">
        <v>101</v>
      </c>
      <c r="B102" t="s">
        <v>514</v>
      </c>
    </row>
    <row r="103">
      <c r="A103">
        <v>102</v>
      </c>
      <c r="B103" t="s">
        <v>515</v>
      </c>
    </row>
    <row r="104">
      <c r="A104">
        <v>103</v>
      </c>
      <c r="B104" t="s">
        <v>516</v>
      </c>
    </row>
    <row r="105">
      <c r="A105">
        <v>104</v>
      </c>
    </row>
    <row r="106">
      <c r="A106">
        <v>105</v>
      </c>
    </row>
    <row r="107">
      <c r="A107">
        <v>106</v>
      </c>
    </row>
    <row r="108">
      <c r="A108">
        <v>107</v>
      </c>
    </row>
  </sheetData>
  <hyperlinks>
    <hyperlink r:id="rId1" ref="B50"/>
    <hyperlink r:id="rId2" ref="B59"/>
    <hyperlink r:id="rId3" ref="B65"/>
    <hyperlink r:id="rId4" ref="C84"/>
    <hyperlink r:id="rId5" ref="B92"/>
    <hyperlink r:id="rId6" ref="B98"/>
    <hyperlink r:id="rId7" ref="C99"/>
  </hyperlink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18" activeCellId="0" sqref="K18"/>
    </sheetView>
  </sheetViews>
  <sheetFormatPr baseColWidth="10" defaultRowHeight="14.25"/>
  <cols>
    <col customWidth="1" min="1" max="1" width="30"/>
    <col customWidth="1" min="2" max="2" width="17.33203125"/>
    <col bestFit="1" customWidth="1" min="3" max="4" width="11.6640625"/>
  </cols>
  <sheetData>
    <row r="1">
      <c r="C1" s="27" t="s">
        <v>517</v>
      </c>
      <c r="D1" s="27"/>
      <c r="E1" s="27"/>
      <c r="F1" s="27"/>
      <c r="G1" s="27"/>
      <c r="H1" s="28" t="s">
        <v>518</v>
      </c>
      <c r="I1" s="28"/>
      <c r="J1" s="28"/>
      <c r="K1" s="28"/>
      <c r="L1" s="28"/>
      <c r="M1" s="29" t="s">
        <v>519</v>
      </c>
      <c r="N1" s="29"/>
      <c r="O1" s="29"/>
      <c r="P1" s="29"/>
      <c r="Q1" s="29"/>
    </row>
    <row r="2">
      <c r="B2" t="s">
        <v>0</v>
      </c>
      <c r="C2" s="1" t="s">
        <v>147</v>
      </c>
      <c r="D2" s="1" t="s">
        <v>520</v>
      </c>
      <c r="E2" s="1" t="s">
        <v>521</v>
      </c>
      <c r="F2" s="1" t="s">
        <v>522</v>
      </c>
      <c r="G2" s="1" t="s">
        <v>523</v>
      </c>
      <c r="H2" s="3" t="s">
        <v>147</v>
      </c>
      <c r="I2" s="3" t="s">
        <v>520</v>
      </c>
      <c r="J2" s="3" t="s">
        <v>521</v>
      </c>
      <c r="K2" s="3" t="s">
        <v>522</v>
      </c>
      <c r="L2" s="3" t="s">
        <v>523</v>
      </c>
      <c r="M2" s="2" t="s">
        <v>147</v>
      </c>
      <c r="N2" s="2" t="s">
        <v>520</v>
      </c>
      <c r="O2" s="2" t="s">
        <v>521</v>
      </c>
      <c r="P2" s="2" t="s">
        <v>522</v>
      </c>
      <c r="Q2" s="2" t="s">
        <v>523</v>
      </c>
    </row>
    <row r="3">
      <c r="A3" t="s">
        <v>524</v>
      </c>
      <c r="C3" s="1" t="s">
        <v>525</v>
      </c>
      <c r="D3" s="1" t="s">
        <v>526</v>
      </c>
      <c r="E3" s="1"/>
      <c r="F3" s="1"/>
      <c r="G3" s="1"/>
      <c r="H3" s="3" t="s">
        <v>525</v>
      </c>
      <c r="I3" s="3" t="s">
        <v>526</v>
      </c>
      <c r="J3" s="3"/>
      <c r="K3" s="3"/>
      <c r="L3" s="3"/>
      <c r="M3" s="2" t="s">
        <v>525</v>
      </c>
      <c r="N3" s="2" t="s">
        <v>526</v>
      </c>
      <c r="O3" s="2"/>
      <c r="P3" s="2"/>
      <c r="Q3" s="2"/>
    </row>
    <row r="4">
      <c r="A4" t="s">
        <v>195</v>
      </c>
      <c r="B4" t="s">
        <v>196</v>
      </c>
      <c r="C4" s="1"/>
      <c r="D4" s="1"/>
      <c r="E4" s="1"/>
      <c r="F4" s="1"/>
      <c r="G4" s="1"/>
      <c r="H4" s="3"/>
      <c r="I4" s="3"/>
      <c r="J4" s="3"/>
      <c r="K4" s="3"/>
      <c r="L4" s="3"/>
      <c r="M4" s="2"/>
      <c r="N4" s="2"/>
      <c r="O4" s="2"/>
      <c r="P4" s="2"/>
      <c r="Q4" s="2"/>
    </row>
    <row r="5">
      <c r="A5" t="s">
        <v>527</v>
      </c>
      <c r="B5" t="s">
        <v>528</v>
      </c>
      <c r="C5" s="1">
        <v>73.5</v>
      </c>
      <c r="D5" s="1">
        <v>670</v>
      </c>
      <c r="E5" s="1"/>
      <c r="F5" s="1"/>
      <c r="G5" s="1"/>
      <c r="H5" s="3">
        <v>73.5</v>
      </c>
      <c r="I5" s="3">
        <v>670</v>
      </c>
      <c r="J5" s="3"/>
      <c r="K5" s="3"/>
      <c r="L5" s="3"/>
      <c r="M5" s="2">
        <v>73.5</v>
      </c>
      <c r="N5" s="2">
        <v>670</v>
      </c>
      <c r="O5" s="2"/>
      <c r="P5" s="2"/>
      <c r="Q5" s="2"/>
    </row>
    <row r="6">
      <c r="A6" t="s">
        <v>529</v>
      </c>
      <c r="B6" t="s">
        <v>530</v>
      </c>
      <c r="C6" s="1">
        <f>values!C3</f>
        <v>33.329999999999998</v>
      </c>
      <c r="D6" s="1">
        <f>values!C3</f>
        <v>33.329999999999998</v>
      </c>
      <c r="E6" s="1">
        <f>values!C3</f>
        <v>33.329999999999998</v>
      </c>
      <c r="F6" s="1">
        <f t="shared" ref="F6:G20" si="55">E6</f>
        <v>33.329999999999998</v>
      </c>
      <c r="G6" s="1">
        <f>F6</f>
        <v>33.329999999999998</v>
      </c>
      <c r="H6" s="3">
        <f>values!E3</f>
        <v>33.329999999999998</v>
      </c>
      <c r="I6" s="3">
        <f>values!E3</f>
        <v>33.329999999999998</v>
      </c>
      <c r="J6" s="3">
        <f>values!E3</f>
        <v>33.329999999999998</v>
      </c>
      <c r="K6" s="3">
        <f t="shared" ref="K6:K9" si="56">J6</f>
        <v>33.329999999999998</v>
      </c>
      <c r="L6" s="3">
        <f>K6</f>
        <v>33.329999999999998</v>
      </c>
      <c r="M6" s="2">
        <f>values!D3</f>
        <v>33.329999999999998</v>
      </c>
      <c r="N6" s="2">
        <f t="shared" ref="N6:Q9" si="57">M6</f>
        <v>33.329999999999998</v>
      </c>
      <c r="O6" s="2">
        <f t="shared" si="57"/>
        <v>33.329999999999998</v>
      </c>
      <c r="P6" s="2">
        <f t="shared" si="57"/>
        <v>33.329999999999998</v>
      </c>
      <c r="Q6" s="2">
        <f t="shared" si="57"/>
        <v>33.329999999999998</v>
      </c>
    </row>
    <row r="7">
      <c r="A7" t="s">
        <v>531</v>
      </c>
      <c r="B7" t="s">
        <v>532</v>
      </c>
      <c r="C7" s="1">
        <f>assumptions!C17</f>
        <v>25</v>
      </c>
      <c r="D7" s="1">
        <f>assumptions!C17</f>
        <v>25</v>
      </c>
      <c r="E7" s="1">
        <f>assumptions!C17</f>
        <v>25</v>
      </c>
      <c r="F7" s="1">
        <f t="shared" si="55"/>
        <v>25</v>
      </c>
      <c r="G7" s="1">
        <f>assumptions!C17</f>
        <v>25</v>
      </c>
      <c r="H7" s="3">
        <f>assumptions!E17</f>
        <v>25</v>
      </c>
      <c r="I7" s="3">
        <f>assumptions!C17</f>
        <v>25</v>
      </c>
      <c r="J7" s="3">
        <f>assumptions!C17</f>
        <v>25</v>
      </c>
      <c r="K7" s="3">
        <f t="shared" si="56"/>
        <v>25</v>
      </c>
      <c r="L7" s="3">
        <f>assumptions!C17</f>
        <v>25</v>
      </c>
      <c r="M7" s="2">
        <f>assumptions!D17</f>
        <v>25</v>
      </c>
      <c r="N7" s="2">
        <f t="shared" si="57"/>
        <v>25</v>
      </c>
      <c r="O7" s="2">
        <f t="shared" si="57"/>
        <v>25</v>
      </c>
      <c r="P7" s="2">
        <f t="shared" si="57"/>
        <v>25</v>
      </c>
      <c r="Q7" s="2">
        <f t="shared" si="57"/>
        <v>25</v>
      </c>
    </row>
    <row r="8">
      <c r="A8" t="s">
        <v>53</v>
      </c>
      <c r="B8" t="s">
        <v>533</v>
      </c>
      <c r="C8" s="1">
        <f>assumptions!C11</f>
        <v>100000</v>
      </c>
      <c r="D8" s="1">
        <f>assumptions!C11</f>
        <v>100000</v>
      </c>
      <c r="E8" s="1">
        <f t="shared" ref="E8:E20" si="58">D8</f>
        <v>100000</v>
      </c>
      <c r="F8" s="1">
        <f t="shared" si="55"/>
        <v>100000</v>
      </c>
      <c r="G8" s="1"/>
      <c r="H8" s="3">
        <f>assumptions!E11</f>
        <v>50000</v>
      </c>
      <c r="I8" s="3">
        <f>assumptions!E11</f>
        <v>50000</v>
      </c>
      <c r="J8" s="3">
        <f t="shared" ref="J8:J20" si="59">I8</f>
        <v>50000</v>
      </c>
      <c r="K8" s="3">
        <f t="shared" si="56"/>
        <v>50000</v>
      </c>
      <c r="L8" s="3">
        <f t="shared" ref="L8:L17" si="60">K8</f>
        <v>50000</v>
      </c>
      <c r="M8" s="2">
        <f>assumptions!D11</f>
        <v>78000</v>
      </c>
      <c r="N8" s="2">
        <f t="shared" si="57"/>
        <v>78000</v>
      </c>
      <c r="O8" s="2">
        <f t="shared" si="57"/>
        <v>78000</v>
      </c>
      <c r="P8" s="2">
        <f t="shared" si="57"/>
        <v>78000</v>
      </c>
      <c r="Q8" s="2">
        <f t="shared" si="57"/>
        <v>78000</v>
      </c>
    </row>
    <row r="9">
      <c r="A9" t="s">
        <v>534</v>
      </c>
      <c r="B9" t="s">
        <v>82</v>
      </c>
      <c r="C9" s="1">
        <f>values!C6</f>
        <v>0.755</v>
      </c>
      <c r="D9" s="1">
        <f>values!C6</f>
        <v>0.755</v>
      </c>
      <c r="E9" s="1">
        <f t="shared" si="58"/>
        <v>0.755</v>
      </c>
      <c r="F9" s="1">
        <f t="shared" si="55"/>
        <v>0.755</v>
      </c>
      <c r="G9" s="1">
        <f t="shared" si="55"/>
        <v>0.755</v>
      </c>
      <c r="H9" s="3">
        <f>values!E6</f>
        <v>0.64000000000000001</v>
      </c>
      <c r="I9" s="3">
        <f>H9</f>
        <v>0.64000000000000001</v>
      </c>
      <c r="J9" s="3">
        <f t="shared" si="59"/>
        <v>0.64000000000000001</v>
      </c>
      <c r="K9" s="3">
        <f t="shared" si="56"/>
        <v>0.64000000000000001</v>
      </c>
      <c r="L9" s="3">
        <f t="shared" si="60"/>
        <v>0.64000000000000001</v>
      </c>
      <c r="M9" s="2">
        <f>values!D6</f>
        <v>0.70277777777777772</v>
      </c>
      <c r="N9" s="2">
        <f t="shared" si="57"/>
        <v>0.70277777777777772</v>
      </c>
      <c r="O9" s="2">
        <f t="shared" si="57"/>
        <v>0.70277777777777772</v>
      </c>
      <c r="P9" s="2">
        <f t="shared" si="57"/>
        <v>0.70277777777777772</v>
      </c>
      <c r="Q9" s="2">
        <f t="shared" si="57"/>
        <v>0.70277777777777772</v>
      </c>
    </row>
    <row r="10">
      <c r="A10" t="s">
        <v>535</v>
      </c>
      <c r="B10" t="s">
        <v>536</v>
      </c>
      <c r="C10" s="1">
        <f>C6/C9</f>
        <v>44.145695364238406</v>
      </c>
      <c r="D10" s="1">
        <f>C6/C9</f>
        <v>44.145695364238406</v>
      </c>
      <c r="E10" s="1">
        <f t="shared" si="58"/>
        <v>44.145695364238406</v>
      </c>
      <c r="F10" s="1">
        <f t="shared" si="55"/>
        <v>44.145695364238406</v>
      </c>
      <c r="G10" s="1">
        <f t="shared" si="55"/>
        <v>44.145695364238406</v>
      </c>
      <c r="H10" s="3">
        <f t="shared" ref="H10:Q10" si="61">H6/H9</f>
        <v>52.078124999999993</v>
      </c>
      <c r="I10" s="3">
        <f t="shared" si="61"/>
        <v>52.078124999999993</v>
      </c>
      <c r="J10" s="3">
        <f t="shared" si="61"/>
        <v>52.078124999999993</v>
      </c>
      <c r="K10" s="3">
        <f t="shared" si="61"/>
        <v>52.078124999999993</v>
      </c>
      <c r="L10" s="3">
        <f t="shared" si="61"/>
        <v>52.078124999999993</v>
      </c>
      <c r="M10" s="2">
        <f t="shared" si="61"/>
        <v>47.426086956521743</v>
      </c>
      <c r="N10" s="2">
        <f t="shared" si="61"/>
        <v>47.426086956521743</v>
      </c>
      <c r="O10" s="2">
        <f t="shared" si="61"/>
        <v>47.426086956521743</v>
      </c>
      <c r="P10" s="2">
        <f t="shared" si="61"/>
        <v>47.426086956521743</v>
      </c>
      <c r="Q10" s="2">
        <f t="shared" si="61"/>
        <v>47.426086956521743</v>
      </c>
    </row>
    <row r="11">
      <c r="A11" t="s">
        <v>537</v>
      </c>
      <c r="B11" t="s">
        <v>82</v>
      </c>
      <c r="C11" s="1">
        <f>assumptions!C39/100</f>
        <v>0.02</v>
      </c>
      <c r="D11" s="1">
        <f>assumptions!C39/100</f>
        <v>0.02</v>
      </c>
      <c r="E11" s="1">
        <f t="shared" si="58"/>
        <v>0.02</v>
      </c>
      <c r="F11" s="1">
        <f t="shared" si="55"/>
        <v>0.02</v>
      </c>
      <c r="G11" s="1">
        <f t="shared" si="55"/>
        <v>0.02</v>
      </c>
      <c r="H11" s="3">
        <f>assumptions!E39/100</f>
        <v>0.050000000000000003</v>
      </c>
      <c r="I11" s="3">
        <f>H11</f>
        <v>0.050000000000000003</v>
      </c>
      <c r="J11" s="3">
        <f>I11</f>
        <v>0.050000000000000003</v>
      </c>
      <c r="K11" s="3">
        <f t="shared" ref="K11:K20" si="62">J11</f>
        <v>0.050000000000000003</v>
      </c>
      <c r="L11" s="3">
        <f>K11</f>
        <v>0.050000000000000003</v>
      </c>
      <c r="M11" s="2">
        <f>assumptions!D39/100</f>
        <v>0.033333333333333333</v>
      </c>
      <c r="N11" s="2">
        <f>M11</f>
        <v>0.033333333333333333</v>
      </c>
      <c r="O11" s="2">
        <f t="shared" ref="O11:Q20" si="63">N11</f>
        <v>0.033333333333333333</v>
      </c>
      <c r="P11" s="2">
        <f t="shared" si="63"/>
        <v>0.033333333333333333</v>
      </c>
      <c r="Q11" s="2">
        <f t="shared" si="63"/>
        <v>0.033333333333333333</v>
      </c>
    </row>
    <row r="12">
      <c r="A12" t="s">
        <v>538</v>
      </c>
      <c r="B12" t="s">
        <v>82</v>
      </c>
      <c r="C12" s="1">
        <f>(assumptions!C13*(1+assumptions!C13)^Elektrolyser!C7)/(((1+assumptions!C13)^Elektrolyser!C7)-1)</f>
        <v>0.093678779051968114</v>
      </c>
      <c r="D12" s="1">
        <f>(assumptions!C13*(1+assumptions!C13)^Elektrolyser!D7)/(((1+assumptions!C13)^Elektrolyser!D7)-1)</f>
        <v>0.093678779051968114</v>
      </c>
      <c r="E12" s="1">
        <f t="shared" si="58"/>
        <v>0.093678779051968114</v>
      </c>
      <c r="F12" s="1">
        <f t="shared" si="55"/>
        <v>0.093678779051968114</v>
      </c>
      <c r="G12" s="1">
        <f t="shared" si="55"/>
        <v>0.093678779051968114</v>
      </c>
      <c r="H12" s="3">
        <f>(assumptions!E13*(1+assumptions!E13)^Elektrolyser!H7)/(((1+assumptions!E13)^Elektrolyser!H7)-1)</f>
        <v>0.093678779051968114</v>
      </c>
      <c r="I12" s="3">
        <f>(assumptions!E13*(1+assumptions!E13)^Elektrolyser!I7)/(((1+assumptions!E13)^Elektrolyser!I7)-1)</f>
        <v>0.093678779051968114</v>
      </c>
      <c r="J12" s="3">
        <f t="shared" si="59"/>
        <v>0.093678779051968114</v>
      </c>
      <c r="K12" s="3">
        <f t="shared" si="62"/>
        <v>0.093678779051968114</v>
      </c>
      <c r="L12" s="3">
        <f t="shared" si="60"/>
        <v>0.093678779051968114</v>
      </c>
      <c r="M12" s="2">
        <f>(assumptions!D13*(1+assumptions!D13)^Elektrolyser!M7)/(((1+assumptions!D13)^Elektrolyser!M7)-1)</f>
        <v>0.093678779051968114</v>
      </c>
      <c r="N12" s="2">
        <f>(assumptions!D13*(1+assumptions!D13)^Elektrolyser!N7)/(((1+assumptions!D13)^Elektrolyser!N7)-1)</f>
        <v>0.093678779051968114</v>
      </c>
      <c r="O12" s="2">
        <f t="shared" si="63"/>
        <v>0.093678779051968114</v>
      </c>
      <c r="P12" s="2">
        <f t="shared" si="63"/>
        <v>0.093678779051968114</v>
      </c>
      <c r="Q12" s="2">
        <f t="shared" si="63"/>
        <v>0.093678779051968114</v>
      </c>
    </row>
    <row r="13">
      <c r="A13" t="s">
        <v>47</v>
      </c>
      <c r="B13" t="s">
        <v>539</v>
      </c>
      <c r="C13" s="1">
        <f>assumptions!C8</f>
        <v>5500</v>
      </c>
      <c r="D13" s="1">
        <f>assumptions!C8</f>
        <v>5500</v>
      </c>
      <c r="E13" s="1">
        <f t="shared" si="58"/>
        <v>5500</v>
      </c>
      <c r="F13" s="1">
        <f t="shared" si="55"/>
        <v>5500</v>
      </c>
      <c r="G13" s="1">
        <f t="shared" si="55"/>
        <v>5500</v>
      </c>
      <c r="H13" s="3">
        <f>assumptions!E8</f>
        <v>2900</v>
      </c>
      <c r="I13" s="3">
        <f>assumptions!E8</f>
        <v>2900</v>
      </c>
      <c r="J13" s="3">
        <f t="shared" si="59"/>
        <v>2900</v>
      </c>
      <c r="K13" s="3">
        <f t="shared" si="62"/>
        <v>2900</v>
      </c>
      <c r="L13" s="3">
        <f t="shared" si="60"/>
        <v>2900</v>
      </c>
      <c r="M13" s="2">
        <f>assumptions!D8</f>
        <v>4200</v>
      </c>
      <c r="N13" s="2">
        <f>assumptions!D8</f>
        <v>4200</v>
      </c>
      <c r="O13" s="2">
        <f t="shared" si="63"/>
        <v>4200</v>
      </c>
      <c r="P13" s="2">
        <f t="shared" si="63"/>
        <v>4200</v>
      </c>
      <c r="Q13" s="2">
        <f t="shared" si="63"/>
        <v>4200</v>
      </c>
    </row>
    <row r="14">
      <c r="A14" t="s">
        <v>540</v>
      </c>
      <c r="B14" t="s">
        <v>541</v>
      </c>
      <c r="C14" s="1">
        <f>values!C5/C9</f>
        <v>663.66070170494572</v>
      </c>
      <c r="D14" s="1">
        <f>values!C5/C9</f>
        <v>663.66070170494572</v>
      </c>
      <c r="E14" s="1">
        <f t="shared" si="58"/>
        <v>663.66070170494572</v>
      </c>
      <c r="F14" s="1">
        <f t="shared" si="55"/>
        <v>663.66070170494572</v>
      </c>
      <c r="G14" s="1">
        <f t="shared" si="55"/>
        <v>663.66070170494572</v>
      </c>
      <c r="H14" s="3">
        <f>values!E5/H9</f>
        <v>2343.75</v>
      </c>
      <c r="I14" s="3">
        <f>values!E5/I9</f>
        <v>2343.75</v>
      </c>
      <c r="J14" s="3">
        <f t="shared" si="59"/>
        <v>2343.75</v>
      </c>
      <c r="K14" s="3">
        <f t="shared" si="62"/>
        <v>2343.75</v>
      </c>
      <c r="L14" s="3">
        <f t="shared" si="60"/>
        <v>2343.75</v>
      </c>
      <c r="M14" s="2">
        <f>values!D5/M9</f>
        <v>1171.6592380792197</v>
      </c>
      <c r="N14" s="2">
        <f>values!D5/N9</f>
        <v>1171.6592380792197</v>
      </c>
      <c r="O14" s="2">
        <f t="shared" si="63"/>
        <v>1171.6592380792197</v>
      </c>
      <c r="P14" s="2">
        <f t="shared" si="63"/>
        <v>1171.6592380792197</v>
      </c>
      <c r="Q14" s="2">
        <f t="shared" si="63"/>
        <v>1171.6592380792197</v>
      </c>
    </row>
    <row r="15">
      <c r="A15" t="s">
        <v>542</v>
      </c>
      <c r="B15" t="s">
        <v>543</v>
      </c>
      <c r="C15" s="1">
        <f>C12*Elektrolyser!C14*Elektrolyser!C6/(C13)</f>
        <v>0.37675580089737987</v>
      </c>
      <c r="D15" s="1">
        <f>D12*Elektrolyser!D14*Elektrolyser!D6/(D13)</f>
        <v>0.37675580089737987</v>
      </c>
      <c r="E15" s="1">
        <f t="shared" si="58"/>
        <v>0.37675580089737987</v>
      </c>
      <c r="F15" s="1">
        <f t="shared" si="55"/>
        <v>0.37675580089737987</v>
      </c>
      <c r="G15" s="1">
        <f t="shared" si="55"/>
        <v>0.37675580089737987</v>
      </c>
      <c r="H15" s="3">
        <f>H12*Elektrolyser!H14*Elektrolyser!H6/(H13)</f>
        <v>2.523421637232298</v>
      </c>
      <c r="I15" s="3">
        <f>I12*Elektrolyser!I14*Elektrolyser!I6/(I13)</f>
        <v>2.523421637232298</v>
      </c>
      <c r="J15" s="3">
        <f t="shared" si="59"/>
        <v>2.523421637232298</v>
      </c>
      <c r="K15" s="3">
        <f t="shared" si="62"/>
        <v>2.523421637232298</v>
      </c>
      <c r="L15" s="3">
        <f t="shared" si="60"/>
        <v>2.523421637232298</v>
      </c>
      <c r="M15" s="2">
        <f>M12*Elektrolyser!M14*Elektrolyser!M6/(M13)</f>
        <v>0.8710208803772358</v>
      </c>
      <c r="N15" s="2">
        <f>N12*Elektrolyser!N14*Elektrolyser!N6/(N13)</f>
        <v>0.8710208803772358</v>
      </c>
      <c r="O15" s="2">
        <f t="shared" si="63"/>
        <v>0.8710208803772358</v>
      </c>
      <c r="P15" s="2">
        <f t="shared" si="63"/>
        <v>0.8710208803772358</v>
      </c>
      <c r="Q15" s="2">
        <f t="shared" si="63"/>
        <v>0.8710208803772358</v>
      </c>
    </row>
    <row r="16">
      <c r="A16" t="s">
        <v>544</v>
      </c>
      <c r="B16" t="s">
        <v>543</v>
      </c>
      <c r="C16" s="1">
        <f>(C11/(C12))*C15</f>
        <v>0.080435677046639426</v>
      </c>
      <c r="D16" s="1">
        <f>(D11/(D12))*D15</f>
        <v>0.080435677046639426</v>
      </c>
      <c r="E16" s="1">
        <f t="shared" si="58"/>
        <v>0.080435677046639426</v>
      </c>
      <c r="F16" s="1">
        <f t="shared" si="55"/>
        <v>0.080435677046639426</v>
      </c>
      <c r="G16" s="1">
        <f t="shared" si="55"/>
        <v>0.080435677046639426</v>
      </c>
      <c r="H16" s="3">
        <f>(H11/(H12))*H15</f>
        <v>1.3468480603448274</v>
      </c>
      <c r="I16" s="3">
        <f>(I11/(I12))*I15</f>
        <v>1.3468480603448274</v>
      </c>
      <c r="J16" s="3">
        <f t="shared" si="59"/>
        <v>1.3468480603448274</v>
      </c>
      <c r="K16" s="3">
        <f t="shared" si="62"/>
        <v>1.3468480603448274</v>
      </c>
      <c r="L16" s="3">
        <f t="shared" si="60"/>
        <v>1.3468480603448274</v>
      </c>
      <c r="M16" s="2">
        <f>(M11/(M12))*M15</f>
        <v>0.30993176512047932</v>
      </c>
      <c r="N16" s="2">
        <f>(N11/(N12))*N15</f>
        <v>0.30993176512047932</v>
      </c>
      <c r="O16" s="2">
        <f t="shared" si="63"/>
        <v>0.30993176512047932</v>
      </c>
      <c r="P16" s="2">
        <f t="shared" si="63"/>
        <v>0.30993176512047932</v>
      </c>
      <c r="Q16" s="2">
        <f t="shared" si="63"/>
        <v>0.30993176512047932</v>
      </c>
    </row>
    <row r="17">
      <c r="A17" t="s">
        <v>545</v>
      </c>
      <c r="B17" t="s">
        <v>543</v>
      </c>
      <c r="C17" s="1">
        <f>assumptions!C4*Elektrolyser!C6/(Elektrolyser!C9)</f>
        <v>0.44145695364238408</v>
      </c>
      <c r="D17" s="1">
        <f>assumptions!F4*Elektrolyser!D6/(Elektrolyser!D9)</f>
        <v>0.44145695364238408</v>
      </c>
      <c r="E17" s="1">
        <f t="shared" si="58"/>
        <v>0.44145695364238408</v>
      </c>
      <c r="F17" s="1">
        <f t="shared" si="55"/>
        <v>0.44145695364238408</v>
      </c>
      <c r="G17" s="1">
        <f t="shared" si="55"/>
        <v>0.44145695364238408</v>
      </c>
      <c r="H17" s="3">
        <f>assumptions!E4*Elektrolyser!H6/(Elektrolyser!H9)</f>
        <v>3.64546875</v>
      </c>
      <c r="I17" s="3">
        <f>assumptions!E4*Elektrolyser!I6/(Elektrolyser!I9)</f>
        <v>3.64546875</v>
      </c>
      <c r="J17" s="3">
        <f t="shared" si="59"/>
        <v>3.64546875</v>
      </c>
      <c r="K17" s="3">
        <f t="shared" si="62"/>
        <v>3.64546875</v>
      </c>
      <c r="L17" s="3">
        <f t="shared" si="60"/>
        <v>3.64546875</v>
      </c>
      <c r="M17" s="2">
        <f>assumptions!D4*Elektrolyser!M6/(Elektrolyser!M9)</f>
        <v>1.8970434782608696</v>
      </c>
      <c r="N17" s="2">
        <f>assumptions!D4*Elektrolyser!N6/(Elektrolyser!N9)</f>
        <v>1.8970434782608696</v>
      </c>
      <c r="O17" s="2">
        <f t="shared" si="63"/>
        <v>1.8970434782608696</v>
      </c>
      <c r="P17" s="2">
        <f t="shared" si="63"/>
        <v>1.8970434782608696</v>
      </c>
      <c r="Q17" s="2">
        <f t="shared" si="63"/>
        <v>1.8970434782608696</v>
      </c>
    </row>
    <row r="18">
      <c r="C18" s="1"/>
      <c r="D18" s="1"/>
      <c r="E18" s="1"/>
      <c r="F18" s="1"/>
      <c r="G18" s="1"/>
      <c r="H18" s="3"/>
      <c r="I18" s="3"/>
      <c r="J18" s="3"/>
      <c r="K18" s="3"/>
      <c r="L18" s="3"/>
      <c r="M18" s="2"/>
      <c r="N18" s="2"/>
      <c r="O18" s="2"/>
      <c r="P18" s="2"/>
      <c r="Q18" s="2"/>
    </row>
    <row r="19">
      <c r="A19" t="s">
        <v>546</v>
      </c>
      <c r="B19" t="s">
        <v>543</v>
      </c>
      <c r="C19" s="1">
        <f>C15+C16+C17</f>
        <v>0.8986484315864034</v>
      </c>
      <c r="D19" s="1">
        <f>D15+D16+D17</f>
        <v>0.8986484315864034</v>
      </c>
      <c r="E19" s="1">
        <f t="shared" si="58"/>
        <v>0.8986484315864034</v>
      </c>
      <c r="F19" s="1">
        <f>E19</f>
        <v>0.8986484315864034</v>
      </c>
      <c r="G19" s="1">
        <f>F19</f>
        <v>0.8986484315864034</v>
      </c>
      <c r="H19" s="3">
        <f>H15+H16+H17</f>
        <v>7.5157384475771254</v>
      </c>
      <c r="I19" s="3">
        <f>I15+I16+I17</f>
        <v>7.5157384475771254</v>
      </c>
      <c r="J19" s="3">
        <f t="shared" si="59"/>
        <v>7.5157384475771254</v>
      </c>
      <c r="K19" s="3">
        <f t="shared" si="62"/>
        <v>7.5157384475771254</v>
      </c>
      <c r="L19" s="3">
        <f t="shared" ref="L19:L20" si="64">K19</f>
        <v>7.5157384475771254</v>
      </c>
      <c r="M19" s="2">
        <f>M15+M16+M17</f>
        <v>3.0779961237585844</v>
      </c>
      <c r="N19" s="2">
        <f>N15+N16+N17</f>
        <v>3.0779961237585844</v>
      </c>
      <c r="O19" s="2">
        <f t="shared" si="63"/>
        <v>3.0779961237585844</v>
      </c>
      <c r="P19" s="2">
        <f t="shared" ref="P19:P20" si="65">O19</f>
        <v>3.0779961237585844</v>
      </c>
      <c r="Q19" s="2">
        <f t="shared" ref="Q19:Q20" si="66">P19</f>
        <v>3.0779961237585844</v>
      </c>
    </row>
    <row r="20">
      <c r="A20" t="s">
        <v>547</v>
      </c>
      <c r="B20" t="s">
        <v>548</v>
      </c>
      <c r="C20" s="1">
        <f>C19/C6</f>
        <v>0.026962149162508355</v>
      </c>
      <c r="D20" s="1">
        <f>D19/D6</f>
        <v>0.026962149162508355</v>
      </c>
      <c r="E20" s="1">
        <f t="shared" si="58"/>
        <v>0.026962149162508355</v>
      </c>
      <c r="F20" s="1">
        <f t="shared" si="55"/>
        <v>0.026962149162508355</v>
      </c>
      <c r="G20" s="1">
        <f t="shared" si="55"/>
        <v>0.026962149162508355</v>
      </c>
      <c r="H20" s="3">
        <f>H19/H6</f>
        <v>0.22549470289760354</v>
      </c>
      <c r="I20" s="3">
        <f>I19/I6</f>
        <v>0.22549470289760354</v>
      </c>
      <c r="J20" s="3">
        <f t="shared" si="59"/>
        <v>0.22549470289760354</v>
      </c>
      <c r="K20" s="3">
        <f t="shared" si="62"/>
        <v>0.22549470289760354</v>
      </c>
      <c r="L20" s="3">
        <f t="shared" si="64"/>
        <v>0.22549470289760354</v>
      </c>
      <c r="M20" s="2">
        <f>M19/M6</f>
        <v>0.092349118624620002</v>
      </c>
      <c r="N20" s="2">
        <f>N19/N6</f>
        <v>0.092349118624620002</v>
      </c>
      <c r="O20" s="2">
        <f t="shared" si="63"/>
        <v>0.092349118624620002</v>
      </c>
      <c r="P20" s="2">
        <f t="shared" si="65"/>
        <v>0.092349118624620002</v>
      </c>
      <c r="Q20" s="2">
        <f t="shared" si="66"/>
        <v>0.092349118624620002</v>
      </c>
    </row>
    <row r="22">
      <c r="A22" t="s">
        <v>549</v>
      </c>
      <c r="B22" t="s">
        <v>368</v>
      </c>
    </row>
    <row r="23">
      <c r="B23" t="s">
        <v>550</v>
      </c>
      <c r="C23">
        <f>'Storage 1'!C21</f>
        <v>11760000</v>
      </c>
      <c r="D23">
        <f>Conversion!C32</f>
        <v>19296000</v>
      </c>
      <c r="E23">
        <f>Conversion!D32</f>
        <v>8673280</v>
      </c>
      <c r="F23">
        <f>Conversion!E32</f>
        <v>35046239.666701719</v>
      </c>
      <c r="G23">
        <f>Conversion!F32</f>
        <v>8016521.7353735371</v>
      </c>
      <c r="H23">
        <f>'Storage 1'!H21</f>
        <v>11760000</v>
      </c>
      <c r="I23">
        <f>Conversion!G32</f>
        <v>19296000</v>
      </c>
      <c r="J23">
        <f>Conversion!H32</f>
        <v>8673280</v>
      </c>
      <c r="K23">
        <f>Conversion!I32</f>
        <v>36448089.253369786</v>
      </c>
      <c r="L23">
        <f>Conversion!J32</f>
        <v>8016521.7353735371</v>
      </c>
      <c r="M23">
        <f>'Storage 1'!M21</f>
        <v>11760000</v>
      </c>
      <c r="N23">
        <f>Conversion!K32</f>
        <v>19296000</v>
      </c>
      <c r="O23">
        <f>Conversion!L32</f>
        <v>8673280</v>
      </c>
      <c r="P23">
        <f>Conversion!M32</f>
        <v>35655739.486992188</v>
      </c>
      <c r="Q23">
        <f>Conversion!N32</f>
        <v>8016521.7353735371</v>
      </c>
    </row>
    <row r="24">
      <c r="B24" t="s">
        <v>551</v>
      </c>
      <c r="C24">
        <f>'Storage 1'!C22</f>
        <v>11388155.295529554</v>
      </c>
      <c r="D24">
        <f>Conversion!C33</f>
        <v>18866991.323076922</v>
      </c>
      <c r="E24">
        <f>Conversion!D33</f>
        <v>8041236.8955295533</v>
      </c>
      <c r="F24">
        <f>Conversion!E33</f>
        <v>34569515.686611399</v>
      </c>
      <c r="G24">
        <f>Conversion!F33</f>
        <v>7820575.4270611051</v>
      </c>
      <c r="H24">
        <f>'Storage 1'!H22</f>
        <v>11388155.295529554</v>
      </c>
      <c r="I24">
        <f>Conversion!G33</f>
        <v>18866991.323076922</v>
      </c>
      <c r="J24">
        <f>Conversion!H33</f>
        <v>8041236.8955295533</v>
      </c>
      <c r="K24">
        <f>Conversion!I33</f>
        <v>35871931.592612289</v>
      </c>
      <c r="L24">
        <f>Conversion!J33</f>
        <v>7820575.4270611051</v>
      </c>
      <c r="M24">
        <f>'Storage 1'!M22</f>
        <v>11388155.295529554</v>
      </c>
      <c r="N24">
        <f>Conversion!K33</f>
        <v>18866991.323076922</v>
      </c>
      <c r="O24">
        <f>Conversion!L33</f>
        <v>8041236.8955295533</v>
      </c>
      <c r="P24">
        <f>Conversion!M33</f>
        <v>35170724.655074209</v>
      </c>
      <c r="Q24">
        <f>Conversion!N33</f>
        <v>7820575.4270611051</v>
      </c>
    </row>
    <row r="25">
      <c r="B25" t="s">
        <v>552</v>
      </c>
      <c r="C25">
        <f>'Storage 1'!C23</f>
        <v>10837611.761176117</v>
      </c>
      <c r="D25">
        <f>Conversion!C34</f>
        <v>18231812.307692308</v>
      </c>
      <c r="E25">
        <f>Conversion!D34</f>
        <v>7230494.961176117</v>
      </c>
      <c r="F25">
        <f>Conversion!E34</f>
        <v>33863690.642568536</v>
      </c>
      <c r="G25">
        <f>Conversion!F34</f>
        <v>7530462.4529487956</v>
      </c>
      <c r="H25">
        <f>'Storage 1'!H23</f>
        <v>10837611.761176117</v>
      </c>
      <c r="I25">
        <f>Conversion!G34</f>
        <v>18231812.307692308</v>
      </c>
      <c r="J25">
        <f>Conversion!H34</f>
        <v>7230494.961176117</v>
      </c>
      <c r="K25">
        <f>Conversion!I34</f>
        <v>35191769.274110451</v>
      </c>
      <c r="L25">
        <f>Conversion!J34</f>
        <v>7530462.4529487956</v>
      </c>
      <c r="M25">
        <f>'Storage 1'!M23</f>
        <v>10837611.761176117</v>
      </c>
      <c r="N25">
        <f>Conversion!K34</f>
        <v>18231812.307692308</v>
      </c>
      <c r="O25">
        <f>Conversion!L34</f>
        <v>7230494.961176117</v>
      </c>
      <c r="P25">
        <f>Conversion!M34</f>
        <v>34452624.392874077</v>
      </c>
      <c r="Q25">
        <f>Conversion!N34</f>
        <v>7530462.4529487956</v>
      </c>
    </row>
    <row r="26">
      <c r="B26" t="s">
        <v>553</v>
      </c>
      <c r="C26">
        <f>'Storage 1'!C24</f>
        <v>9579163.0363036301</v>
      </c>
      <c r="D26">
        <f>Conversion!C35</f>
        <v>16779901.29230769</v>
      </c>
      <c r="E26">
        <f>Conversion!D35</f>
        <v>5191451.0363036301</v>
      </c>
      <c r="F26">
        <f>Conversion!E35</f>
        <v>32250294.841449961</v>
      </c>
      <c r="G26">
        <f>Conversion!F35</f>
        <v>6867313.6199153289</v>
      </c>
      <c r="H26">
        <f>'Storage 1'!H24</f>
        <v>9579163.0363036301</v>
      </c>
      <c r="I26">
        <f>Conversion!G35</f>
        <v>16779901.29230769</v>
      </c>
      <c r="J26">
        <f>Conversion!H35</f>
        <v>5191451.0363036301</v>
      </c>
      <c r="K26">
        <f>Conversion!I35</f>
        <v>33685072.682940289</v>
      </c>
      <c r="L26">
        <f>Conversion!J35</f>
        <v>6867313.6199153289</v>
      </c>
      <c r="M26">
        <f>'Storage 1'!M24</f>
        <v>9579163.0363036301</v>
      </c>
      <c r="N26">
        <f>Conversion!K35</f>
        <v>16779901.29230769</v>
      </c>
      <c r="O26">
        <f>Conversion!L35</f>
        <v>5191451.0363036301</v>
      </c>
      <c r="P26">
        <f>Conversion!M35</f>
        <v>32811169.534344744</v>
      </c>
      <c r="Q26">
        <f>Conversion!N35</f>
        <v>6867313.6199153289</v>
      </c>
    </row>
    <row r="28">
      <c r="A28" s="30" t="s">
        <v>554</v>
      </c>
      <c r="B28" s="30" t="s">
        <v>555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>
      <c r="A29" s="30"/>
      <c r="B29" s="30" t="s">
        <v>550</v>
      </c>
      <c r="C29" s="30">
        <f t="shared" ref="C29:Q29" si="67">C23*C6</f>
        <v>391960800</v>
      </c>
      <c r="D29" s="30">
        <f t="shared" si="67"/>
        <v>643135680</v>
      </c>
      <c r="E29" s="30">
        <f t="shared" si="67"/>
        <v>289080422.39999998</v>
      </c>
      <c r="F29" s="30">
        <f t="shared" si="67"/>
        <v>1168091168.0911682</v>
      </c>
      <c r="G29" s="30">
        <f t="shared" si="67"/>
        <v>267190669.43999997</v>
      </c>
      <c r="H29" s="30">
        <f t="shared" si="67"/>
        <v>391960800</v>
      </c>
      <c r="I29" s="30">
        <f t="shared" si="67"/>
        <v>643135680</v>
      </c>
      <c r="J29" s="30">
        <f t="shared" si="67"/>
        <v>289080422.39999998</v>
      </c>
      <c r="K29" s="30">
        <f t="shared" si="67"/>
        <v>1214814814.8148148</v>
      </c>
      <c r="L29" s="30">
        <f t="shared" si="67"/>
        <v>267190669.43999997</v>
      </c>
      <c r="M29" s="30">
        <f t="shared" si="67"/>
        <v>391960800</v>
      </c>
      <c r="N29" s="30">
        <f t="shared" si="67"/>
        <v>643135680</v>
      </c>
      <c r="O29" s="30">
        <f t="shared" si="67"/>
        <v>289080422.39999998</v>
      </c>
      <c r="P29" s="30">
        <f t="shared" si="67"/>
        <v>1188405797.1014495</v>
      </c>
      <c r="Q29" s="30">
        <f t="shared" si="67"/>
        <v>267190669.43999997</v>
      </c>
    </row>
    <row r="30">
      <c r="A30" s="30"/>
      <c r="B30" s="30" t="s">
        <v>551</v>
      </c>
      <c r="C30" s="30">
        <f t="shared" ref="C30:Q30" si="68">C24*C6</f>
        <v>379567216</v>
      </c>
      <c r="D30" s="30">
        <f t="shared" si="68"/>
        <v>628836820.79815376</v>
      </c>
      <c r="E30" s="30">
        <f t="shared" si="68"/>
        <v>268014425.72799999</v>
      </c>
      <c r="F30" s="30">
        <f t="shared" si="68"/>
        <v>1152201957.8347578</v>
      </c>
      <c r="G30" s="30">
        <f t="shared" si="68"/>
        <v>260659778.98394662</v>
      </c>
      <c r="H30" s="30">
        <f t="shared" si="68"/>
        <v>379567216</v>
      </c>
      <c r="I30" s="30">
        <f t="shared" si="68"/>
        <v>628836820.79815376</v>
      </c>
      <c r="J30" s="30">
        <f t="shared" si="68"/>
        <v>268014425.72799999</v>
      </c>
      <c r="K30" s="30">
        <f t="shared" si="68"/>
        <v>1195611479.9817674</v>
      </c>
      <c r="L30" s="30">
        <f t="shared" si="68"/>
        <v>260659778.98394662</v>
      </c>
      <c r="M30" s="30">
        <f t="shared" si="68"/>
        <v>379567216</v>
      </c>
      <c r="N30" s="30">
        <f t="shared" si="68"/>
        <v>628836820.79815376</v>
      </c>
      <c r="O30" s="30">
        <f t="shared" si="68"/>
        <v>268014425.72799999</v>
      </c>
      <c r="P30" s="30">
        <f t="shared" si="68"/>
        <v>1172240252.7536232</v>
      </c>
      <c r="Q30" s="30">
        <f t="shared" si="68"/>
        <v>260659778.98394662</v>
      </c>
    </row>
    <row r="31">
      <c r="A31" s="30"/>
      <c r="B31" s="30" t="s">
        <v>552</v>
      </c>
      <c r="C31" s="30">
        <f t="shared" ref="C31:Q31" si="69">C25*C6</f>
        <v>361217599.99999994</v>
      </c>
      <c r="D31" s="30">
        <f t="shared" si="69"/>
        <v>607666304.2153846</v>
      </c>
      <c r="E31" s="30">
        <f t="shared" si="69"/>
        <v>240992397.05599996</v>
      </c>
      <c r="F31" s="30">
        <f t="shared" si="69"/>
        <v>1128676809.1168094</v>
      </c>
      <c r="G31" s="30">
        <f t="shared" si="69"/>
        <v>250990313.55678335</v>
      </c>
      <c r="H31" s="30">
        <f t="shared" si="69"/>
        <v>361217599.99999994</v>
      </c>
      <c r="I31" s="30">
        <f t="shared" si="69"/>
        <v>607666304.2153846</v>
      </c>
      <c r="J31" s="30">
        <f t="shared" si="69"/>
        <v>240992397.05599996</v>
      </c>
      <c r="K31" s="30">
        <f t="shared" si="69"/>
        <v>1172941669.9061012</v>
      </c>
      <c r="L31" s="30">
        <f t="shared" si="69"/>
        <v>250990313.55678335</v>
      </c>
      <c r="M31" s="30">
        <f t="shared" si="69"/>
        <v>361217599.99999994</v>
      </c>
      <c r="N31" s="30">
        <f t="shared" si="69"/>
        <v>607666304.2153846</v>
      </c>
      <c r="O31" s="30">
        <f t="shared" si="69"/>
        <v>240992397.05599996</v>
      </c>
      <c r="P31" s="30">
        <f t="shared" si="69"/>
        <v>1148305971.014493</v>
      </c>
      <c r="Q31" s="30">
        <f t="shared" si="69"/>
        <v>250990313.55678335</v>
      </c>
    </row>
    <row r="32">
      <c r="A32" s="30"/>
      <c r="B32" s="30" t="s">
        <v>553</v>
      </c>
      <c r="C32" s="30">
        <f t="shared" ref="C32:Q32" si="70">C26*C6</f>
        <v>319273504</v>
      </c>
      <c r="D32" s="30">
        <f t="shared" si="70"/>
        <v>559274110.07261527</v>
      </c>
      <c r="E32" s="30">
        <f t="shared" si="70"/>
        <v>173031063.03999999</v>
      </c>
      <c r="F32" s="30">
        <f t="shared" si="70"/>
        <v>1074902327.0655272</v>
      </c>
      <c r="G32" s="30">
        <f t="shared" si="70"/>
        <v>228887562.95177791</v>
      </c>
      <c r="H32" s="30">
        <f t="shared" si="70"/>
        <v>319273504</v>
      </c>
      <c r="I32" s="30">
        <f t="shared" si="70"/>
        <v>559274110.07261527</v>
      </c>
      <c r="J32" s="30">
        <f t="shared" si="70"/>
        <v>173031063.03999999</v>
      </c>
      <c r="K32" s="30">
        <f t="shared" si="70"/>
        <v>1122723472.5223999</v>
      </c>
      <c r="L32" s="30">
        <f t="shared" si="70"/>
        <v>228887562.95177791</v>
      </c>
      <c r="M32" s="30">
        <f t="shared" si="70"/>
        <v>319273504</v>
      </c>
      <c r="N32" s="30">
        <f t="shared" si="70"/>
        <v>559274110.07261527</v>
      </c>
      <c r="O32" s="30">
        <f t="shared" si="70"/>
        <v>173031063.03999999</v>
      </c>
      <c r="P32" s="30">
        <f t="shared" si="70"/>
        <v>1093596280.5797102</v>
      </c>
      <c r="Q32" s="30">
        <f t="shared" si="70"/>
        <v>228887562.95177791</v>
      </c>
    </row>
    <row r="34">
      <c r="A34" s="30" t="s">
        <v>556</v>
      </c>
      <c r="B34" s="30" t="s">
        <v>555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>
      <c r="A35" s="30"/>
      <c r="B35" s="30" t="s">
        <v>550</v>
      </c>
      <c r="C35" s="30">
        <f t="shared" ref="C35:Q35" si="71">C29/C9</f>
        <v>519153377.48344368</v>
      </c>
      <c r="D35" s="30">
        <f t="shared" si="71"/>
        <v>851835337.74834442</v>
      </c>
      <c r="E35" s="30">
        <f t="shared" si="71"/>
        <v>382887976.68874168</v>
      </c>
      <c r="F35" s="30">
        <f t="shared" si="71"/>
        <v>1547140619.9883022</v>
      </c>
      <c r="G35" s="30">
        <f t="shared" si="71"/>
        <v>353894926.41059595</v>
      </c>
      <c r="H35" s="30">
        <f t="shared" si="71"/>
        <v>612438750</v>
      </c>
      <c r="I35" s="30">
        <f t="shared" si="71"/>
        <v>1004899500</v>
      </c>
      <c r="J35" s="30">
        <f t="shared" si="71"/>
        <v>451688159.99999994</v>
      </c>
      <c r="K35" s="30">
        <f t="shared" si="71"/>
        <v>1898148148.1481481</v>
      </c>
      <c r="L35" s="30">
        <f t="shared" si="71"/>
        <v>417485420.99999994</v>
      </c>
      <c r="M35" s="30">
        <f t="shared" si="71"/>
        <v>557730782.60869575</v>
      </c>
      <c r="N35" s="30">
        <f t="shared" si="71"/>
        <v>915133773.9130435</v>
      </c>
      <c r="O35" s="30">
        <f t="shared" si="71"/>
        <v>411339731.47826087</v>
      </c>
      <c r="P35" s="30">
        <f t="shared" si="71"/>
        <v>1691012201.4091773</v>
      </c>
      <c r="Q35" s="30">
        <f t="shared" si="71"/>
        <v>380192256.91067195</v>
      </c>
    </row>
    <row r="36">
      <c r="A36" s="30"/>
      <c r="B36" s="30" t="s">
        <v>551</v>
      </c>
      <c r="C36" s="30">
        <f t="shared" ref="C36:Q36" si="72">C30/C9</f>
        <v>502738034.43708611</v>
      </c>
      <c r="D36" s="30">
        <f t="shared" si="72"/>
        <v>832896451.38828313</v>
      </c>
      <c r="E36" s="30">
        <f t="shared" si="72"/>
        <v>354985994.34172183</v>
      </c>
      <c r="F36" s="30">
        <f t="shared" si="72"/>
        <v>1526095308.3904076</v>
      </c>
      <c r="G36" s="30">
        <f t="shared" si="72"/>
        <v>345244740.37608826</v>
      </c>
      <c r="H36" s="30">
        <f t="shared" si="72"/>
        <v>593073775</v>
      </c>
      <c r="I36" s="30">
        <f t="shared" si="72"/>
        <v>982557532.49711525</v>
      </c>
      <c r="J36" s="30">
        <f t="shared" si="72"/>
        <v>418772540.19999999</v>
      </c>
      <c r="K36" s="30">
        <f t="shared" si="72"/>
        <v>1868142937.4715116</v>
      </c>
      <c r="L36" s="30">
        <f t="shared" si="72"/>
        <v>407280904.66241658</v>
      </c>
      <c r="M36" s="30">
        <f t="shared" si="72"/>
        <v>540095643.32015812</v>
      </c>
      <c r="N36" s="30">
        <f t="shared" si="72"/>
        <v>894787571.09618723</v>
      </c>
      <c r="O36" s="30">
        <f t="shared" si="72"/>
        <v>381364400.24537551</v>
      </c>
      <c r="P36" s="30">
        <f t="shared" si="72"/>
        <v>1668009845.8154323</v>
      </c>
      <c r="Q36" s="30">
        <f t="shared" si="72"/>
        <v>370899290.25383711</v>
      </c>
    </row>
    <row r="37">
      <c r="A37" s="30"/>
      <c r="B37" s="30" t="s">
        <v>552</v>
      </c>
      <c r="C37" s="30">
        <f t="shared" ref="C37:Q37" si="73">C31/C9</f>
        <v>478433907.2847681</v>
      </c>
      <c r="D37" s="30">
        <f t="shared" si="73"/>
        <v>804856032.07335711</v>
      </c>
      <c r="E37" s="30">
        <f t="shared" si="73"/>
        <v>319195227.88874167</v>
      </c>
      <c r="F37" s="30">
        <f t="shared" si="73"/>
        <v>1494936171.0156415</v>
      </c>
      <c r="G37" s="30">
        <f t="shared" si="73"/>
        <v>332437501.39971304</v>
      </c>
      <c r="H37" s="30">
        <f t="shared" si="73"/>
        <v>564402499.99999988</v>
      </c>
      <c r="I37" s="30">
        <f t="shared" si="73"/>
        <v>949478600.33653843</v>
      </c>
      <c r="J37" s="30">
        <f t="shared" si="73"/>
        <v>376550620.39999992</v>
      </c>
      <c r="K37" s="30">
        <f t="shared" si="73"/>
        <v>1832721359.2282832</v>
      </c>
      <c r="L37" s="30">
        <f t="shared" si="73"/>
        <v>392172364.93247396</v>
      </c>
      <c r="M37" s="30">
        <f t="shared" si="73"/>
        <v>513985517.78656119</v>
      </c>
      <c r="N37" s="30">
        <f t="shared" si="73"/>
        <v>864663515.87959874</v>
      </c>
      <c r="O37" s="30">
        <f t="shared" si="73"/>
        <v>342914082.76743078</v>
      </c>
      <c r="P37" s="30">
        <f t="shared" si="73"/>
        <v>1633953160.336828</v>
      </c>
      <c r="Q37" s="30">
        <f t="shared" si="73"/>
        <v>357140367.11637157</v>
      </c>
    </row>
    <row r="38">
      <c r="A38" s="30"/>
      <c r="B38" s="30" t="s">
        <v>553</v>
      </c>
      <c r="C38" s="30">
        <f t="shared" ref="C38:Q38" si="74">C32/C9</f>
        <v>422878813.24503309</v>
      </c>
      <c r="D38" s="30">
        <f t="shared" si="74"/>
        <v>740760410.69220567</v>
      </c>
      <c r="E38" s="30">
        <f t="shared" si="74"/>
        <v>229180215.94701985</v>
      </c>
      <c r="F38" s="30">
        <f t="shared" si="74"/>
        <v>1423711691.4775195</v>
      </c>
      <c r="G38" s="30">
        <f t="shared" si="74"/>
        <v>303162335.03546745</v>
      </c>
      <c r="H38" s="30">
        <f t="shared" si="74"/>
        <v>498864850</v>
      </c>
      <c r="I38" s="30">
        <f t="shared" si="74"/>
        <v>873865796.98846138</v>
      </c>
      <c r="J38" s="30">
        <f t="shared" si="74"/>
        <v>270361036</v>
      </c>
      <c r="K38" s="30">
        <f t="shared" si="74"/>
        <v>1754255425.8162498</v>
      </c>
      <c r="L38" s="30">
        <f t="shared" si="74"/>
        <v>357636817.11215299</v>
      </c>
      <c r="M38" s="30">
        <f t="shared" si="74"/>
        <v>454302219.13043481</v>
      </c>
      <c r="N38" s="30">
        <f t="shared" si="74"/>
        <v>795805057.81083596</v>
      </c>
      <c r="O38" s="30">
        <f t="shared" si="74"/>
        <v>246210208.27826089</v>
      </c>
      <c r="P38" s="30">
        <f t="shared" si="74"/>
        <v>1556105379.4810107</v>
      </c>
      <c r="Q38" s="30">
        <f t="shared" si="74"/>
        <v>325689812.89581048</v>
      </c>
    </row>
    <row r="40">
      <c r="A40" s="30" t="s">
        <v>557</v>
      </c>
      <c r="B40" s="30" t="s">
        <v>366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>
      <c r="A41" s="30"/>
      <c r="B41" s="30" t="s">
        <v>550</v>
      </c>
      <c r="C41" s="30">
        <f t="shared" ref="C41:Q41" si="75">C23*C19</f>
        <v>10568105.555456104</v>
      </c>
      <c r="D41" s="30">
        <f t="shared" si="75"/>
        <v>17340320.13589124</v>
      </c>
      <c r="E41" s="30">
        <f t="shared" si="75"/>
        <v>7794229.4687097212</v>
      </c>
      <c r="F41" s="30">
        <f t="shared" si="75"/>
        <v>31494248.309482697</v>
      </c>
      <c r="G41" s="30">
        <f t="shared" si="75"/>
        <v>7204034.6842717417</v>
      </c>
      <c r="H41" s="30">
        <f t="shared" si="75"/>
        <v>88385084.143506989</v>
      </c>
      <c r="I41" s="30">
        <f t="shared" si="75"/>
        <v>145023689.08444822</v>
      </c>
      <c r="J41" s="30">
        <f t="shared" si="75"/>
        <v>65186103.962601729</v>
      </c>
      <c r="K41" s="30">
        <f t="shared" si="75"/>
        <v>273934305.74227393</v>
      </c>
      <c r="L41" s="30">
        <f t="shared" si="75"/>
        <v>60250080.622384593</v>
      </c>
      <c r="M41" s="30">
        <f t="shared" si="75"/>
        <v>36197234.415400952</v>
      </c>
      <c r="N41" s="30">
        <f t="shared" si="75"/>
        <v>59393013.204045646</v>
      </c>
      <c r="O41" s="30">
        <f t="shared" si="75"/>
        <v>26696322.220272854</v>
      </c>
      <c r="P41" s="30">
        <f t="shared" si="75"/>
        <v>109748227.93070786</v>
      </c>
      <c r="Q41" s="30">
        <f t="shared" si="75"/>
        <v>24674822.827506188</v>
      </c>
    </row>
    <row r="42">
      <c r="A42" s="30"/>
      <c r="B42" s="30" t="s">
        <v>551</v>
      </c>
      <c r="C42" s="30">
        <f t="shared" ref="C42:Q42" si="76">C24*C19</f>
        <v>10233947.894990027</v>
      </c>
      <c r="D42" s="30">
        <f t="shared" si="76"/>
        <v>16954792.161237359</v>
      </c>
      <c r="E42" s="30">
        <f t="shared" si="76"/>
        <v>7226244.9241823526</v>
      </c>
      <c r="F42" s="30">
        <f t="shared" si="76"/>
        <v>31065841.052474901</v>
      </c>
      <c r="G42" s="30">
        <f t="shared" si="76"/>
        <v>7027947.8416316295</v>
      </c>
      <c r="H42" s="30">
        <f t="shared" si="76"/>
        <v>85590396.601590514</v>
      </c>
      <c r="I42" s="30">
        <f t="shared" si="76"/>
        <v>141799372.07695323</v>
      </c>
      <c r="J42" s="30">
        <f t="shared" si="76"/>
        <v>60435833.301807187</v>
      </c>
      <c r="K42" s="30">
        <f t="shared" si="76"/>
        <v>269604055.45945275</v>
      </c>
      <c r="L42" s="30">
        <f t="shared" si="76"/>
        <v>58777399.419340044</v>
      </c>
      <c r="M42" s="30">
        <f t="shared" si="76"/>
        <v>35052697.856400765</v>
      </c>
      <c r="N42" s="30">
        <f t="shared" si="76"/>
        <v>58072526.159417614</v>
      </c>
      <c r="O42" s="30">
        <f t="shared" si="76"/>
        <v>24750895.994664479</v>
      </c>
      <c r="P42" s="30">
        <f t="shared" si="76"/>
        <v>108255354.15809889</v>
      </c>
      <c r="Q42" s="30">
        <f t="shared" si="76"/>
        <v>24071700.850055717</v>
      </c>
    </row>
    <row r="43">
      <c r="A43" s="30"/>
      <c r="B43" s="30" t="s">
        <v>552</v>
      </c>
      <c r="C43" s="30">
        <f t="shared" ref="C43:Q43" si="77">C25*C19</f>
        <v>9739202.8113232758</v>
      </c>
      <c r="D43" s="30">
        <f t="shared" si="77"/>
        <v>16383989.535285378</v>
      </c>
      <c r="E43" s="30">
        <f t="shared" si="77"/>
        <v>6497672.9564543106</v>
      </c>
      <c r="F43" s="30">
        <f t="shared" si="77"/>
        <v>30431552.483671378</v>
      </c>
      <c r="G43" s="30">
        <f t="shared" si="77"/>
        <v>6767238.272462735</v>
      </c>
      <c r="H43" s="30">
        <f t="shared" si="77"/>
        <v>81452655.393385381</v>
      </c>
      <c r="I43" s="30">
        <f t="shared" si="77"/>
        <v>137025532.7299329</v>
      </c>
      <c r="J43" s="30">
        <f t="shared" si="77"/>
        <v>54342508.974724017</v>
      </c>
      <c r="K43" s="30">
        <f t="shared" si="77"/>
        <v>264492133.37169525</v>
      </c>
      <c r="L43" s="30">
        <f t="shared" si="77"/>
        <v>56596986.185663216</v>
      </c>
      <c r="M43" s="30">
        <f t="shared" si="77"/>
        <v>33358126.991700534</v>
      </c>
      <c r="N43" s="30">
        <f t="shared" si="77"/>
        <v>56117447.612170979</v>
      </c>
      <c r="O43" s="30">
        <f t="shared" si="77"/>
        <v>22255435.463356063</v>
      </c>
      <c r="P43" s="30">
        <f t="shared" si="77"/>
        <v>106045044.33457686</v>
      </c>
      <c r="Q43" s="30">
        <f t="shared" si="77"/>
        <v>23178734.240285955</v>
      </c>
    </row>
    <row r="44">
      <c r="A44" s="30"/>
      <c r="B44" s="30" t="s">
        <v>553</v>
      </c>
      <c r="C44" s="30">
        <f t="shared" ref="C44:Q44" si="78">C26*C19</f>
        <v>8608299.8384847064</v>
      </c>
      <c r="D44" s="30">
        <f t="shared" si="78"/>
        <v>15079231.978506969</v>
      </c>
      <c r="E44" s="30">
        <f t="shared" si="78"/>
        <v>4665289.3314318657</v>
      </c>
      <c r="F44" s="30">
        <f t="shared" si="78"/>
        <v>28981676.877468083</v>
      </c>
      <c r="G44" s="30">
        <f t="shared" si="78"/>
        <v>6171300.6137488568</v>
      </c>
      <c r="H44" s="30">
        <f t="shared" si="78"/>
        <v>71994483.927556828</v>
      </c>
      <c r="I44" s="30">
        <f t="shared" si="78"/>
        <v>126113349.28914599</v>
      </c>
      <c r="J44" s="30">
        <f t="shared" si="78"/>
        <v>39017588.152261302</v>
      </c>
      <c r="K44" s="30">
        <f t="shared" si="78"/>
        <v>253168195.87260428</v>
      </c>
      <c r="L44" s="30">
        <f t="shared" si="78"/>
        <v>51612933.004767686</v>
      </c>
      <c r="M44" s="30">
        <f t="shared" si="78"/>
        <v>29484626.694594085</v>
      </c>
      <c r="N44" s="30">
        <f t="shared" si="78"/>
        <v>51648471.13477473</v>
      </c>
      <c r="O44" s="30">
        <f t="shared" si="78"/>
        <v>15979266.16642506</v>
      </c>
      <c r="P44" s="30">
        <f t="shared" si="78"/>
        <v>100992652.64269888</v>
      </c>
      <c r="Q44" s="30">
        <f t="shared" si="78"/>
        <v>21137564.702733915</v>
      </c>
    </row>
  </sheetData>
  <mergeCells count="3">
    <mergeCell ref="C1:G1"/>
    <mergeCell ref="H1:L1"/>
    <mergeCell ref="M1:Q1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5" activeCellId="0" sqref="C5"/>
    </sheetView>
  </sheetViews>
  <sheetFormatPr baseColWidth="10" defaultRowHeight="14.25"/>
  <cols>
    <col customWidth="1" min="1" max="1" width="43.46484375"/>
    <col customWidth="1" min="2" max="2" width="16"/>
    <col bestFit="1" customWidth="1" min="3" max="4" width="11.6640625"/>
    <col customWidth="1" min="5" max="5" width="12.33203125"/>
  </cols>
  <sheetData>
    <row r="1">
      <c r="C1" s="27" t="s">
        <v>517</v>
      </c>
      <c r="D1" s="27"/>
      <c r="E1" s="27"/>
      <c r="F1" s="27"/>
      <c r="G1" s="27"/>
      <c r="H1" s="28" t="s">
        <v>518</v>
      </c>
      <c r="I1" s="28"/>
      <c r="J1" s="28"/>
      <c r="K1" s="28"/>
      <c r="L1" s="28"/>
      <c r="M1" s="29" t="s">
        <v>519</v>
      </c>
      <c r="N1" s="29"/>
      <c r="O1" s="29"/>
      <c r="P1" s="29"/>
      <c r="Q1" s="29"/>
    </row>
    <row r="2">
      <c r="B2" t="s">
        <v>0</v>
      </c>
      <c r="C2" s="1" t="s">
        <v>147</v>
      </c>
      <c r="D2" s="1" t="s">
        <v>215</v>
      </c>
      <c r="E2" s="1" t="s">
        <v>191</v>
      </c>
      <c r="F2" s="1" t="s">
        <v>255</v>
      </c>
      <c r="G2" s="1" t="s">
        <v>558</v>
      </c>
      <c r="H2" s="3" t="s">
        <v>147</v>
      </c>
      <c r="I2" s="3" t="s">
        <v>215</v>
      </c>
      <c r="J2" s="3" t="s">
        <v>191</v>
      </c>
      <c r="K2" s="3" t="s">
        <v>255</v>
      </c>
      <c r="L2" s="3" t="s">
        <v>558</v>
      </c>
      <c r="M2" s="2" t="s">
        <v>147</v>
      </c>
      <c r="N2" s="2" t="s">
        <v>215</v>
      </c>
      <c r="O2" s="2" t="s">
        <v>191</v>
      </c>
      <c r="P2" s="2" t="s">
        <v>255</v>
      </c>
      <c r="Q2" s="2" t="s">
        <v>558</v>
      </c>
    </row>
    <row r="3">
      <c r="A3" s="6" t="s">
        <v>559</v>
      </c>
      <c r="C3" s="1"/>
      <c r="D3" s="1"/>
      <c r="E3" s="1"/>
      <c r="F3" s="1"/>
      <c r="G3" s="1"/>
      <c r="H3" s="3"/>
      <c r="I3" s="3"/>
      <c r="J3" s="3"/>
      <c r="K3" s="3"/>
      <c r="L3" s="3"/>
      <c r="M3" s="2"/>
      <c r="N3" s="2"/>
      <c r="O3" s="2"/>
      <c r="P3" s="2"/>
      <c r="Q3" s="2"/>
    </row>
    <row r="4">
      <c r="A4" t="s">
        <v>387</v>
      </c>
      <c r="B4" t="s">
        <v>388</v>
      </c>
      <c r="C4" s="1">
        <f>values!C102</f>
        <v>1282</v>
      </c>
      <c r="D4" s="1">
        <f t="shared" ref="D4:F13" si="79">C4</f>
        <v>1282</v>
      </c>
      <c r="E4" s="1">
        <f>D4</f>
        <v>1282</v>
      </c>
      <c r="F4" s="1">
        <f>E4</f>
        <v>1282</v>
      </c>
      <c r="G4" s="1">
        <f t="shared" ref="G4:G18" si="80">F4</f>
        <v>1282</v>
      </c>
      <c r="H4" s="3">
        <f>values!E102</f>
        <v>2087.7999999999997</v>
      </c>
      <c r="I4" s="3">
        <f t="shared" ref="I4:I13" si="81">H4</f>
        <v>2087.7999999999997</v>
      </c>
      <c r="J4" s="3">
        <f t="shared" ref="J4:J13" si="82">I4</f>
        <v>2087.7999999999997</v>
      </c>
      <c r="K4" s="3">
        <f t="shared" ref="K4:L15" si="83">J4</f>
        <v>2087.7999999999997</v>
      </c>
      <c r="L4" s="3">
        <f>K4</f>
        <v>2087.7999999999997</v>
      </c>
      <c r="M4" s="2">
        <f>values!D102</f>
        <v>1722.4499999999998</v>
      </c>
      <c r="N4" s="2">
        <f t="shared" ref="N4:N13" si="84">M4</f>
        <v>1722.4499999999998</v>
      </c>
      <c r="O4" s="2">
        <f t="shared" ref="O4:O13" si="85">N4</f>
        <v>1722.4499999999998</v>
      </c>
      <c r="P4" s="2">
        <f t="shared" ref="P4:P13" si="86">O4</f>
        <v>1722.4499999999998</v>
      </c>
      <c r="Q4" s="2">
        <f t="shared" ref="Q4:Q15" si="87">P4</f>
        <v>1722.4499999999998</v>
      </c>
    </row>
    <row r="5">
      <c r="A5" t="s">
        <v>390</v>
      </c>
      <c r="B5" t="s">
        <v>67</v>
      </c>
      <c r="C5" s="1">
        <f>values!C103</f>
        <v>25</v>
      </c>
      <c r="D5" s="1">
        <f t="shared" si="79"/>
        <v>25</v>
      </c>
      <c r="E5" s="1">
        <f t="shared" si="79"/>
        <v>25</v>
      </c>
      <c r="F5" s="1">
        <f t="shared" si="79"/>
        <v>25</v>
      </c>
      <c r="G5" s="1">
        <f t="shared" si="80"/>
        <v>25</v>
      </c>
      <c r="H5" s="3">
        <f>values!E103</f>
        <v>25</v>
      </c>
      <c r="I5" s="3">
        <f t="shared" si="81"/>
        <v>25</v>
      </c>
      <c r="J5" s="3">
        <f t="shared" si="82"/>
        <v>25</v>
      </c>
      <c r="K5" s="3">
        <f t="shared" si="83"/>
        <v>25</v>
      </c>
      <c r="L5" s="3">
        <f t="shared" si="83"/>
        <v>25</v>
      </c>
      <c r="M5" s="2">
        <f>values!D103</f>
        <v>25</v>
      </c>
      <c r="N5" s="2">
        <f t="shared" si="84"/>
        <v>25</v>
      </c>
      <c r="O5" s="2">
        <f t="shared" si="85"/>
        <v>25</v>
      </c>
      <c r="P5" s="2">
        <f t="shared" si="86"/>
        <v>25</v>
      </c>
      <c r="Q5" s="2">
        <f t="shared" si="87"/>
        <v>25</v>
      </c>
    </row>
    <row r="6">
      <c r="A6" t="s">
        <v>98</v>
      </c>
      <c r="B6" t="s">
        <v>560</v>
      </c>
      <c r="C6" s="1">
        <f>assumptions!C46/100</f>
        <v>0.040000000000000001</v>
      </c>
      <c r="D6" s="1">
        <f t="shared" si="79"/>
        <v>0.040000000000000001</v>
      </c>
      <c r="E6" s="1">
        <f t="shared" si="79"/>
        <v>0.040000000000000001</v>
      </c>
      <c r="F6" s="1">
        <f t="shared" si="79"/>
        <v>0.040000000000000001</v>
      </c>
      <c r="G6" s="1">
        <f t="shared" si="80"/>
        <v>0.040000000000000001</v>
      </c>
      <c r="H6" s="3">
        <f>assumptions!E46/100</f>
        <v>0.042999999999999997</v>
      </c>
      <c r="I6" s="3">
        <f t="shared" si="81"/>
        <v>0.042999999999999997</v>
      </c>
      <c r="J6" s="3">
        <f t="shared" si="82"/>
        <v>0.042999999999999997</v>
      </c>
      <c r="K6" s="3">
        <f t="shared" si="83"/>
        <v>0.042999999999999997</v>
      </c>
      <c r="L6" s="3">
        <f t="shared" si="83"/>
        <v>0.042999999999999997</v>
      </c>
      <c r="M6" s="2">
        <f>assumptions!D46/100</f>
        <v>0.041500000000000002</v>
      </c>
      <c r="N6" s="2">
        <f t="shared" si="84"/>
        <v>0.041500000000000002</v>
      </c>
      <c r="O6" s="2">
        <f t="shared" si="85"/>
        <v>0.041500000000000002</v>
      </c>
      <c r="P6" s="2">
        <f t="shared" si="86"/>
        <v>0.041500000000000002</v>
      </c>
      <c r="Q6" s="2">
        <f t="shared" si="87"/>
        <v>0.041500000000000002</v>
      </c>
    </row>
    <row r="7">
      <c r="A7" t="s">
        <v>538</v>
      </c>
      <c r="B7" t="s">
        <v>82</v>
      </c>
      <c r="C7" s="1">
        <f>(assumptions!C13*(1+assumptions!C13)^C5)/(((1+assumptions!C13)^C5)-1)</f>
        <v>0.093678779051968114</v>
      </c>
      <c r="D7" s="1">
        <f t="shared" si="79"/>
        <v>0.093678779051968114</v>
      </c>
      <c r="E7" s="1">
        <f t="shared" si="79"/>
        <v>0.093678779051968114</v>
      </c>
      <c r="F7" s="1">
        <f t="shared" si="79"/>
        <v>0.093678779051968114</v>
      </c>
      <c r="G7" s="1">
        <f t="shared" si="80"/>
        <v>0.093678779051968114</v>
      </c>
      <c r="H7" s="3">
        <f>(assumptions!E13*(1+assumptions!E13)^H5)/(((1+assumptions!E13)^H5)-1)</f>
        <v>0.093678779051968114</v>
      </c>
      <c r="I7" s="3">
        <f t="shared" si="81"/>
        <v>0.093678779051968114</v>
      </c>
      <c r="J7" s="3">
        <f t="shared" si="82"/>
        <v>0.093678779051968114</v>
      </c>
      <c r="K7" s="3">
        <f t="shared" si="83"/>
        <v>0.093678779051968114</v>
      </c>
      <c r="L7" s="3">
        <f t="shared" si="83"/>
        <v>0.093678779051968114</v>
      </c>
      <c r="M7" s="2">
        <f>(assumptions!D13*(1+assumptions!D13)^M5)/(((1+assumptions!D13)^M5)-1)</f>
        <v>0.093678779051968114</v>
      </c>
      <c r="N7" s="2">
        <f t="shared" si="84"/>
        <v>0.093678779051968114</v>
      </c>
      <c r="O7" s="2">
        <f t="shared" si="85"/>
        <v>0.093678779051968114</v>
      </c>
      <c r="P7" s="2">
        <f t="shared" si="86"/>
        <v>0.093678779051968114</v>
      </c>
      <c r="Q7" s="2">
        <f t="shared" si="87"/>
        <v>0.093678779051968114</v>
      </c>
    </row>
    <row r="8">
      <c r="A8" t="s">
        <v>561</v>
      </c>
      <c r="B8" t="s">
        <v>44</v>
      </c>
      <c r="C8" s="1">
        <f>assumptions!C8</f>
        <v>5500</v>
      </c>
      <c r="D8" s="1">
        <f t="shared" si="79"/>
        <v>5500</v>
      </c>
      <c r="E8" s="1">
        <f t="shared" si="79"/>
        <v>5500</v>
      </c>
      <c r="F8" s="1">
        <f t="shared" si="79"/>
        <v>5500</v>
      </c>
      <c r="G8" s="1">
        <f t="shared" si="80"/>
        <v>5500</v>
      </c>
      <c r="H8" s="3">
        <f>assumptions!E8</f>
        <v>2900</v>
      </c>
      <c r="I8" s="3">
        <f t="shared" si="81"/>
        <v>2900</v>
      </c>
      <c r="J8" s="3">
        <f t="shared" si="82"/>
        <v>2900</v>
      </c>
      <c r="K8" s="3">
        <f t="shared" si="83"/>
        <v>2900</v>
      </c>
      <c r="L8" s="3">
        <f t="shared" si="83"/>
        <v>2900</v>
      </c>
      <c r="M8" s="2">
        <f>assumptions!D8</f>
        <v>4200</v>
      </c>
      <c r="N8" s="2">
        <f t="shared" si="84"/>
        <v>4200</v>
      </c>
      <c r="O8" s="2">
        <f t="shared" si="85"/>
        <v>4200</v>
      </c>
      <c r="P8" s="2">
        <f t="shared" si="86"/>
        <v>4200</v>
      </c>
      <c r="Q8" s="2">
        <f t="shared" si="87"/>
        <v>4200</v>
      </c>
    </row>
    <row r="9">
      <c r="A9" t="s">
        <v>562</v>
      </c>
      <c r="B9" t="s">
        <v>71</v>
      </c>
      <c r="C9" s="1">
        <f>C8/24</f>
        <v>229.16666666666666</v>
      </c>
      <c r="D9" s="1">
        <f t="shared" si="79"/>
        <v>229.16666666666666</v>
      </c>
      <c r="E9" s="1">
        <f t="shared" si="79"/>
        <v>229.16666666666666</v>
      </c>
      <c r="F9" s="1">
        <f t="shared" si="79"/>
        <v>229.16666666666666</v>
      </c>
      <c r="G9" s="1">
        <f t="shared" si="80"/>
        <v>229.16666666666666</v>
      </c>
      <c r="H9" s="3">
        <f>H8/24</f>
        <v>120.83333333333333</v>
      </c>
      <c r="I9" s="3">
        <f t="shared" si="81"/>
        <v>120.83333333333333</v>
      </c>
      <c r="J9" s="3">
        <f t="shared" si="82"/>
        <v>120.83333333333333</v>
      </c>
      <c r="K9" s="3">
        <f t="shared" si="83"/>
        <v>120.83333333333333</v>
      </c>
      <c r="L9" s="3">
        <f t="shared" si="83"/>
        <v>120.83333333333333</v>
      </c>
      <c r="M9" s="2">
        <f>M8/24</f>
        <v>175</v>
      </c>
      <c r="N9" s="2">
        <f t="shared" si="84"/>
        <v>175</v>
      </c>
      <c r="O9" s="2">
        <f t="shared" si="85"/>
        <v>175</v>
      </c>
      <c r="P9" s="2">
        <f t="shared" si="86"/>
        <v>175</v>
      </c>
      <c r="Q9" s="2">
        <f t="shared" si="87"/>
        <v>175</v>
      </c>
    </row>
    <row r="10">
      <c r="A10" t="s">
        <v>563</v>
      </c>
      <c r="B10" t="s">
        <v>564</v>
      </c>
      <c r="C10" s="1">
        <f>(C4/C9)*C7</f>
        <v>0.52405612252199185</v>
      </c>
      <c r="D10" s="1">
        <f t="shared" si="79"/>
        <v>0.52405612252199185</v>
      </c>
      <c r="E10" s="1">
        <f t="shared" si="79"/>
        <v>0.52405612252199185</v>
      </c>
      <c r="F10" s="1">
        <f t="shared" si="79"/>
        <v>0.52405612252199185</v>
      </c>
      <c r="G10" s="1">
        <f t="shared" si="80"/>
        <v>0.52405612252199185</v>
      </c>
      <c r="H10" s="3">
        <f>(H4/H9)*H7</f>
        <v>1.6186142474871643</v>
      </c>
      <c r="I10" s="3">
        <f t="shared" si="81"/>
        <v>1.6186142474871643</v>
      </c>
      <c r="J10" s="3">
        <f t="shared" si="82"/>
        <v>1.6186142474871643</v>
      </c>
      <c r="K10" s="3">
        <f t="shared" si="83"/>
        <v>1.6186142474871643</v>
      </c>
      <c r="L10" s="3">
        <f t="shared" si="83"/>
        <v>1.6186142474871643</v>
      </c>
      <c r="M10" s="2">
        <f>(M4/M9)*M7</f>
        <v>0.92204007416035683</v>
      </c>
      <c r="N10" s="2">
        <f t="shared" si="84"/>
        <v>0.92204007416035683</v>
      </c>
      <c r="O10" s="2">
        <f t="shared" si="85"/>
        <v>0.92204007416035683</v>
      </c>
      <c r="P10" s="2">
        <f t="shared" si="86"/>
        <v>0.92204007416035683</v>
      </c>
      <c r="Q10" s="2">
        <f t="shared" si="87"/>
        <v>0.92204007416035683</v>
      </c>
    </row>
    <row r="11">
      <c r="A11" t="s">
        <v>565</v>
      </c>
      <c r="B11" t="s">
        <v>564</v>
      </c>
      <c r="C11" s="1">
        <f>(C10/C7)*C6</f>
        <v>0.22376727272727276</v>
      </c>
      <c r="D11" s="1">
        <f t="shared" si="79"/>
        <v>0.22376727272727276</v>
      </c>
      <c r="E11" s="1">
        <f t="shared" si="79"/>
        <v>0.22376727272727276</v>
      </c>
      <c r="F11" s="1">
        <f t="shared" si="79"/>
        <v>0.22376727272727276</v>
      </c>
      <c r="G11" s="1">
        <f t="shared" si="80"/>
        <v>0.22376727272727276</v>
      </c>
      <c r="H11" s="3">
        <f>(H10/H7)*H6</f>
        <v>0.74296882758620686</v>
      </c>
      <c r="I11" s="3">
        <f t="shared" si="81"/>
        <v>0.74296882758620686</v>
      </c>
      <c r="J11" s="3">
        <f t="shared" si="82"/>
        <v>0.74296882758620686</v>
      </c>
      <c r="K11" s="3">
        <f t="shared" si="83"/>
        <v>0.74296882758620686</v>
      </c>
      <c r="L11" s="3">
        <f t="shared" si="83"/>
        <v>0.74296882758620686</v>
      </c>
      <c r="M11" s="2">
        <f>(M10/M7)*M6</f>
        <v>0.40846671428571424</v>
      </c>
      <c r="N11" s="2">
        <f t="shared" si="84"/>
        <v>0.40846671428571424</v>
      </c>
      <c r="O11" s="2">
        <f t="shared" si="85"/>
        <v>0.40846671428571424</v>
      </c>
      <c r="P11" s="2">
        <f t="shared" si="86"/>
        <v>0.40846671428571424</v>
      </c>
      <c r="Q11" s="2">
        <f t="shared" si="87"/>
        <v>0.40846671428571424</v>
      </c>
    </row>
    <row r="12">
      <c r="A12" t="s">
        <v>566</v>
      </c>
      <c r="B12" t="s">
        <v>40</v>
      </c>
      <c r="C12" s="1">
        <f>assumptions!C4*values!C98+assumptions!C4*values!C99</f>
        <v>0.034500000000000003</v>
      </c>
      <c r="D12" s="1">
        <f t="shared" si="79"/>
        <v>0.034500000000000003</v>
      </c>
      <c r="E12" s="1">
        <f t="shared" si="79"/>
        <v>0.034500000000000003</v>
      </c>
      <c r="F12" s="1">
        <f t="shared" si="79"/>
        <v>0.034500000000000003</v>
      </c>
      <c r="G12" s="1">
        <f t="shared" si="80"/>
        <v>0.034500000000000003</v>
      </c>
      <c r="H12" s="3">
        <f>assumptions!E4*values!E98+assumptions!E4*values!E99</f>
        <v>0.52150000000000007</v>
      </c>
      <c r="I12" s="3">
        <f t="shared" si="81"/>
        <v>0.52150000000000007</v>
      </c>
      <c r="J12" s="3">
        <f t="shared" si="82"/>
        <v>0.52150000000000007</v>
      </c>
      <c r="K12" s="3">
        <f t="shared" si="83"/>
        <v>0.52150000000000007</v>
      </c>
      <c r="L12" s="3">
        <f t="shared" si="83"/>
        <v>0.52150000000000007</v>
      </c>
      <c r="M12" s="2">
        <f>assumptions!D4*values!D98+assumptions!D4*values!D99</f>
        <v>0.184</v>
      </c>
      <c r="N12" s="2">
        <f t="shared" si="84"/>
        <v>0.184</v>
      </c>
      <c r="O12" s="2">
        <f t="shared" si="85"/>
        <v>0.184</v>
      </c>
      <c r="P12" s="2">
        <f t="shared" si="86"/>
        <v>0.184</v>
      </c>
      <c r="Q12" s="2">
        <f t="shared" si="87"/>
        <v>0.184</v>
      </c>
    </row>
    <row r="13">
      <c r="A13" t="s">
        <v>546</v>
      </c>
      <c r="B13" t="s">
        <v>40</v>
      </c>
      <c r="C13" s="1">
        <f>C10+C11+C12</f>
        <v>0.78232339524926453</v>
      </c>
      <c r="D13" s="1">
        <f t="shared" si="79"/>
        <v>0.78232339524926453</v>
      </c>
      <c r="E13" s="1">
        <f t="shared" si="79"/>
        <v>0.78232339524926453</v>
      </c>
      <c r="F13" s="1">
        <f t="shared" si="79"/>
        <v>0.78232339524926453</v>
      </c>
      <c r="G13" s="1">
        <f t="shared" si="80"/>
        <v>0.78232339524926453</v>
      </c>
      <c r="H13" s="3">
        <f>H10+H11+H12</f>
        <v>2.8830830750733711</v>
      </c>
      <c r="I13" s="3">
        <f t="shared" si="81"/>
        <v>2.8830830750733711</v>
      </c>
      <c r="J13" s="3">
        <f t="shared" si="82"/>
        <v>2.8830830750733711</v>
      </c>
      <c r="K13" s="3">
        <f t="shared" si="83"/>
        <v>2.8830830750733711</v>
      </c>
      <c r="L13" s="3">
        <f t="shared" si="83"/>
        <v>2.8830830750733711</v>
      </c>
      <c r="M13" s="2">
        <f>M10+M11+M12</f>
        <v>1.514506788446071</v>
      </c>
      <c r="N13" s="2">
        <f t="shared" si="84"/>
        <v>1.514506788446071</v>
      </c>
      <c r="O13" s="2">
        <f t="shared" si="85"/>
        <v>1.514506788446071</v>
      </c>
      <c r="P13" s="2">
        <f t="shared" si="86"/>
        <v>1.514506788446071</v>
      </c>
      <c r="Q13" s="2">
        <f t="shared" si="87"/>
        <v>1.514506788446071</v>
      </c>
    </row>
    <row r="14">
      <c r="A14" t="s">
        <v>378</v>
      </c>
      <c r="B14" t="s">
        <v>379</v>
      </c>
      <c r="C14" s="1">
        <f>values!C98</f>
        <v>3</v>
      </c>
      <c r="D14" s="1">
        <f>values!C98</f>
        <v>3</v>
      </c>
      <c r="E14" s="1">
        <f t="shared" ref="E14:E15" si="88">D14</f>
        <v>3</v>
      </c>
      <c r="F14" s="1">
        <f t="shared" ref="F14:F15" si="89">E14</f>
        <v>3</v>
      </c>
      <c r="G14" s="1">
        <f t="shared" si="80"/>
        <v>3</v>
      </c>
      <c r="H14" s="3">
        <f>values!E98</f>
        <v>7</v>
      </c>
      <c r="I14" s="3">
        <f>values!E98</f>
        <v>7</v>
      </c>
      <c r="J14" s="3">
        <f t="shared" ref="J14:J15" si="90">I14</f>
        <v>7</v>
      </c>
      <c r="K14" s="3">
        <f t="shared" si="83"/>
        <v>7</v>
      </c>
      <c r="L14" s="3">
        <f t="shared" si="83"/>
        <v>7</v>
      </c>
      <c r="M14" s="2">
        <f>values!D98</f>
        <v>4.1499999999999995</v>
      </c>
      <c r="N14" s="2">
        <f>values!D98</f>
        <v>4.1499999999999995</v>
      </c>
      <c r="O14" s="2">
        <f t="shared" ref="O14:O15" si="91">N14</f>
        <v>4.1499999999999995</v>
      </c>
      <c r="P14" s="2">
        <f t="shared" ref="P14:P15" si="92">O14</f>
        <v>4.1499999999999995</v>
      </c>
      <c r="Q14" s="2">
        <f t="shared" si="87"/>
        <v>4.1499999999999995</v>
      </c>
    </row>
    <row r="15">
      <c r="A15" t="s">
        <v>382</v>
      </c>
      <c r="B15" t="s">
        <v>379</v>
      </c>
      <c r="C15" s="1">
        <f>values!G99</f>
        <v>0.45000000000000001</v>
      </c>
      <c r="D15" s="1">
        <f>values!C99</f>
        <v>0.45000000000000001</v>
      </c>
      <c r="E15" s="1">
        <f t="shared" si="88"/>
        <v>0.45000000000000001</v>
      </c>
      <c r="F15" s="1">
        <f t="shared" si="89"/>
        <v>0.45000000000000001</v>
      </c>
      <c r="G15" s="1">
        <f t="shared" si="80"/>
        <v>0.45000000000000001</v>
      </c>
      <c r="H15" s="3">
        <f>values!E99</f>
        <v>0.45000000000000001</v>
      </c>
      <c r="I15" s="3">
        <f>values!E99</f>
        <v>0.45000000000000001</v>
      </c>
      <c r="J15" s="3">
        <f t="shared" si="90"/>
        <v>0.45000000000000001</v>
      </c>
      <c r="K15" s="3">
        <f t="shared" si="83"/>
        <v>0.45000000000000001</v>
      </c>
      <c r="L15" s="3">
        <f t="shared" si="83"/>
        <v>0.45000000000000001</v>
      </c>
      <c r="M15" s="2">
        <f>values!D99</f>
        <v>0.45000000000000001</v>
      </c>
      <c r="N15" s="2">
        <f>values!D99</f>
        <v>0.45000000000000001</v>
      </c>
      <c r="O15" s="2">
        <f t="shared" si="91"/>
        <v>0.45000000000000001</v>
      </c>
      <c r="P15" s="2">
        <f t="shared" si="92"/>
        <v>0.45000000000000001</v>
      </c>
      <c r="Q15" s="2">
        <f t="shared" si="87"/>
        <v>0.45000000000000001</v>
      </c>
    </row>
    <row r="16">
      <c r="A16" t="s">
        <v>567</v>
      </c>
      <c r="B16" t="s">
        <v>568</v>
      </c>
      <c r="C16" s="1">
        <f>values!C100</f>
        <v>9</v>
      </c>
      <c r="D16" s="1">
        <f>values!C100</f>
        <v>9</v>
      </c>
      <c r="E16" s="1">
        <f>C16</f>
        <v>9</v>
      </c>
      <c r="F16" s="1">
        <f>C16-(values!C66/values!C65)</f>
        <v>6.8359307142857144</v>
      </c>
      <c r="G16" s="1">
        <f>C16</f>
        <v>9</v>
      </c>
      <c r="H16" s="3">
        <f>values!E100</f>
        <v>11.1</v>
      </c>
      <c r="I16" s="3">
        <f>values!E100</f>
        <v>11.1</v>
      </c>
      <c r="J16" s="3">
        <f>H16</f>
        <v>11.1</v>
      </c>
      <c r="K16" s="3">
        <f>H16-(values!E66/values!E65)</f>
        <v>8.9359307142857141</v>
      </c>
      <c r="L16" s="3">
        <f>H16</f>
        <v>11.1</v>
      </c>
      <c r="M16" s="2">
        <f>values!D100</f>
        <v>10.033333333333333</v>
      </c>
      <c r="N16" s="2">
        <f>values!D100</f>
        <v>10.033333333333333</v>
      </c>
      <c r="O16" s="2">
        <f>M16</f>
        <v>10.033333333333333</v>
      </c>
      <c r="P16" s="2">
        <f>M16-(values!D66/values!D65)</f>
        <v>7.8692640476190476</v>
      </c>
      <c r="Q16" s="2">
        <f>M16</f>
        <v>10.033333333333333</v>
      </c>
    </row>
    <row r="17">
      <c r="A17" t="s">
        <v>569</v>
      </c>
      <c r="B17" t="s">
        <v>176</v>
      </c>
      <c r="C17" s="1">
        <f>(C16/1000)*C13</f>
        <v>0.00704091055724338</v>
      </c>
      <c r="D17" s="1">
        <f>(D16/1000)*D13</f>
        <v>0.00704091055724338</v>
      </c>
      <c r="E17" s="1">
        <f>(E16/1000)*E13</f>
        <v>0.00704091055724338</v>
      </c>
      <c r="F17" s="1">
        <f>(F16/1000)*F13</f>
        <v>0.00534790852608873</v>
      </c>
      <c r="G17" s="1">
        <f t="shared" si="80"/>
        <v>0.00534790852608873</v>
      </c>
      <c r="H17" s="3">
        <f t="shared" ref="H17:Q17" si="93">(H16/1000)*H13</f>
        <v>0.032002222133314419</v>
      </c>
      <c r="I17" s="3">
        <f t="shared" si="93"/>
        <v>0.032002222133314419</v>
      </c>
      <c r="J17" s="3">
        <f t="shared" si="93"/>
        <v>0.032002222133314419</v>
      </c>
      <c r="K17" s="3">
        <f t="shared" si="93"/>
        <v>0.025763030602385443</v>
      </c>
      <c r="L17" s="3">
        <f t="shared" si="93"/>
        <v>0.032002222133314419</v>
      </c>
      <c r="M17" s="2">
        <f t="shared" si="93"/>
        <v>0.015195551444075578</v>
      </c>
      <c r="N17" s="2">
        <f t="shared" si="93"/>
        <v>0.015195551444075578</v>
      </c>
      <c r="O17" s="2">
        <f t="shared" si="93"/>
        <v>0.015195551444075578</v>
      </c>
      <c r="P17" s="2">
        <f t="shared" si="93"/>
        <v>0.011918053820193654</v>
      </c>
      <c r="Q17" s="2">
        <f t="shared" si="93"/>
        <v>0.015195551444075578</v>
      </c>
    </row>
    <row r="18">
      <c r="A18" t="s">
        <v>570</v>
      </c>
      <c r="B18" t="s">
        <v>32</v>
      </c>
      <c r="C18" s="1">
        <f>C17/values!C3</f>
        <v>0.00021124844156145754</v>
      </c>
      <c r="D18" s="1">
        <f>D17/values!C3</f>
        <v>0.00021124844156145754</v>
      </c>
      <c r="E18" s="1">
        <f>E17/values!C3</f>
        <v>0.00021124844156145754</v>
      </c>
      <c r="F18" s="1">
        <f>F17/values!C3</f>
        <v>0.00016045330111277319</v>
      </c>
      <c r="G18" s="1">
        <f t="shared" si="80"/>
        <v>0.00016045330111277319</v>
      </c>
      <c r="H18" s="3">
        <f>H17/values!E3</f>
        <v>0.00096016268026745931</v>
      </c>
      <c r="I18" s="3">
        <f>I17/values!E3</f>
        <v>0.00096016268026745931</v>
      </c>
      <c r="J18" s="3">
        <f>J17/values!E3</f>
        <v>0.00096016268026745931</v>
      </c>
      <c r="K18" s="3">
        <f>K17/values!E3</f>
        <v>0.00077296821489305264</v>
      </c>
      <c r="L18" s="3">
        <f>L17/values!E3</f>
        <v>0.00096016268026745931</v>
      </c>
      <c r="M18" s="2">
        <f>M17/values!D3</f>
        <v>0.00045591213453572094</v>
      </c>
      <c r="N18" s="2">
        <f>N17/values!D3</f>
        <v>0.00045591213453572094</v>
      </c>
      <c r="O18" s="2">
        <f>O17/values!D3</f>
        <v>0.00045591213453572094</v>
      </c>
      <c r="P18" s="2">
        <f>P17/values!D3</f>
        <v>0.00035757737234304397</v>
      </c>
      <c r="Q18" s="2">
        <f>Q17/values!D3</f>
        <v>0.00045591213453572094</v>
      </c>
    </row>
    <row r="20">
      <c r="A20" t="s">
        <v>549</v>
      </c>
      <c r="B20" t="s">
        <v>571</v>
      </c>
    </row>
    <row r="21">
      <c r="B21" t="s">
        <v>550</v>
      </c>
      <c r="C21">
        <f>Elektrolyser!C23</f>
        <v>11760000</v>
      </c>
      <c r="D21">
        <f>Elektrolyser!D23</f>
        <v>19296000</v>
      </c>
      <c r="E21">
        <f>Elektrolyser!E23</f>
        <v>8673280</v>
      </c>
      <c r="F21">
        <f>Elektrolyser!F23</f>
        <v>35046239.666701719</v>
      </c>
      <c r="G21">
        <f>Elektrolyser!G23</f>
        <v>8016521.7353735371</v>
      </c>
      <c r="H21">
        <f>Elektrolyser!H23</f>
        <v>11760000</v>
      </c>
      <c r="I21">
        <f>Elektrolyser!I23</f>
        <v>19296000</v>
      </c>
      <c r="J21">
        <f>Elektrolyser!J23</f>
        <v>8673280</v>
      </c>
      <c r="K21">
        <f>Elektrolyser!K23</f>
        <v>36448089.253369786</v>
      </c>
      <c r="L21">
        <f>Elektrolyser!L23</f>
        <v>8016521.7353735371</v>
      </c>
      <c r="M21">
        <f>Elektrolyser!M23</f>
        <v>11760000</v>
      </c>
      <c r="N21">
        <f>Elektrolyser!N23</f>
        <v>19296000</v>
      </c>
      <c r="O21">
        <f>Elektrolyser!O23</f>
        <v>8673280</v>
      </c>
      <c r="P21">
        <f>Elektrolyser!P23</f>
        <v>35655739.486992188</v>
      </c>
      <c r="Q21">
        <f>Elektrolyser!Q23</f>
        <v>8016521.7353735371</v>
      </c>
    </row>
    <row r="22">
      <c r="B22" t="s">
        <v>551</v>
      </c>
      <c r="C22">
        <f>Elektrolyser!C24</f>
        <v>11388155.295529554</v>
      </c>
      <c r="D22">
        <f>Elektrolyser!D24</f>
        <v>18866991.323076922</v>
      </c>
      <c r="E22">
        <f>Elektrolyser!E24</f>
        <v>8041236.8955295533</v>
      </c>
      <c r="F22">
        <f>Elektrolyser!F24</f>
        <v>34569515.686611399</v>
      </c>
      <c r="G22">
        <f>Elektrolyser!G24</f>
        <v>7820575.4270611051</v>
      </c>
      <c r="H22">
        <f>Elektrolyser!H24</f>
        <v>11388155.295529554</v>
      </c>
      <c r="I22">
        <f>Elektrolyser!I24</f>
        <v>18866991.323076922</v>
      </c>
      <c r="J22">
        <f>Elektrolyser!J24</f>
        <v>8041236.8955295533</v>
      </c>
      <c r="K22">
        <f>Elektrolyser!K24</f>
        <v>35871931.592612289</v>
      </c>
      <c r="L22">
        <f>Elektrolyser!L24</f>
        <v>7820575.4270611051</v>
      </c>
      <c r="M22">
        <f>Elektrolyser!M24</f>
        <v>11388155.295529554</v>
      </c>
      <c r="N22">
        <f>Elektrolyser!N24</f>
        <v>18866991.323076922</v>
      </c>
      <c r="O22">
        <f>Elektrolyser!O24</f>
        <v>8041236.8955295533</v>
      </c>
      <c r="P22">
        <f>Elektrolyser!P24</f>
        <v>35170724.655074209</v>
      </c>
      <c r="Q22">
        <f>Elektrolyser!Q24</f>
        <v>7820575.4270611051</v>
      </c>
    </row>
    <row r="23">
      <c r="B23" t="s">
        <v>552</v>
      </c>
      <c r="C23">
        <f>Elektrolyser!C25</f>
        <v>10837611.761176117</v>
      </c>
      <c r="D23">
        <f>Elektrolyser!D25</f>
        <v>18231812.307692308</v>
      </c>
      <c r="E23">
        <f>Elektrolyser!E25</f>
        <v>7230494.961176117</v>
      </c>
      <c r="F23">
        <f>Elektrolyser!F25</f>
        <v>33863690.642568536</v>
      </c>
      <c r="G23">
        <f>Elektrolyser!G25</f>
        <v>7530462.4529487956</v>
      </c>
      <c r="H23">
        <f>Elektrolyser!H25</f>
        <v>10837611.761176117</v>
      </c>
      <c r="I23">
        <f>Elektrolyser!I25</f>
        <v>18231812.307692308</v>
      </c>
      <c r="J23">
        <f>Elektrolyser!J25</f>
        <v>7230494.961176117</v>
      </c>
      <c r="K23">
        <f>Elektrolyser!K25</f>
        <v>35191769.274110451</v>
      </c>
      <c r="L23">
        <f>Elektrolyser!L25</f>
        <v>7530462.4529487956</v>
      </c>
      <c r="M23">
        <f>Elektrolyser!M25</f>
        <v>10837611.761176117</v>
      </c>
      <c r="N23">
        <f>Elektrolyser!N25</f>
        <v>18231812.307692308</v>
      </c>
      <c r="O23">
        <f>Elektrolyser!O25</f>
        <v>7230494.961176117</v>
      </c>
      <c r="P23">
        <f>Elektrolyser!P25</f>
        <v>34452624.392874077</v>
      </c>
      <c r="Q23">
        <f>Elektrolyser!Q25</f>
        <v>7530462.4529487956</v>
      </c>
    </row>
    <row r="24">
      <c r="B24" t="s">
        <v>553</v>
      </c>
      <c r="C24">
        <f>Elektrolyser!C26</f>
        <v>9579163.0363036301</v>
      </c>
      <c r="D24">
        <f>Elektrolyser!D26</f>
        <v>16779901.29230769</v>
      </c>
      <c r="E24">
        <f>Elektrolyser!E26</f>
        <v>5191451.0363036301</v>
      </c>
      <c r="F24">
        <f>Elektrolyser!F26</f>
        <v>32250294.841449961</v>
      </c>
      <c r="G24">
        <f>Elektrolyser!G26</f>
        <v>6867313.6199153289</v>
      </c>
      <c r="H24">
        <f>Elektrolyser!H26</f>
        <v>9579163.0363036301</v>
      </c>
      <c r="I24">
        <f>Elektrolyser!I26</f>
        <v>16779901.29230769</v>
      </c>
      <c r="J24">
        <f>Elektrolyser!J26</f>
        <v>5191451.0363036301</v>
      </c>
      <c r="K24">
        <f>Elektrolyser!K26</f>
        <v>33685072.682940289</v>
      </c>
      <c r="L24">
        <f>Elektrolyser!L26</f>
        <v>6867313.6199153289</v>
      </c>
      <c r="M24">
        <f>Elektrolyser!M26</f>
        <v>9579163.0363036301</v>
      </c>
      <c r="N24">
        <f>Elektrolyser!N26</f>
        <v>16779901.29230769</v>
      </c>
      <c r="O24">
        <f>Elektrolyser!O26</f>
        <v>5191451.0363036301</v>
      </c>
      <c r="P24">
        <f>Elektrolyser!P26</f>
        <v>32811169.534344744</v>
      </c>
      <c r="Q24">
        <f>Elektrolyser!Q26</f>
        <v>6867313.6199153289</v>
      </c>
    </row>
    <row r="26">
      <c r="A26" t="s">
        <v>572</v>
      </c>
      <c r="B26" t="s">
        <v>573</v>
      </c>
      <c r="F26" t="s">
        <v>574</v>
      </c>
      <c r="K26" t="s">
        <v>574</v>
      </c>
      <c r="P26" t="s">
        <v>574</v>
      </c>
    </row>
    <row r="27">
      <c r="B27" t="s">
        <v>550</v>
      </c>
      <c r="C27">
        <f t="shared" ref="C27:Q27" si="94">C21*C16</f>
        <v>105840000</v>
      </c>
      <c r="D27">
        <f t="shared" si="94"/>
        <v>173664000</v>
      </c>
      <c r="E27">
        <f t="shared" si="94"/>
        <v>78059520</v>
      </c>
      <c r="F27">
        <f t="shared" si="94"/>
        <v>239573666.15782464</v>
      </c>
      <c r="G27">
        <f t="shared" si="94"/>
        <v>72148695.618361831</v>
      </c>
      <c r="H27">
        <f t="shared" si="94"/>
        <v>130536000</v>
      </c>
      <c r="I27">
        <f t="shared" si="94"/>
        <v>214185600</v>
      </c>
      <c r="J27">
        <f t="shared" si="94"/>
        <v>96273408</v>
      </c>
      <c r="K27">
        <f t="shared" si="94"/>
        <v>325697600.2362141</v>
      </c>
      <c r="L27">
        <f t="shared" si="94"/>
        <v>88983391.262646258</v>
      </c>
      <c r="M27">
        <f t="shared" si="94"/>
        <v>117992000</v>
      </c>
      <c r="N27">
        <f t="shared" si="94"/>
        <v>193603200</v>
      </c>
      <c r="O27">
        <f t="shared" si="94"/>
        <v>87021909.333333328</v>
      </c>
      <c r="P27">
        <f t="shared" si="94"/>
        <v>280584428.83625847</v>
      </c>
      <c r="Q27">
        <f t="shared" si="94"/>
        <v>80432434.744914487</v>
      </c>
    </row>
    <row r="28">
      <c r="B28" t="s">
        <v>551</v>
      </c>
      <c r="C28">
        <f t="shared" ref="C28:Q28" si="95">C22*C16</f>
        <v>102493397.65976599</v>
      </c>
      <c r="D28">
        <f t="shared" si="95"/>
        <v>169802921.90769231</v>
      </c>
      <c r="E28">
        <f t="shared" si="95"/>
        <v>72371132.05976598</v>
      </c>
      <c r="F28">
        <f t="shared" si="95"/>
        <v>236314814.06008866</v>
      </c>
      <c r="G28">
        <f t="shared" si="95"/>
        <v>70385178.843549952</v>
      </c>
      <c r="H28">
        <f t="shared" si="95"/>
        <v>126408523.78037804</v>
      </c>
      <c r="I28">
        <f t="shared" si="95"/>
        <v>209423603.68615383</v>
      </c>
      <c r="J28">
        <f t="shared" si="95"/>
        <v>89257729.540378034</v>
      </c>
      <c r="K28">
        <f t="shared" si="95"/>
        <v>320549095.29918021</v>
      </c>
      <c r="L28">
        <f t="shared" si="95"/>
        <v>86808387.240378261</v>
      </c>
      <c r="M28">
        <f t="shared" si="95"/>
        <v>114261158.13181318</v>
      </c>
      <c r="N28">
        <f t="shared" si="95"/>
        <v>189298812.94153845</v>
      </c>
      <c r="O28">
        <f t="shared" si="95"/>
        <v>80680410.185146511</v>
      </c>
      <c r="P28">
        <f t="shared" si="95"/>
        <v>276767719.05688429</v>
      </c>
      <c r="Q28">
        <f t="shared" si="95"/>
        <v>78466440.118179753</v>
      </c>
    </row>
    <row r="29">
      <c r="B29" t="s">
        <v>552</v>
      </c>
      <c r="C29">
        <f t="shared" ref="C29:Q29" si="96">C23*C16</f>
        <v>97538505.850585043</v>
      </c>
      <c r="D29">
        <f t="shared" si="96"/>
        <v>164086310.76923078</v>
      </c>
      <c r="E29">
        <f t="shared" si="96"/>
        <v>65074454.650585055</v>
      </c>
      <c r="F29">
        <f t="shared" si="96"/>
        <v>231489842.96260399</v>
      </c>
      <c r="G29">
        <f t="shared" si="96"/>
        <v>67774162.076539159</v>
      </c>
      <c r="H29">
        <f t="shared" si="96"/>
        <v>120297490.54905489</v>
      </c>
      <c r="I29">
        <f t="shared" si="96"/>
        <v>202373116.61538461</v>
      </c>
      <c r="J29">
        <f t="shared" si="96"/>
        <v>80258494.069054902</v>
      </c>
      <c r="K29">
        <f t="shared" si="96"/>
        <v>314471211.94657987</v>
      </c>
      <c r="L29">
        <f t="shared" si="96"/>
        <v>83588133.22773163</v>
      </c>
      <c r="M29">
        <f t="shared" si="96"/>
        <v>108737371.33713371</v>
      </c>
      <c r="N29">
        <f t="shared" si="96"/>
        <v>182925850.15384614</v>
      </c>
      <c r="O29">
        <f t="shared" si="96"/>
        <v>72545966.110467046</v>
      </c>
      <c r="P29">
        <f t="shared" si="96"/>
        <v>271116798.48096699</v>
      </c>
      <c r="Q29">
        <f t="shared" si="96"/>
        <v>75555639.944586247</v>
      </c>
    </row>
    <row r="30">
      <c r="B30" t="s">
        <v>553</v>
      </c>
      <c r="C30">
        <f t="shared" ref="C30:Q30" si="97">C24*C16</f>
        <v>86212467.326732665</v>
      </c>
      <c r="D30">
        <f t="shared" si="97"/>
        <v>151019111.63076919</v>
      </c>
      <c r="E30">
        <f t="shared" si="97"/>
        <v>46723059.326732673</v>
      </c>
      <c r="F30">
        <f t="shared" si="97"/>
        <v>220460781.05143791</v>
      </c>
      <c r="G30">
        <f t="shared" si="97"/>
        <v>61805822.57923796</v>
      </c>
      <c r="H30">
        <f t="shared" si="97"/>
        <v>106328709.7029703</v>
      </c>
      <c r="I30">
        <f t="shared" si="97"/>
        <v>186256904.34461534</v>
      </c>
      <c r="J30">
        <f t="shared" si="97"/>
        <v>57625106.502970293</v>
      </c>
      <c r="K30">
        <f t="shared" si="97"/>
        <v>301007475.60043281</v>
      </c>
      <c r="L30">
        <f t="shared" si="97"/>
        <v>76227181.18106015</v>
      </c>
      <c r="M30">
        <f t="shared" si="97"/>
        <v>96110935.79757975</v>
      </c>
      <c r="N30">
        <f t="shared" si="97"/>
        <v>168358342.96615383</v>
      </c>
      <c r="O30">
        <f t="shared" si="97"/>
        <v>52087558.730913088</v>
      </c>
      <c r="P30">
        <f t="shared" si="97"/>
        <v>258199756.77695251</v>
      </c>
      <c r="Q30">
        <f t="shared" si="97"/>
        <v>68902046.653150469</v>
      </c>
    </row>
    <row r="32">
      <c r="A32" s="30" t="s">
        <v>575</v>
      </c>
      <c r="B32" s="30" t="s">
        <v>555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>
      <c r="A33" s="30"/>
      <c r="B33" s="30" t="s">
        <v>550</v>
      </c>
      <c r="C33" s="30">
        <f t="shared" ref="C33:Q33" si="98">C27*(C14+C15)/1000</f>
        <v>365148</v>
      </c>
      <c r="D33" s="30">
        <f t="shared" si="98"/>
        <v>599140.80000000005</v>
      </c>
      <c r="E33" s="30">
        <f t="shared" si="98"/>
        <v>269305.34399999998</v>
      </c>
      <c r="F33" s="30">
        <f t="shared" si="98"/>
        <v>826529.14824449504</v>
      </c>
      <c r="G33" s="30">
        <f t="shared" si="98"/>
        <v>248912.99988334833</v>
      </c>
      <c r="H33" s="30">
        <f t="shared" si="98"/>
        <v>972493.19999999995</v>
      </c>
      <c r="I33" s="30">
        <f t="shared" si="98"/>
        <v>1595682.72</v>
      </c>
      <c r="J33" s="30">
        <f t="shared" si="98"/>
        <v>717236.88959999999</v>
      </c>
      <c r="K33" s="30">
        <f t="shared" si="98"/>
        <v>2426447.1217597951</v>
      </c>
      <c r="L33" s="30">
        <f t="shared" si="98"/>
        <v>662926.26490671467</v>
      </c>
      <c r="M33" s="30">
        <f t="shared" si="98"/>
        <v>542763.19999999995</v>
      </c>
      <c r="N33" s="30">
        <f t="shared" si="98"/>
        <v>890574.71999999986</v>
      </c>
      <c r="O33" s="30">
        <f t="shared" si="98"/>
        <v>400300.78293333331</v>
      </c>
      <c r="P33" s="30">
        <f t="shared" si="98"/>
        <v>1290688.3726467888</v>
      </c>
      <c r="Q33" s="30">
        <f t="shared" si="98"/>
        <v>369989.19982660661</v>
      </c>
    </row>
    <row r="34">
      <c r="A34" s="30"/>
      <c r="B34" s="30" t="s">
        <v>551</v>
      </c>
      <c r="C34" s="30">
        <f t="shared" ref="C34:Q34" si="99">C28*(C14+C15)/1000</f>
        <v>353602.22192619269</v>
      </c>
      <c r="D34" s="30">
        <f t="shared" si="99"/>
        <v>585820.08058153861</v>
      </c>
      <c r="E34" s="30">
        <f t="shared" si="99"/>
        <v>249680.40560619265</v>
      </c>
      <c r="F34" s="30">
        <f t="shared" si="99"/>
        <v>815286.10850730597</v>
      </c>
      <c r="G34" s="30">
        <f t="shared" si="99"/>
        <v>242828.86701024734</v>
      </c>
      <c r="H34" s="30">
        <f t="shared" si="99"/>
        <v>941743.50216381648</v>
      </c>
      <c r="I34" s="30">
        <f t="shared" si="99"/>
        <v>1560205.8474618462</v>
      </c>
      <c r="J34" s="30">
        <f t="shared" si="99"/>
        <v>664970.08507581637</v>
      </c>
      <c r="K34" s="30">
        <f t="shared" si="99"/>
        <v>2388090.7599788927</v>
      </c>
      <c r="L34" s="30">
        <f t="shared" si="99"/>
        <v>646722.48494081805</v>
      </c>
      <c r="M34" s="30">
        <f t="shared" si="99"/>
        <v>525601.32740634063</v>
      </c>
      <c r="N34" s="30">
        <f t="shared" si="99"/>
        <v>870774.53953107679</v>
      </c>
      <c r="O34" s="30">
        <f t="shared" si="99"/>
        <v>371129.88685167389</v>
      </c>
      <c r="P34" s="30">
        <f t="shared" si="99"/>
        <v>1273131.5076616677</v>
      </c>
      <c r="Q34" s="30">
        <f t="shared" si="99"/>
        <v>360945.62454362685</v>
      </c>
    </row>
    <row r="35">
      <c r="A35" s="30"/>
      <c r="B35" s="30" t="s">
        <v>552</v>
      </c>
      <c r="C35" s="30">
        <f t="shared" ref="C35:Q35" si="100">C29*(C14+C15)/1000</f>
        <v>336507.84518451837</v>
      </c>
      <c r="D35" s="30">
        <f t="shared" si="100"/>
        <v>566097.77215384622</v>
      </c>
      <c r="E35" s="30">
        <f t="shared" si="100"/>
        <v>224506.86854451845</v>
      </c>
      <c r="F35" s="30">
        <f t="shared" si="100"/>
        <v>798639.95822098374</v>
      </c>
      <c r="G35" s="30">
        <f t="shared" si="100"/>
        <v>233820.85916406012</v>
      </c>
      <c r="H35" s="30">
        <f t="shared" si="100"/>
        <v>896216.30459045898</v>
      </c>
      <c r="I35" s="30">
        <f t="shared" si="100"/>
        <v>1507679.7187846152</v>
      </c>
      <c r="J35" s="30">
        <f t="shared" si="100"/>
        <v>597925.78081445908</v>
      </c>
      <c r="K35" s="30">
        <f t="shared" si="100"/>
        <v>2342810.5290020197</v>
      </c>
      <c r="L35" s="30">
        <f t="shared" si="100"/>
        <v>622731.59254660073</v>
      </c>
      <c r="M35" s="30">
        <f t="shared" si="100"/>
        <v>500191.908150815</v>
      </c>
      <c r="N35" s="30">
        <f t="shared" si="100"/>
        <v>841458.91070769215</v>
      </c>
      <c r="O35" s="30">
        <f t="shared" si="100"/>
        <v>333711.4441081484</v>
      </c>
      <c r="P35" s="30">
        <f t="shared" si="100"/>
        <v>1247137.2730124481</v>
      </c>
      <c r="Q35" s="30">
        <f t="shared" si="100"/>
        <v>347555.94374509668</v>
      </c>
    </row>
    <row r="36">
      <c r="A36" s="30"/>
      <c r="B36" s="30" t="s">
        <v>553</v>
      </c>
      <c r="C36" s="30">
        <f t="shared" ref="C36:Q36" si="101">C30*(C14+C15)/1000</f>
        <v>297433.01227722771</v>
      </c>
      <c r="D36" s="30">
        <f t="shared" si="101"/>
        <v>521015.93512615375</v>
      </c>
      <c r="E36" s="30">
        <f t="shared" si="101"/>
        <v>161194.55467722774</v>
      </c>
      <c r="F36" s="30">
        <f t="shared" si="101"/>
        <v>760589.69462746079</v>
      </c>
      <c r="G36" s="30">
        <f t="shared" si="101"/>
        <v>213230.08789837098</v>
      </c>
      <c r="H36" s="30">
        <f t="shared" si="101"/>
        <v>792148.88728712872</v>
      </c>
      <c r="I36" s="30">
        <f t="shared" si="101"/>
        <v>1387613.9373673843</v>
      </c>
      <c r="J36" s="30">
        <f t="shared" si="101"/>
        <v>429307.04344712873</v>
      </c>
      <c r="K36" s="30">
        <f t="shared" si="101"/>
        <v>2242505.6932232245</v>
      </c>
      <c r="L36" s="30">
        <f t="shared" si="101"/>
        <v>567892.49979889812</v>
      </c>
      <c r="M36" s="30">
        <f t="shared" si="101"/>
        <v>442110.3046688668</v>
      </c>
      <c r="N36" s="30">
        <f t="shared" si="101"/>
        <v>774448.37764430756</v>
      </c>
      <c r="O36" s="30">
        <f t="shared" si="101"/>
        <v>239602.77016220018</v>
      </c>
      <c r="P36" s="30">
        <f t="shared" si="101"/>
        <v>1187718.8811739814</v>
      </c>
      <c r="Q36" s="30">
        <f t="shared" si="101"/>
        <v>316949.41460449214</v>
      </c>
    </row>
    <row r="38">
      <c r="A38" s="30" t="s">
        <v>576</v>
      </c>
      <c r="B38" s="30" t="s">
        <v>366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>
      <c r="A39" s="30"/>
      <c r="B39" s="30" t="s">
        <v>550</v>
      </c>
      <c r="C39" s="30">
        <f t="shared" ref="C39:Q39" si="102">C21*C17</f>
        <v>82801.108153182155</v>
      </c>
      <c r="D39" s="30">
        <f t="shared" si="102"/>
        <v>135861.41011256826</v>
      </c>
      <c r="E39" s="30">
        <f t="shared" si="102"/>
        <v>61067.788717927862</v>
      </c>
      <c r="F39" s="30">
        <f t="shared" si="102"/>
        <v>187424.08392090318</v>
      </c>
      <c r="G39" s="30">
        <f t="shared" si="102"/>
        <v>42871.624938179761</v>
      </c>
      <c r="H39" s="30">
        <f t="shared" si="102"/>
        <v>376346.13228777755</v>
      </c>
      <c r="I39" s="30">
        <f t="shared" si="102"/>
        <v>617514.87828443502</v>
      </c>
      <c r="J39" s="30">
        <f t="shared" si="102"/>
        <v>277564.23318443331</v>
      </c>
      <c r="K39" s="30">
        <f t="shared" si="102"/>
        <v>939013.23883304175</v>
      </c>
      <c r="L39" s="30">
        <f t="shared" si="102"/>
        <v>256546.50931196712</v>
      </c>
      <c r="M39" s="30">
        <f t="shared" si="102"/>
        <v>178699.68498232879</v>
      </c>
      <c r="N39" s="30">
        <f t="shared" si="102"/>
        <v>293213.36066488235</v>
      </c>
      <c r="O39" s="30">
        <f t="shared" si="102"/>
        <v>131795.27242887183</v>
      </c>
      <c r="P39" s="30">
        <f t="shared" si="102"/>
        <v>424947.02220477693</v>
      </c>
      <c r="Q39" s="30">
        <f t="shared" si="102"/>
        <v>121815.46843241861</v>
      </c>
    </row>
    <row r="40">
      <c r="A40" s="30"/>
      <c r="B40" s="30" t="s">
        <v>551</v>
      </c>
      <c r="C40" s="30">
        <f t="shared" ref="C40:Q40" si="103">C22*C17</f>
        <v>80182.982847821142</v>
      </c>
      <c r="D40" s="30">
        <f t="shared" si="103"/>
        <v>132840.79839007155</v>
      </c>
      <c r="E40" s="30">
        <f t="shared" si="103"/>
        <v>56617.629751029017</v>
      </c>
      <c r="F40" s="30">
        <f t="shared" si="103"/>
        <v>184874.60768318721</v>
      </c>
      <c r="G40" s="30">
        <f t="shared" si="103"/>
        <v>41823.722005300093</v>
      </c>
      <c r="H40" s="30">
        <f t="shared" si="103"/>
        <v>364446.2754562177</v>
      </c>
      <c r="I40" s="30">
        <f t="shared" si="103"/>
        <v>603785.64730842342</v>
      </c>
      <c r="J40" s="30">
        <f t="shared" si="103"/>
        <v>257337.4493573404</v>
      </c>
      <c r="K40" s="30">
        <f t="shared" si="103"/>
        <v>924169.67138714762</v>
      </c>
      <c r="L40" s="30">
        <f t="shared" si="103"/>
        <v>250275.79202714976</v>
      </c>
      <c r="M40" s="30">
        <f t="shared" si="103"/>
        <v>173049.29964634107</v>
      </c>
      <c r="N40" s="30">
        <f t="shared" si="103"/>
        <v>286694.33724474296</v>
      </c>
      <c r="O40" s="30">
        <f t="shared" si="103"/>
        <v>122191.02892001792</v>
      </c>
      <c r="P40" s="30">
        <f t="shared" si="103"/>
        <v>419166.58933438628</v>
      </c>
      <c r="Q40" s="30">
        <f t="shared" si="103"/>
        <v>118837.95622418037</v>
      </c>
    </row>
    <row r="41">
      <c r="A41" s="30"/>
      <c r="B41" s="30" t="s">
        <v>552</v>
      </c>
      <c r="C41" s="30">
        <f t="shared" ref="C41:Q41" si="104">C23*C17</f>
        <v>76306.655064569946</v>
      </c>
      <c r="D41" s="30">
        <f t="shared" si="104"/>
        <v>128368.55975491056</v>
      </c>
      <c r="E41" s="30">
        <f t="shared" si="104"/>
        <v>50909.268306239981</v>
      </c>
      <c r="F41" s="30">
        <f t="shared" si="104"/>
        <v>181099.91991222341</v>
      </c>
      <c r="G41" s="30">
        <f t="shared" si="104"/>
        <v>40272.224357515915</v>
      </c>
      <c r="H41" s="30">
        <f t="shared" si="104"/>
        <v>346827.65897577896</v>
      </c>
      <c r="I41" s="30">
        <f t="shared" si="104"/>
        <v>583458.50736366503</v>
      </c>
      <c r="J41" s="30">
        <f t="shared" si="104"/>
        <v>231391.9058813687</v>
      </c>
      <c r="K41" s="30">
        <f t="shared" si="104"/>
        <v>906646.62876099534</v>
      </c>
      <c r="L41" s="30">
        <f t="shared" si="104"/>
        <v>240991.53218585113</v>
      </c>
      <c r="M41" s="30">
        <f t="shared" si="104"/>
        <v>164683.48704787021</v>
      </c>
      <c r="N41" s="30">
        <f t="shared" si="104"/>
        <v>277042.44184026873</v>
      </c>
      <c r="O41" s="30">
        <f t="shared" si="104"/>
        <v>109871.35814868094</v>
      </c>
      <c r="P41" s="30">
        <f t="shared" si="104"/>
        <v>410608.23176118993</v>
      </c>
      <c r="Q41" s="30">
        <f t="shared" si="104"/>
        <v>114429.52960146299</v>
      </c>
    </row>
    <row r="42">
      <c r="A42" s="30"/>
      <c r="B42" s="30" t="s">
        <v>553</v>
      </c>
      <c r="C42" s="30">
        <f t="shared" ref="C42:Q42" si="105">C24*C17</f>
        <v>67446.03015186578</v>
      </c>
      <c r="D42" s="30">
        <f t="shared" si="105"/>
        <v>118145.78415851104</v>
      </c>
      <c r="E42" s="30">
        <f t="shared" si="105"/>
        <v>36552.542408922316</v>
      </c>
      <c r="F42" s="30">
        <f t="shared" si="105"/>
        <v>172471.62675146564</v>
      </c>
      <c r="G42" s="30">
        <f t="shared" si="105"/>
        <v>36725.765059270445</v>
      </c>
      <c r="H42" s="30">
        <f t="shared" si="105"/>
        <v>306554.50333902339</v>
      </c>
      <c r="I42" s="30">
        <f t="shared" si="105"/>
        <v>536994.12853152037</v>
      </c>
      <c r="J42" s="30">
        <f t="shared" si="105"/>
        <v>166137.96925801411</v>
      </c>
      <c r="K42" s="30">
        <f t="shared" si="105"/>
        <v>867829.55837416858</v>
      </c>
      <c r="L42" s="30">
        <f t="shared" si="105"/>
        <v>219769.29592366589</v>
      </c>
      <c r="M42" s="30">
        <f t="shared" si="105"/>
        <v>145560.66470933903</v>
      </c>
      <c r="N42" s="30">
        <f t="shared" si="105"/>
        <v>254979.85331377177</v>
      </c>
      <c r="O42" s="30">
        <f t="shared" si="105"/>
        <v>78886.961291551284</v>
      </c>
      <c r="P42" s="30">
        <f t="shared" si="105"/>
        <v>391045.28441381903</v>
      </c>
      <c r="Q42" s="30">
        <f t="shared" si="105"/>
        <v>104352.61739402426</v>
      </c>
    </row>
    <row r="50">
      <c r="A50" s="31" t="s">
        <v>577</v>
      </c>
    </row>
    <row r="51">
      <c r="A51" t="s">
        <v>578</v>
      </c>
      <c r="B51" t="s">
        <v>40</v>
      </c>
      <c r="C51">
        <f>values!C101</f>
        <v>1.0600000000000001</v>
      </c>
    </row>
    <row r="52">
      <c r="A52" t="s">
        <v>566</v>
      </c>
      <c r="B52" t="s">
        <v>40</v>
      </c>
      <c r="C52">
        <f>assumptions!C4*values!C98+assumptions!C4*values!C99</f>
        <v>0.034500000000000003</v>
      </c>
    </row>
    <row r="53">
      <c r="A53" t="s">
        <v>546</v>
      </c>
      <c r="B53" t="s">
        <v>40</v>
      </c>
      <c r="C53">
        <f>C51+C52</f>
        <v>1.0945</v>
      </c>
    </row>
    <row r="54">
      <c r="A54" t="s">
        <v>383</v>
      </c>
      <c r="B54" t="s">
        <v>384</v>
      </c>
      <c r="C54">
        <f>values!C100</f>
        <v>9</v>
      </c>
    </row>
    <row r="55">
      <c r="A55" t="s">
        <v>569</v>
      </c>
      <c r="B55" t="s">
        <v>176</v>
      </c>
      <c r="C55">
        <f>(C54/1000)*C53</f>
        <v>0.0098504999999999999</v>
      </c>
    </row>
  </sheetData>
  <mergeCells count="3">
    <mergeCell ref="C1:G1"/>
    <mergeCell ref="H1:L1"/>
    <mergeCell ref="M1:Q1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10" activeCellId="0" sqref="D10"/>
    </sheetView>
  </sheetViews>
  <sheetFormatPr baseColWidth="10" defaultRowHeight="14.25"/>
  <cols>
    <col customWidth="1" min="1" max="1" width="30"/>
    <col customWidth="1" min="2" max="2" width="21.33203125"/>
    <col bestFit="1" customWidth="1" min="4" max="4" width="11.6640625"/>
    <col customWidth="1" min="6" max="6" width="11.796875"/>
    <col bestFit="1" customWidth="1" min="7" max="7" width="11.6640625"/>
    <col bestFit="1" customWidth="1" min="9" max="9" width="11.6640625"/>
    <col bestFit="1" customWidth="1" min="11" max="11" width="11.6640625"/>
    <col bestFit="1" customWidth="1" min="13" max="13" width="11.6640625"/>
  </cols>
  <sheetData>
    <row r="1">
      <c r="C1" s="27" t="s">
        <v>517</v>
      </c>
      <c r="D1" s="27"/>
      <c r="E1" s="27"/>
      <c r="F1" s="27"/>
      <c r="G1" s="32" t="s">
        <v>518</v>
      </c>
      <c r="H1" s="28"/>
      <c r="I1" s="28"/>
      <c r="J1" s="33"/>
      <c r="K1" s="29" t="s">
        <v>519</v>
      </c>
      <c r="L1" s="29"/>
      <c r="M1" s="29"/>
      <c r="N1" s="29"/>
    </row>
    <row r="2">
      <c r="B2" t="s">
        <v>0</v>
      </c>
      <c r="C2" s="1" t="s">
        <v>215</v>
      </c>
      <c r="D2" s="1" t="s">
        <v>191</v>
      </c>
      <c r="E2" s="1" t="s">
        <v>255</v>
      </c>
      <c r="F2" s="1" t="s">
        <v>558</v>
      </c>
      <c r="G2" s="34" t="s">
        <v>215</v>
      </c>
      <c r="H2" s="3" t="s">
        <v>191</v>
      </c>
      <c r="I2" s="3" t="s">
        <v>255</v>
      </c>
      <c r="J2" s="35" t="s">
        <v>558</v>
      </c>
      <c r="K2" s="2" t="s">
        <v>215</v>
      </c>
      <c r="L2" s="2" t="s">
        <v>191</v>
      </c>
      <c r="M2" s="2" t="s">
        <v>255</v>
      </c>
      <c r="N2" s="2" t="s">
        <v>558</v>
      </c>
    </row>
    <row r="3">
      <c r="A3" t="s">
        <v>524</v>
      </c>
      <c r="C3" s="1"/>
      <c r="D3" s="1" t="s">
        <v>526</v>
      </c>
      <c r="E3" s="1"/>
      <c r="F3" s="1"/>
      <c r="G3" s="34"/>
      <c r="H3" s="3" t="s">
        <v>526</v>
      </c>
      <c r="I3" s="3"/>
      <c r="J3" s="35"/>
      <c r="K3" s="2"/>
      <c r="L3" s="2" t="s">
        <v>526</v>
      </c>
      <c r="M3" s="2"/>
      <c r="N3" s="2"/>
    </row>
    <row r="4">
      <c r="A4" t="s">
        <v>195</v>
      </c>
      <c r="B4" t="s">
        <v>196</v>
      </c>
      <c r="C4" s="1"/>
      <c r="D4" s="1">
        <f>values!C21</f>
        <v>0.061600000000000002</v>
      </c>
      <c r="E4" s="1"/>
      <c r="F4" s="1"/>
      <c r="G4" s="34"/>
      <c r="H4" s="3">
        <f>values!E21</f>
        <v>0.061600000000000002</v>
      </c>
      <c r="I4" s="3"/>
      <c r="J4" s="35"/>
      <c r="K4" s="2"/>
      <c r="L4" s="2">
        <f>values!D21</f>
        <v>0.061600000000000002</v>
      </c>
      <c r="M4" s="2"/>
      <c r="N4" s="2"/>
    </row>
    <row r="5">
      <c r="A5" t="s">
        <v>527</v>
      </c>
      <c r="B5" t="s">
        <v>528</v>
      </c>
      <c r="C5" s="1"/>
      <c r="D5" s="1"/>
      <c r="E5" s="1"/>
      <c r="F5" s="1"/>
      <c r="G5" s="34"/>
      <c r="H5" s="3"/>
      <c r="I5" s="3"/>
      <c r="J5" s="35"/>
      <c r="K5" s="2"/>
      <c r="L5" s="2"/>
      <c r="M5" s="2"/>
      <c r="N5" s="2"/>
    </row>
    <row r="6">
      <c r="A6" t="s">
        <v>579</v>
      </c>
      <c r="B6" t="s">
        <v>580</v>
      </c>
      <c r="C6" s="1">
        <f>values!C3</f>
        <v>33.329999999999998</v>
      </c>
      <c r="D6" s="1">
        <f>values!C3</f>
        <v>33.329999999999998</v>
      </c>
      <c r="E6" s="1">
        <f>values!C3</f>
        <v>33.329999999999998</v>
      </c>
      <c r="F6" s="1">
        <f>values!C3</f>
        <v>33.329999999999998</v>
      </c>
      <c r="G6" s="34">
        <f>values!E3</f>
        <v>33.329999999999998</v>
      </c>
      <c r="H6" s="3">
        <f>values!E3</f>
        <v>33.329999999999998</v>
      </c>
      <c r="I6" s="3">
        <f>values!E3</f>
        <v>33.329999999999998</v>
      </c>
      <c r="J6" s="35">
        <f>values!E3</f>
        <v>33.329999999999998</v>
      </c>
      <c r="K6" s="2">
        <f>values!D3</f>
        <v>33.329999999999998</v>
      </c>
      <c r="L6" s="2">
        <f>values!D3</f>
        <v>33.329999999999998</v>
      </c>
      <c r="M6" s="2">
        <f>values!D3</f>
        <v>33.329999999999998</v>
      </c>
      <c r="N6" s="2">
        <f>values!D3</f>
        <v>33.329999999999998</v>
      </c>
    </row>
    <row r="7">
      <c r="A7" t="s">
        <v>529</v>
      </c>
      <c r="B7" t="s">
        <v>530</v>
      </c>
      <c r="C7" s="1">
        <f>values!C34</f>
        <v>5.2000000000000002</v>
      </c>
      <c r="D7" s="1">
        <f>D6*D4</f>
        <v>2.0531280000000001</v>
      </c>
      <c r="E7" s="1">
        <f>values!C53</f>
        <v>13.888888888888889</v>
      </c>
      <c r="F7" s="1">
        <f>values!C85</f>
        <v>2.0555555555555558</v>
      </c>
      <c r="G7" s="34">
        <f>values!E34</f>
        <v>5.2000000000000002</v>
      </c>
      <c r="H7" s="3">
        <f>H6*H4</f>
        <v>2.0531280000000001</v>
      </c>
      <c r="I7" s="3">
        <f>values!E53</f>
        <v>13.888888888888889</v>
      </c>
      <c r="J7" s="35">
        <f>values!E85</f>
        <v>2.0555555555555558</v>
      </c>
      <c r="K7" s="2">
        <f>values!D34</f>
        <v>5.2000000000000002</v>
      </c>
      <c r="L7" s="2">
        <f>L6*L4</f>
        <v>2.0531280000000001</v>
      </c>
      <c r="M7" s="2">
        <f>values!D53</f>
        <v>13.888888888888889</v>
      </c>
      <c r="N7" s="2">
        <f>values!D85</f>
        <v>2.0555555555555558</v>
      </c>
    </row>
    <row r="8">
      <c r="A8" t="s">
        <v>531</v>
      </c>
      <c r="B8" t="s">
        <v>532</v>
      </c>
      <c r="C8" s="1">
        <f>assumptions!C18</f>
        <v>25</v>
      </c>
      <c r="D8" s="1">
        <f>assumptions!C18</f>
        <v>25</v>
      </c>
      <c r="E8" s="1">
        <f>assumptions!C18</f>
        <v>25</v>
      </c>
      <c r="F8" s="1">
        <f>assumptions!C18</f>
        <v>25</v>
      </c>
      <c r="G8" s="34">
        <f>assumptions!E18</f>
        <v>25</v>
      </c>
      <c r="H8" s="3">
        <f>assumptions!C18</f>
        <v>25</v>
      </c>
      <c r="I8" s="3">
        <f>assumptions!C18</f>
        <v>25</v>
      </c>
      <c r="J8" s="35">
        <f>assumptions!C18</f>
        <v>25</v>
      </c>
      <c r="K8" s="2">
        <f>assumptions!D18</f>
        <v>25</v>
      </c>
      <c r="L8" s="2">
        <f>assumptions!D18</f>
        <v>25</v>
      </c>
      <c r="M8" s="2">
        <f>assumptions!D18</f>
        <v>25</v>
      </c>
      <c r="N8" s="2">
        <f>assumptions!D18</f>
        <v>25</v>
      </c>
    </row>
    <row r="9">
      <c r="A9" t="s">
        <v>581</v>
      </c>
      <c r="B9" t="s">
        <v>82</v>
      </c>
      <c r="C9" s="1">
        <f>C7/(values!C36*values!C3+values!C38)</f>
        <v>0.80752865173773958</v>
      </c>
      <c r="D9" s="1">
        <v>1</v>
      </c>
      <c r="E9" s="1">
        <f>values!C55</f>
        <v>0.78000000000000003</v>
      </c>
      <c r="F9" s="1"/>
      <c r="G9" s="34">
        <f>G7/(values!E36*values!E3+values!E38)</f>
        <v>0.76986853014331402</v>
      </c>
      <c r="H9" s="3">
        <v>1</v>
      </c>
      <c r="I9" s="3">
        <f>values!E55</f>
        <v>0.75</v>
      </c>
      <c r="J9" s="35"/>
      <c r="K9" s="2">
        <f>K7/(values!D36*values!D3+values!D38)</f>
        <v>0.7917656373713382</v>
      </c>
      <c r="L9" s="2">
        <v>1</v>
      </c>
      <c r="M9" s="2">
        <f>values!D55</f>
        <v>0.76666666666666661</v>
      </c>
      <c r="N9" s="2"/>
    </row>
    <row r="10">
      <c r="A10" t="s">
        <v>535</v>
      </c>
      <c r="B10" t="s">
        <v>536</v>
      </c>
      <c r="C10" s="1">
        <f>values!C37*values!C35+values!C38</f>
        <v>0.53071999999999997</v>
      </c>
      <c r="D10" s="1">
        <f>(values!C26/D6)*D7</f>
        <v>0.012320000000000001</v>
      </c>
      <c r="E10" s="1">
        <f>values!C64*(values!C59+values!C60-values!C61)+values!C63</f>
        <v>2.0199421666666666</v>
      </c>
      <c r="F10" s="1">
        <f>values!C88</f>
        <v>1.1599999999999999</v>
      </c>
      <c r="G10" s="34">
        <f>values!E37*values!E35+values!E38</f>
        <v>1.427</v>
      </c>
      <c r="H10" s="3">
        <f>(values!E26/H6)*H7</f>
        <v>0.20697599999999999</v>
      </c>
      <c r="I10" s="3">
        <f>values!E64*(values!E59+values!E60-values!E61)+values!E63</f>
        <v>9.0250277777777779</v>
      </c>
      <c r="J10" s="35">
        <f>values!E88</f>
        <v>1.2266666666666668</v>
      </c>
      <c r="K10" s="2">
        <f>values!D37*values!D35+values!D38</f>
        <v>0.96397999999999995</v>
      </c>
      <c r="L10" s="2">
        <f>(values!D26/L6)*L7</f>
        <v>0.10718138200000001</v>
      </c>
      <c r="M10" s="2">
        <f>values!D64*(values!D59+values!D60-values!D61)+values!D63</f>
        <v>4.9769078131527786</v>
      </c>
      <c r="N10" s="2">
        <f>values!D88</f>
        <v>1.1933333333333334</v>
      </c>
    </row>
    <row r="11">
      <c r="A11" t="s">
        <v>582</v>
      </c>
      <c r="B11" t="s">
        <v>583</v>
      </c>
      <c r="C11" s="1">
        <f>assumptions!C41/100</f>
        <v>0.02</v>
      </c>
      <c r="D11" s="1">
        <f>assumptions!C48/100</f>
        <v>0.025000000000000001</v>
      </c>
      <c r="E11" s="1">
        <f>assumptions!C50/100</f>
        <v>0.02</v>
      </c>
      <c r="F11" s="1"/>
      <c r="G11" s="34">
        <f>assumptions!E41/100</f>
        <v>0.040000000000000001</v>
      </c>
      <c r="H11" s="3">
        <f>assumptions!E48/100</f>
        <v>0.040000000000000001</v>
      </c>
      <c r="I11" s="3">
        <f>assumptions!E50/100</f>
        <v>0.050000000000000003</v>
      </c>
      <c r="J11" s="35"/>
      <c r="K11" s="2">
        <f>assumptions!D41/100</f>
        <v>0.028333333333333335</v>
      </c>
      <c r="L11" s="2">
        <f>assumptions!D48/100</f>
        <v>0.033750000000000002</v>
      </c>
      <c r="M11" s="2">
        <f>assumptions!D50/100</f>
        <v>0.034599999999999999</v>
      </c>
      <c r="N11" s="2"/>
    </row>
    <row r="12">
      <c r="A12" t="s">
        <v>584</v>
      </c>
      <c r="B12" t="s">
        <v>583</v>
      </c>
      <c r="C12" s="1"/>
      <c r="D12" s="1"/>
      <c r="E12" s="1">
        <f>assumptions!C51/100</f>
        <v>0.014999999999999999</v>
      </c>
      <c r="F12" s="1"/>
      <c r="G12" s="34"/>
      <c r="H12" s="3"/>
      <c r="I12" s="3">
        <f>assumptions!E51/100</f>
        <v>0.040000000000000001</v>
      </c>
      <c r="J12" s="35"/>
      <c r="K12" s="2"/>
      <c r="L12" s="2"/>
      <c r="M12" s="2">
        <f>assumptions!D51/100</f>
        <v>0.035000000000000003</v>
      </c>
      <c r="N12" s="2"/>
    </row>
    <row r="13">
      <c r="A13" t="s">
        <v>538</v>
      </c>
      <c r="B13" t="s">
        <v>82</v>
      </c>
      <c r="C13" s="1">
        <f>(assumptions!C13*(1+assumptions!C13)^C8)/(((1+assumptions!C13)^C8)-1)</f>
        <v>0.093678779051968114</v>
      </c>
      <c r="D13" s="1">
        <f>(assumptions!C13*(1+assumptions!C13)^Conversion!D8)/(((1+assumptions!C13)^Conversion!D8)-1)</f>
        <v>0.093678779051968114</v>
      </c>
      <c r="E13" s="1">
        <f>(assumptions!C13*(1+assumptions!C13)^Conversion!E8)/(((1+assumptions!C13)^Conversion!E8)-1)</f>
        <v>0.093678779051968114</v>
      </c>
      <c r="F13" s="1">
        <f>(assumptions!C13*(1+assumptions!C13)^Conversion!F8)/(((1+assumptions!C13)^Conversion!F8)-1)</f>
        <v>0.093678779051968114</v>
      </c>
      <c r="G13" s="34">
        <f>(assumptions!G13*(1+assumptions!G13)^G8)/(((1+assumptions!G13)^G8)-1)</f>
        <v>0.093678779051968114</v>
      </c>
      <c r="H13" s="3">
        <f>(assumptions!G13*(1+assumptions!G13)^H8)/(((1+assumptions!G13)^H8)-1)</f>
        <v>0.093678779051968114</v>
      </c>
      <c r="I13" s="3">
        <f>(assumptions!G13*(1+assumptions!G13)^I8)/(((1+assumptions!G13)^I8)-1)</f>
        <v>0.093678779051968114</v>
      </c>
      <c r="J13" s="35">
        <f>(assumptions!G13*(1+assumptions!G13)^J8)/(((1+assumptions!G13)^J8)-1)</f>
        <v>0.093678779051968114</v>
      </c>
      <c r="K13" s="2">
        <f>(assumptions!D13*(1+assumptions!D13)^K8)/(((1+assumptions!D13)^K8)-1)</f>
        <v>0.093678779051968114</v>
      </c>
      <c r="L13" s="2">
        <f>(assumptions!D13*(1+assumptions!D13)^L8)/(((1+assumptions!D13)^L8)-1)</f>
        <v>0.093678779051968114</v>
      </c>
      <c r="M13" s="2">
        <f>(assumptions!D13*(1+assumptions!D13)^M8)/(((1+assumptions!D13)^M8)-1)</f>
        <v>0.093678779051968114</v>
      </c>
      <c r="N13" s="2">
        <f>(assumptions!D13*(1+assumptions!D13)^N8)/(((1+assumptions!D13)^N8)-1)</f>
        <v>0.093678779051968114</v>
      </c>
    </row>
    <row r="14">
      <c r="A14" t="s">
        <v>561</v>
      </c>
      <c r="B14" t="s">
        <v>539</v>
      </c>
      <c r="C14" s="1">
        <f>assumptions!C9</f>
        <v>8760</v>
      </c>
      <c r="D14" s="1">
        <f>C14</f>
        <v>8760</v>
      </c>
      <c r="E14" s="1">
        <f>C14</f>
        <v>8760</v>
      </c>
      <c r="F14" s="1">
        <f>C14</f>
        <v>8760</v>
      </c>
      <c r="G14" s="34">
        <f>assumptions!E9</f>
        <v>8760</v>
      </c>
      <c r="H14" s="3">
        <f>G14</f>
        <v>8760</v>
      </c>
      <c r="I14" s="3">
        <f>G14</f>
        <v>8760</v>
      </c>
      <c r="J14" s="35">
        <f>G14</f>
        <v>8760</v>
      </c>
      <c r="K14" s="2">
        <f>assumptions!D9</f>
        <v>8760</v>
      </c>
      <c r="L14" s="2">
        <f>K14</f>
        <v>8760</v>
      </c>
      <c r="M14" s="2">
        <f>K14</f>
        <v>8760</v>
      </c>
      <c r="N14" s="2">
        <f>K14</f>
        <v>8760</v>
      </c>
    </row>
    <row r="15">
      <c r="A15" t="s">
        <v>198</v>
      </c>
      <c r="B15" t="s">
        <v>199</v>
      </c>
      <c r="C15" s="1"/>
      <c r="D15" s="1">
        <f>values!C23</f>
        <v>0.29999999999999999</v>
      </c>
      <c r="E15" s="1"/>
      <c r="F15" s="1"/>
      <c r="G15" s="34"/>
      <c r="H15" s="3">
        <f>values!E23</f>
        <v>0.88</v>
      </c>
      <c r="I15" s="3"/>
      <c r="J15" s="35"/>
      <c r="K15" s="2"/>
      <c r="L15" s="2">
        <f>values!D23</f>
        <v>0.58648936170212762</v>
      </c>
      <c r="M15" s="2"/>
      <c r="N15" s="2"/>
    </row>
    <row r="16">
      <c r="A16" t="s">
        <v>72</v>
      </c>
      <c r="B16" t="s">
        <v>82</v>
      </c>
      <c r="C16" s="1"/>
      <c r="D16" s="1">
        <f>assumptions!C20/100</f>
        <v>0.001</v>
      </c>
      <c r="E16" s="1"/>
      <c r="F16" s="1"/>
      <c r="G16" s="34"/>
      <c r="H16" s="3">
        <f>assumptions!E20/100</f>
        <v>0.001</v>
      </c>
      <c r="I16" s="3"/>
      <c r="J16" s="35"/>
      <c r="K16" s="2"/>
      <c r="L16" s="2">
        <f>assumptions!D20/100</f>
        <v>0.001</v>
      </c>
      <c r="M16" s="2"/>
      <c r="N16" s="2"/>
    </row>
    <row r="17">
      <c r="A17" t="s">
        <v>585</v>
      </c>
      <c r="B17" t="s">
        <v>586</v>
      </c>
      <c r="C17" s="1">
        <f>values!C39</f>
        <v>440.89999999999998</v>
      </c>
      <c r="D17" s="1">
        <f>values!C25</f>
        <v>55.319148936170215</v>
      </c>
      <c r="E17" s="1">
        <f>values!C56</f>
        <v>132.97872340425533</v>
      </c>
      <c r="F17" s="1">
        <f>values!C86+values!C87</f>
        <v>225</v>
      </c>
      <c r="G17" s="34">
        <f>values!E39</f>
        <v>1973.9000000000001</v>
      </c>
      <c r="H17" s="3">
        <f>values!E25</f>
        <v>123.40425531914894</v>
      </c>
      <c r="I17" s="3">
        <f>values!E56</f>
        <v>1436.1702127659576</v>
      </c>
      <c r="J17" s="35">
        <f>values!E86+values!E87</f>
        <v>430.47619047619048</v>
      </c>
      <c r="K17" s="2">
        <f>values!D39</f>
        <v>959.23813420621946</v>
      </c>
      <c r="L17" s="2">
        <f>values!D25</f>
        <v>88.544680851063831</v>
      </c>
      <c r="M17" s="2">
        <f>values!D56</f>
        <v>576.49645390070918</v>
      </c>
      <c r="N17" s="2">
        <f>values!D86+values!D87</f>
        <v>361.98333333333335</v>
      </c>
    </row>
    <row r="18">
      <c r="A18" t="s">
        <v>587</v>
      </c>
      <c r="B18" t="s">
        <v>543</v>
      </c>
      <c r="C18" s="1">
        <f>Conversion!C13*Conversion!C17*C7/(Conversion!C14)</f>
        <v>0.024517746935715328</v>
      </c>
      <c r="D18" s="1">
        <f>D13*Conversion!D17*Conversion!D7/(D14)</f>
        <v>0.0012145870084554161</v>
      </c>
      <c r="E18" s="1">
        <f>E13*Conversion!E17*Conversion!E7/(E14)</f>
        <v>0.019750894927067504</v>
      </c>
      <c r="F18" s="1">
        <f>(F13*F17/1000)*(8760/F14)</f>
        <v>0.021077725286692824</v>
      </c>
      <c r="G18" s="34">
        <f>Conversion!G13*Conversion!G17*G7/(Conversion!G14)</f>
        <v>0.10976543587300633</v>
      </c>
      <c r="H18" s="3">
        <f>H13*Conversion!H17*Conversion!H7/(H14)</f>
        <v>0.0027094633265543899</v>
      </c>
      <c r="I18" s="3">
        <f>I13*Conversion!I17*Conversion!I7/(I14)</f>
        <v>0.21330966521232905</v>
      </c>
      <c r="J18" s="35">
        <f>(J13*J17/1000)*(8760/J14)</f>
        <v>0.040326483934751994</v>
      </c>
      <c r="K18" s="2">
        <f>Conversion!K13*Conversion!K17*K7/(Conversion!K14)</f>
        <v>0.053341705206522622</v>
      </c>
      <c r="L18" s="2">
        <f>L13*Conversion!L17*Conversion!L7/(L14)</f>
        <v>0.0019440866516877155</v>
      </c>
      <c r="M18" s="2">
        <f>M13*Conversion!M17*Conversion!M7/(M14)</f>
        <v>0.08562513306888582</v>
      </c>
      <c r="N18" s="2">
        <f>(N13*N17/1000)*(8760/N14)</f>
        <v>0.033910156703828256</v>
      </c>
    </row>
    <row r="19">
      <c r="A19" t="s">
        <v>588</v>
      </c>
      <c r="B19" t="s">
        <v>543</v>
      </c>
      <c r="C19" s="1">
        <f>Conversion!C11*C17*C7/Conversion!C14</f>
        <v>0.0052344292237442918</v>
      </c>
      <c r="D19" s="1">
        <f>D11*D17*D7/D14</f>
        <v>0.00032413611192072284</v>
      </c>
      <c r="E19" s="1">
        <f>E11*E17*E7/E14</f>
        <v>0.004216727657415504</v>
      </c>
      <c r="F19" s="1">
        <f>(assumptions!C57/1000)*(8760/F14)</f>
        <v>0.044999999999999998</v>
      </c>
      <c r="G19" s="34">
        <f>Conversion!G11*G17*G7/Conversion!G14</f>
        <v>0.046868858447488587</v>
      </c>
      <c r="H19" s="3">
        <f>H11*H17*H7/H14</f>
        <v>0.0011569165840862722</v>
      </c>
      <c r="I19" s="3">
        <f>I11*I17*I7/I14</f>
        <v>0.11385164675021861</v>
      </c>
      <c r="J19" s="35">
        <f>(assumptions!E57/1000)*(8760/J14)</f>
        <v>0.070819999999999994</v>
      </c>
      <c r="K19" s="2">
        <f>Conversion!K11*K17*K7/Conversion!K14</f>
        <v>0.016133304996923479</v>
      </c>
      <c r="L19" s="2">
        <f>L11*L17*L7/L14</f>
        <v>0.00070040328405712629</v>
      </c>
      <c r="M19" s="2">
        <f>M11*M17*M7/M14</f>
        <v>0.031625407954345097</v>
      </c>
      <c r="N19" s="2">
        <f>(assumptions!D57/1000)*(8760/N14)</f>
        <v>0.057909999999999996</v>
      </c>
    </row>
    <row r="20">
      <c r="A20" t="s">
        <v>589</v>
      </c>
      <c r="B20" t="s">
        <v>590</v>
      </c>
      <c r="C20" s="1"/>
      <c r="D20" s="1"/>
      <c r="E20" s="1">
        <f>values!C58</f>
        <v>0.11702127659574468</v>
      </c>
      <c r="F20" s="1"/>
      <c r="G20" s="34"/>
      <c r="H20" s="3"/>
      <c r="I20" s="3">
        <f>values!E58</f>
        <v>1.5</v>
      </c>
      <c r="J20" s="35"/>
      <c r="K20" s="2"/>
      <c r="L20" s="2"/>
      <c r="M20" s="2">
        <f>values!D58</f>
        <v>0.64346504559270523</v>
      </c>
      <c r="N20" s="2"/>
    </row>
    <row r="21">
      <c r="A21" t="s">
        <v>591</v>
      </c>
      <c r="B21" t="s">
        <v>592</v>
      </c>
      <c r="C21" s="1"/>
      <c r="D21" s="1"/>
      <c r="E21" s="8">
        <f>E13*E20*(8760/E14)</f>
        <v>0.010962410314592013</v>
      </c>
      <c r="F21" s="1"/>
      <c r="G21" s="34"/>
      <c r="H21" s="3"/>
      <c r="I21" s="7">
        <f>I13*I20*(8760/I14)</f>
        <v>0.14051816857795218</v>
      </c>
      <c r="J21" s="35"/>
      <c r="K21" s="2"/>
      <c r="L21" s="2"/>
      <c r="M21" s="36">
        <f>M13*M20*(8760/M14)</f>
        <v>0.060279019833743619</v>
      </c>
      <c r="N21" s="2"/>
    </row>
    <row r="22">
      <c r="A22" t="s">
        <v>593</v>
      </c>
      <c r="B22" t="s">
        <v>592</v>
      </c>
      <c r="C22" s="1"/>
      <c r="D22" s="1"/>
      <c r="E22" s="8">
        <f>E20*E12*(8760/E14)</f>
        <v>0.0017553191489361702</v>
      </c>
      <c r="F22" s="1"/>
      <c r="G22" s="34"/>
      <c r="H22" s="3"/>
      <c r="I22" s="7">
        <f>I20*I12*(8760/I14)</f>
        <v>0.059999999999999998</v>
      </c>
      <c r="J22" s="35"/>
      <c r="K22" s="2"/>
      <c r="L22" s="2"/>
      <c r="M22" s="36">
        <f>M20*M12*(8760/M14)</f>
        <v>0.022521276595744686</v>
      </c>
      <c r="N22" s="2"/>
    </row>
    <row r="23">
      <c r="A23" t="s">
        <v>542</v>
      </c>
      <c r="B23" t="s">
        <v>543</v>
      </c>
      <c r="C23" s="1">
        <f t="shared" ref="C23:C24" si="106">C18+C21</f>
        <v>0.024517746935715328</v>
      </c>
      <c r="D23" s="1">
        <f t="shared" ref="D23:D24" si="107">D18+D21</f>
        <v>0.0012145870084554161</v>
      </c>
      <c r="E23" s="1">
        <f>E18+E21*values!C64</f>
        <v>0.049885464640849489</v>
      </c>
      <c r="F23" s="1">
        <f>F18+F21*values!F64</f>
        <v>0.021077725286692824</v>
      </c>
      <c r="G23" s="34">
        <f t="shared" ref="G23:G24" si="108">G18+G21</f>
        <v>0.10976543587300633</v>
      </c>
      <c r="H23" s="3">
        <f t="shared" ref="H23:H24" si="109">H18+H21</f>
        <v>0.0027094633265543899</v>
      </c>
      <c r="I23" s="3">
        <f>I18+I21*values!E64</f>
        <v>0.6067605372305952</v>
      </c>
      <c r="J23" s="35">
        <f>J18+J21*values!E64</f>
        <v>0.040326483934751994</v>
      </c>
      <c r="K23" s="2">
        <f t="shared" ref="K23:K24" si="110">K18+K21</f>
        <v>0.053341705206522622</v>
      </c>
      <c r="L23" s="2">
        <f t="shared" ref="L23:L24" si="111">L18+L21</f>
        <v>0.0019440866516877155</v>
      </c>
      <c r="M23" s="2">
        <f>M18+M21*values!D64</f>
        <v>0.25212934862914826</v>
      </c>
      <c r="N23" s="2">
        <f>N18+N21*values!D64</f>
        <v>0.033910156703828256</v>
      </c>
    </row>
    <row r="24">
      <c r="A24" t="s">
        <v>544</v>
      </c>
      <c r="B24" t="s">
        <v>543</v>
      </c>
      <c r="C24" s="1">
        <f t="shared" si="106"/>
        <v>0.0052344292237442918</v>
      </c>
      <c r="D24" s="1">
        <f t="shared" si="107"/>
        <v>0.00032413611192072284</v>
      </c>
      <c r="E24" s="1">
        <f>E19+E22*values!C64</f>
        <v>0.0090419244659261412</v>
      </c>
      <c r="F24" s="1">
        <f>F19+F22*values!F64</f>
        <v>0.044999999999999998</v>
      </c>
      <c r="G24" s="34">
        <f t="shared" si="108"/>
        <v>0.046868858447488587</v>
      </c>
      <c r="H24" s="3">
        <f t="shared" si="109"/>
        <v>0.0011569165840862722</v>
      </c>
      <c r="I24" s="3">
        <f>I19+I22*values!G64</f>
        <v>0.27885164675021856</v>
      </c>
      <c r="J24" s="35">
        <f>J19+J22*values!J64</f>
        <v>0.070819999999999994</v>
      </c>
      <c r="K24" s="2">
        <f t="shared" si="110"/>
        <v>0.016133304996923479</v>
      </c>
      <c r="L24" s="2">
        <f t="shared" si="111"/>
        <v>0.00070040328405712629</v>
      </c>
      <c r="M24" s="2">
        <f>M19+M22*values!D64</f>
        <v>0.093834241199025961</v>
      </c>
      <c r="N24" s="2">
        <f>N19+N22*values!D64</f>
        <v>0.057909999999999996</v>
      </c>
    </row>
    <row r="25">
      <c r="A25" t="s">
        <v>594</v>
      </c>
      <c r="B25" t="s">
        <v>543</v>
      </c>
      <c r="C25" s="1"/>
      <c r="D25" s="1">
        <f>D16*D15</f>
        <v>0.00029999999999999997</v>
      </c>
      <c r="E25" s="1"/>
      <c r="F25" s="1"/>
      <c r="G25" s="34"/>
      <c r="H25" s="3">
        <f>H16*H15</f>
        <v>0.00088000000000000003</v>
      </c>
      <c r="I25" s="3"/>
      <c r="J25" s="35"/>
      <c r="K25" s="2"/>
      <c r="L25" s="2">
        <f>L16*L15</f>
        <v>0.0005864893617021276</v>
      </c>
      <c r="M25" s="2"/>
      <c r="N25" s="2"/>
    </row>
    <row r="26">
      <c r="A26" t="s">
        <v>545</v>
      </c>
      <c r="B26" t="s">
        <v>543</v>
      </c>
      <c r="C26" s="1">
        <f>C10*assumptions!C4</f>
        <v>0.0053071999999999998</v>
      </c>
      <c r="D26" s="1">
        <f>D10*assumptions!C4</f>
        <v>0.00012320000000000001</v>
      </c>
      <c r="E26" s="1">
        <f>E10*assumptions!C4</f>
        <v>0.020199421666666665</v>
      </c>
      <c r="F26" s="1">
        <f>F10*assumptions!F4</f>
        <v>0.011599999999999999</v>
      </c>
      <c r="G26" s="34">
        <f>G10*assumptions!E4</f>
        <v>0.099890000000000007</v>
      </c>
      <c r="H26" s="3">
        <f>H10*assumptions!E4</f>
        <v>0.014488320000000001</v>
      </c>
      <c r="I26" s="3">
        <f>I10*assumptions!E4</f>
        <v>0.63175194444444449</v>
      </c>
      <c r="J26" s="35">
        <f>J10*assumptions!E4</f>
        <v>0.085866666666666688</v>
      </c>
      <c r="K26" s="2">
        <f>K10*assumptions!D4</f>
        <v>0.038559200000000002</v>
      </c>
      <c r="L26" s="2">
        <f>L10*assumptions!D4</f>
        <v>0.00428725528</v>
      </c>
      <c r="M26" s="2">
        <f>M10*assumptions!D4</f>
        <v>0.19907631252611116</v>
      </c>
      <c r="N26" s="2">
        <f>N10*assumptions!D4</f>
        <v>0.047733333333333336</v>
      </c>
    </row>
    <row r="27">
      <c r="C27" s="1"/>
      <c r="D27" s="1"/>
      <c r="E27" s="1"/>
      <c r="F27" s="1"/>
      <c r="G27" s="34"/>
      <c r="H27" s="3"/>
      <c r="I27" s="3"/>
      <c r="J27" s="35"/>
      <c r="K27" s="2"/>
      <c r="L27" s="2"/>
      <c r="M27" s="2"/>
      <c r="N27" s="2"/>
    </row>
    <row r="28">
      <c r="A28" t="s">
        <v>546</v>
      </c>
      <c r="B28" t="s">
        <v>543</v>
      </c>
      <c r="C28" s="1">
        <f>C23+C24+C26</f>
        <v>0.035059376159459622</v>
      </c>
      <c r="D28" s="1">
        <f>D23+D25+D24+D26</f>
        <v>0.0019619231203761387</v>
      </c>
      <c r="E28" s="1">
        <f>E23+E25+E24+E26</f>
        <v>0.079126810773442288</v>
      </c>
      <c r="F28" s="1">
        <f>F23+F25+F24+F26</f>
        <v>0.077677725286692825</v>
      </c>
      <c r="G28" s="34">
        <f>G23+G24+G26</f>
        <v>0.25652429432049495</v>
      </c>
      <c r="H28" s="3">
        <f>H23+H25+H24+H26</f>
        <v>0.019234699910640661</v>
      </c>
      <c r="I28" s="3">
        <f>I23+I25+I24+I26</f>
        <v>1.5173641284252581</v>
      </c>
      <c r="J28" s="35">
        <f>J23+J25+J24+J26</f>
        <v>0.19701315060141866</v>
      </c>
      <c r="K28" s="2">
        <f>K23+K24+K26</f>
        <v>0.1080342102034461</v>
      </c>
      <c r="L28" s="2">
        <f>L23+L25+L24+L26</f>
        <v>0.0075182345774469691</v>
      </c>
      <c r="M28" s="2">
        <f>M23+M25+M24+M26</f>
        <v>0.54503990235428534</v>
      </c>
      <c r="N28" s="2">
        <f>N23+N25+N24+N26</f>
        <v>0.13955349003716161</v>
      </c>
    </row>
    <row r="29">
      <c r="A29" t="s">
        <v>595</v>
      </c>
      <c r="B29" t="s">
        <v>548</v>
      </c>
      <c r="C29" s="1">
        <f t="shared" ref="C29:N29" si="112">C28/C7</f>
        <v>0.0067421877229730037</v>
      </c>
      <c r="D29" s="1">
        <f t="shared" si="112"/>
        <v>0.00095557759690391376</v>
      </c>
      <c r="E29" s="1">
        <f t="shared" si="112"/>
        <v>0.0056971303756878445</v>
      </c>
      <c r="F29" s="1">
        <f t="shared" si="112"/>
        <v>0.037789163652985694</v>
      </c>
      <c r="G29" s="34">
        <f t="shared" si="112"/>
        <v>0.049331595061633642</v>
      </c>
      <c r="H29" s="3">
        <f t="shared" si="112"/>
        <v>0.009368485506330175</v>
      </c>
      <c r="I29" s="3">
        <f t="shared" si="112"/>
        <v>0.10925021724661858</v>
      </c>
      <c r="J29" s="35">
        <f t="shared" si="112"/>
        <v>0.095844235427717181</v>
      </c>
      <c r="K29" s="2">
        <f t="shared" si="112"/>
        <v>0.020775809654508863</v>
      </c>
      <c r="L29" s="2">
        <f t="shared" si="112"/>
        <v>0.003661844063033074</v>
      </c>
      <c r="M29" s="2">
        <f t="shared" si="112"/>
        <v>0.039242872969508541</v>
      </c>
      <c r="N29" s="2">
        <f t="shared" si="112"/>
        <v>0.067890887045105638</v>
      </c>
    </row>
    <row r="30">
      <c r="G30" s="37"/>
      <c r="J30" s="38"/>
    </row>
    <row r="31">
      <c r="A31" t="s">
        <v>596</v>
      </c>
      <c r="B31" t="s">
        <v>571</v>
      </c>
      <c r="G31" s="37"/>
      <c r="J31" s="38"/>
    </row>
    <row r="32">
      <c r="B32" t="s">
        <v>550</v>
      </c>
      <c r="C32">
        <f>values!C36*C44</f>
        <v>19296000</v>
      </c>
      <c r="D32">
        <f>(D4*D44)/D9</f>
        <v>8673280</v>
      </c>
      <c r="E32">
        <f>(E50/E9)/E6</f>
        <v>35046239.666701719</v>
      </c>
      <c r="F32">
        <f>((2.32*0.72)*F44)/F6</f>
        <v>8016521.7353735371</v>
      </c>
      <c r="G32" s="37">
        <f>values!E36*G44</f>
        <v>19296000</v>
      </c>
      <c r="H32">
        <f>(H4*H44)/H9</f>
        <v>8673280</v>
      </c>
      <c r="I32">
        <f>(I50/I9)/I6</f>
        <v>36448089.253369786</v>
      </c>
      <c r="J32" s="38">
        <f>((2.32*0.72)*J44)/J6</f>
        <v>8016521.7353735371</v>
      </c>
      <c r="K32">
        <f>values!D36*K44</f>
        <v>19296000</v>
      </c>
      <c r="L32">
        <f>(L4*L44)/L9</f>
        <v>8673280</v>
      </c>
      <c r="M32">
        <f>(M50/M9)/M6</f>
        <v>35655739.486992188</v>
      </c>
      <c r="N32">
        <f>((2.32*0.72)*N44)/N6</f>
        <v>8016521.7353735371</v>
      </c>
    </row>
    <row r="33">
      <c r="B33" t="s">
        <v>551</v>
      </c>
      <c r="C33">
        <f>values!C36*C45</f>
        <v>18866991.323076922</v>
      </c>
      <c r="D33">
        <f>(D4*D45)/D9</f>
        <v>8041236.8955295533</v>
      </c>
      <c r="E33">
        <f>(E51/E9)/E6</f>
        <v>34569515.686611399</v>
      </c>
      <c r="F33">
        <f>((2.32*0.72)*F45)/F6</f>
        <v>7820575.4270611051</v>
      </c>
      <c r="G33" s="37">
        <f>values!E36*G45</f>
        <v>18866991.323076922</v>
      </c>
      <c r="H33">
        <f>(H4*H45)/H9</f>
        <v>8041236.8955295533</v>
      </c>
      <c r="I33">
        <f>(I51/I9)/I6</f>
        <v>35871931.592612289</v>
      </c>
      <c r="J33" s="38">
        <f>((2.32*0.72)*J45)/J6</f>
        <v>7820575.4270611051</v>
      </c>
      <c r="K33">
        <f>values!D36*K45</f>
        <v>18866991.323076922</v>
      </c>
      <c r="L33">
        <f>(L4*L45)/L9</f>
        <v>8041236.8955295533</v>
      </c>
      <c r="M33">
        <f>(M51/M9)/M6</f>
        <v>35170724.655074209</v>
      </c>
      <c r="N33">
        <f>((2.32*0.72)*N45)/N6</f>
        <v>7820575.4270611051</v>
      </c>
    </row>
    <row r="34">
      <c r="B34" t="s">
        <v>552</v>
      </c>
      <c r="C34">
        <f>values!C36*C46</f>
        <v>18231812.307692308</v>
      </c>
      <c r="D34">
        <f>(D4*D46)/D9</f>
        <v>7230494.961176117</v>
      </c>
      <c r="E34">
        <f>(E52/E9)/E6</f>
        <v>33863690.642568536</v>
      </c>
      <c r="F34">
        <f>((2.32*0.72)*F46)/F6</f>
        <v>7530462.4529487956</v>
      </c>
      <c r="G34" s="37">
        <f>values!E36*G46</f>
        <v>18231812.307692308</v>
      </c>
      <c r="H34">
        <f>(H4*H46)/H9</f>
        <v>7230494.961176117</v>
      </c>
      <c r="I34">
        <f>(I52/I9)/I6</f>
        <v>35191769.274110451</v>
      </c>
      <c r="J34" s="38">
        <f>((2.32*0.72)*J46)/J6</f>
        <v>7530462.4529487956</v>
      </c>
      <c r="K34">
        <f>values!D36*K46</f>
        <v>18231812.307692308</v>
      </c>
      <c r="L34">
        <f>(L4*L46)/L9</f>
        <v>7230494.961176117</v>
      </c>
      <c r="M34">
        <f>(M52/M9)/M6</f>
        <v>34452624.392874077</v>
      </c>
      <c r="N34">
        <f>((2.32*0.72)*N46)/N6</f>
        <v>7530462.4529487956</v>
      </c>
    </row>
    <row r="35">
      <c r="B35" t="s">
        <v>553</v>
      </c>
      <c r="C35">
        <f>values!C36*C47</f>
        <v>16779901.29230769</v>
      </c>
      <c r="D35">
        <f>(D4*D47)/D9</f>
        <v>5191451.0363036301</v>
      </c>
      <c r="E35">
        <f>(E53/E9)/E6</f>
        <v>32250294.841449961</v>
      </c>
      <c r="F35">
        <f>((2.32*0.72)*F47)/F6</f>
        <v>6867313.6199153289</v>
      </c>
      <c r="G35" s="37">
        <f>values!E36*G47</f>
        <v>16779901.29230769</v>
      </c>
      <c r="H35">
        <f>(H4*H47)/H9</f>
        <v>5191451.0363036301</v>
      </c>
      <c r="I35">
        <f>(I53/I9)/I6</f>
        <v>33685072.682940289</v>
      </c>
      <c r="J35" s="38">
        <f>((2.32*0.72)*J47)/J6</f>
        <v>6867313.6199153289</v>
      </c>
      <c r="K35">
        <f>values!D36*K47</f>
        <v>16779901.29230769</v>
      </c>
      <c r="L35">
        <f>(L4*L47)/L9</f>
        <v>5191451.0363036301</v>
      </c>
      <c r="M35">
        <f>(M53/M9)/M6</f>
        <v>32811169.534344744</v>
      </c>
      <c r="N35">
        <f>((2.32*0.72)*N47)/N6</f>
        <v>6867313.6199153289</v>
      </c>
    </row>
    <row r="36">
      <c r="G36" s="37"/>
      <c r="J36" s="38"/>
    </row>
    <row r="37">
      <c r="A37" t="s">
        <v>597</v>
      </c>
      <c r="B37" t="s">
        <v>598</v>
      </c>
      <c r="C37" t="s">
        <v>599</v>
      </c>
      <c r="D37" t="s">
        <v>58</v>
      </c>
      <c r="E37" t="s">
        <v>600</v>
      </c>
      <c r="G37" s="37" t="s">
        <v>599</v>
      </c>
      <c r="H37" t="s">
        <v>58</v>
      </c>
      <c r="I37" t="s">
        <v>600</v>
      </c>
      <c r="J37" s="38"/>
      <c r="K37" t="s">
        <v>599</v>
      </c>
      <c r="L37" t="s">
        <v>58</v>
      </c>
      <c r="M37" t="s">
        <v>600</v>
      </c>
    </row>
    <row r="38">
      <c r="B38" t="s">
        <v>550</v>
      </c>
      <c r="C38">
        <f>values!C37*Conversion!C44</f>
        <v>90048000</v>
      </c>
      <c r="G38" s="37">
        <f>values!E37*Conversion!G44</f>
        <v>90048000</v>
      </c>
      <c r="J38" s="38"/>
      <c r="K38">
        <f>values!D37*Conversion!K44</f>
        <v>90048000</v>
      </c>
    </row>
    <row r="39">
      <c r="B39" t="s">
        <v>551</v>
      </c>
      <c r="C39">
        <f>values!C37*Conversion!C45</f>
        <v>88045959.507692307</v>
      </c>
      <c r="G39" s="37">
        <f>values!E37*Conversion!G45</f>
        <v>88045959.507692307</v>
      </c>
      <c r="J39" s="38"/>
      <c r="K39">
        <f>values!D37*Conversion!K45</f>
        <v>88045959.507692307</v>
      </c>
    </row>
    <row r="40">
      <c r="B40" t="s">
        <v>552</v>
      </c>
      <c r="C40">
        <f>values!C37*Conversion!C46</f>
        <v>85081790.769230768</v>
      </c>
      <c r="G40" s="37">
        <f>values!E37*Conversion!G46</f>
        <v>85081790.769230768</v>
      </c>
      <c r="J40" s="38"/>
      <c r="K40">
        <f>values!D37*Conversion!K46</f>
        <v>85081790.769230768</v>
      </c>
    </row>
    <row r="41">
      <c r="B41" t="s">
        <v>553</v>
      </c>
      <c r="C41">
        <f>values!C37*Conversion!C47</f>
        <v>78306206.030769229</v>
      </c>
      <c r="G41" s="37">
        <f>values!E37*Conversion!G47</f>
        <v>78306206.030769229</v>
      </c>
      <c r="J41" s="38"/>
      <c r="K41">
        <f>values!D37*Conversion!K47</f>
        <v>78306206.030769229</v>
      </c>
    </row>
    <row r="42">
      <c r="G42" s="37"/>
      <c r="J42" s="38"/>
    </row>
    <row r="43">
      <c r="A43" t="s">
        <v>601</v>
      </c>
      <c r="B43" t="s">
        <v>602</v>
      </c>
      <c r="G43" s="37"/>
      <c r="J43" s="38"/>
    </row>
    <row r="44">
      <c r="B44" t="s">
        <v>550</v>
      </c>
      <c r="C44">
        <f>'Storage 1'!D21</f>
        <v>107200000</v>
      </c>
      <c r="D44">
        <f>'Storage 1'!E21</f>
        <v>140800000</v>
      </c>
      <c r="E44">
        <f>Liquefaction!D20</f>
        <v>65600000</v>
      </c>
      <c r="F44">
        <f>'Storage 1'!G21</f>
        <v>159956100</v>
      </c>
      <c r="G44" s="37">
        <f>'Storage 1'!I21</f>
        <v>107200000</v>
      </c>
      <c r="H44">
        <f>'Storage 1'!J21</f>
        <v>140800000</v>
      </c>
      <c r="I44">
        <f>'Storage 1'!K21</f>
        <v>65600000</v>
      </c>
      <c r="J44" s="38">
        <f>'Storage 1'!L21</f>
        <v>159956100</v>
      </c>
      <c r="K44">
        <f>'Storage 1'!N21</f>
        <v>107200000</v>
      </c>
      <c r="L44">
        <f>'Storage 1'!O21</f>
        <v>140800000</v>
      </c>
      <c r="M44">
        <f>'Storage 1'!P21</f>
        <v>65600000</v>
      </c>
      <c r="N44">
        <f>'Storage 1'!Q21</f>
        <v>159956100</v>
      </c>
    </row>
    <row r="45">
      <c r="B45" t="s">
        <v>551</v>
      </c>
      <c r="C45">
        <f>'Storage 1'!D22</f>
        <v>104816618.46153846</v>
      </c>
      <c r="D45">
        <f>'Storage 1'!E22</f>
        <v>130539559.99236287</v>
      </c>
      <c r="E45">
        <f>Liquefaction!D21</f>
        <v>64707661.952</v>
      </c>
      <c r="F45">
        <f>'Storage 1'!G22</f>
        <v>156046323.62544698</v>
      </c>
      <c r="G45" s="37">
        <f>'Storage 1'!I22</f>
        <v>104816618.46153846</v>
      </c>
      <c r="H45">
        <f>'Storage 1'!J22</f>
        <v>130539559.99236287</v>
      </c>
      <c r="I45">
        <f>'Storage 1'!K22</f>
        <v>64563019.919015445</v>
      </c>
      <c r="J45" s="38">
        <f>'Storage 1'!L22</f>
        <v>156046323.62544698</v>
      </c>
      <c r="K45">
        <f>'Storage 1'!N22</f>
        <v>104816618.46153846</v>
      </c>
      <c r="L45">
        <f>'Storage 1'!O22</f>
        <v>130539559.99236287</v>
      </c>
      <c r="M45">
        <f>'Storage 1'!P22</f>
        <v>64707661.952</v>
      </c>
      <c r="N45">
        <f>'Storage 1'!Q22</f>
        <v>156046323.62544698</v>
      </c>
    </row>
    <row r="46">
      <c r="B46" t="s">
        <v>552</v>
      </c>
      <c r="C46">
        <f>'Storage 1'!D23</f>
        <v>101287846.15384616</v>
      </c>
      <c r="D46">
        <f>'Storage 1'!E23</f>
        <v>117378164.95415774</v>
      </c>
      <c r="E46">
        <f>Liquefaction!D22</f>
        <v>63386489.600000001</v>
      </c>
      <c r="F46">
        <f>'Storage 1'!G23</f>
        <v>150257611.08523908</v>
      </c>
      <c r="G46" s="37">
        <f>'Storage 1'!I23</f>
        <v>101287846.15384616</v>
      </c>
      <c r="H46">
        <f>'Storage 1'!J23</f>
        <v>117378164.95415774</v>
      </c>
      <c r="I46">
        <f>'Storage 1'!K23</f>
        <v>63338850.174929462</v>
      </c>
      <c r="J46" s="38">
        <f>'Storage 1'!L23</f>
        <v>150257611.08523908</v>
      </c>
      <c r="K46">
        <f>'Storage 1'!N23</f>
        <v>101287846.15384616</v>
      </c>
      <c r="L46">
        <f>'Storage 1'!O23</f>
        <v>117378164.95415774</v>
      </c>
      <c r="M46">
        <f>'Storage 1'!P23</f>
        <v>63386489.600000001</v>
      </c>
      <c r="N46">
        <f>'Storage 1'!Q23</f>
        <v>150257611.08523908</v>
      </c>
    </row>
    <row r="47">
      <c r="B47" t="s">
        <v>553</v>
      </c>
      <c r="C47">
        <f>'Storage 1'!D24</f>
        <v>93221673.84615384</v>
      </c>
      <c r="D47">
        <f>'Storage 1'!E24</f>
        <v>84276802.537396595</v>
      </c>
      <c r="E47">
        <f>Liquefaction!D23</f>
        <v>60366514.688000001</v>
      </c>
      <c r="F47">
        <f>'Storage 1'!G24</f>
        <v>137025600.42611226</v>
      </c>
      <c r="G47" s="37">
        <f>'Storage 1'!I24</f>
        <v>93221673.84615384</v>
      </c>
      <c r="H47">
        <f>'Storage 1'!J24</f>
        <v>84276802.537396595</v>
      </c>
      <c r="I47">
        <f>'Storage 1'!K24</f>
        <v>60627067.51620958</v>
      </c>
      <c r="J47" s="38">
        <f>'Storage 1'!L24</f>
        <v>137025600.42611226</v>
      </c>
      <c r="K47">
        <f>'Storage 1'!N24</f>
        <v>93221673.84615384</v>
      </c>
      <c r="L47">
        <f>'Storage 1'!O24</f>
        <v>84276802.537396595</v>
      </c>
      <c r="M47">
        <f>'Storage 1'!P24</f>
        <v>60366514.688000001</v>
      </c>
      <c r="N47">
        <f>'Storage 1'!Q24</f>
        <v>137025600.42611226</v>
      </c>
    </row>
    <row r="48">
      <c r="G48" s="37"/>
      <c r="J48" s="38"/>
    </row>
    <row r="49">
      <c r="A49" s="30" t="s">
        <v>603</v>
      </c>
      <c r="B49" s="30" t="s">
        <v>555</v>
      </c>
      <c r="C49" s="30"/>
      <c r="D49" s="30"/>
      <c r="E49" s="30"/>
      <c r="F49" s="30"/>
      <c r="G49" s="39"/>
      <c r="H49" s="30"/>
      <c r="I49" s="30"/>
      <c r="J49" s="40"/>
      <c r="K49" s="30"/>
      <c r="L49" s="30"/>
      <c r="M49" s="30"/>
      <c r="N49" s="30"/>
    </row>
    <row r="50">
      <c r="A50" s="30"/>
      <c r="B50" s="30" t="s">
        <v>550</v>
      </c>
      <c r="C50" s="30">
        <f t="shared" ref="C50:N50" si="113">C44*C7</f>
        <v>557440000</v>
      </c>
      <c r="D50" s="30">
        <f t="shared" si="113"/>
        <v>289080422.40000004</v>
      </c>
      <c r="E50" s="30">
        <f>E44*E7</f>
        <v>911111111.11111116</v>
      </c>
      <c r="F50" s="30">
        <f t="shared" si="113"/>
        <v>328798650.00000006</v>
      </c>
      <c r="G50" s="39">
        <f t="shared" si="113"/>
        <v>557440000</v>
      </c>
      <c r="H50" s="30">
        <f t="shared" si="113"/>
        <v>289080422.40000004</v>
      </c>
      <c r="I50" s="30">
        <f t="shared" si="113"/>
        <v>911111111.11111116</v>
      </c>
      <c r="J50" s="40">
        <f t="shared" si="113"/>
        <v>328798650.00000006</v>
      </c>
      <c r="K50" s="30">
        <f t="shared" si="113"/>
        <v>557440000</v>
      </c>
      <c r="L50" s="30">
        <f t="shared" si="113"/>
        <v>289080422.40000004</v>
      </c>
      <c r="M50" s="30">
        <f t="shared" si="113"/>
        <v>911111111.11111116</v>
      </c>
      <c r="N50" s="30">
        <f t="shared" si="113"/>
        <v>328798650.00000006</v>
      </c>
    </row>
    <row r="51">
      <c r="A51" s="30"/>
      <c r="B51" s="30" t="s">
        <v>551</v>
      </c>
      <c r="C51" s="30">
        <f t="shared" ref="C51:N51" si="114">C45*C7</f>
        <v>545046416</v>
      </c>
      <c r="D51" s="30">
        <f t="shared" si="114"/>
        <v>268014425.72800002</v>
      </c>
      <c r="E51" s="30">
        <f t="shared" si="114"/>
        <v>898717527.11111116</v>
      </c>
      <c r="F51" s="30">
        <f t="shared" si="114"/>
        <v>320761887.4523077</v>
      </c>
      <c r="G51" s="39">
        <f t="shared" si="114"/>
        <v>545046416</v>
      </c>
      <c r="H51" s="30">
        <f t="shared" si="114"/>
        <v>268014425.72800002</v>
      </c>
      <c r="I51" s="30">
        <f t="shared" si="114"/>
        <v>896708609.98632562</v>
      </c>
      <c r="J51" s="40">
        <f t="shared" si="114"/>
        <v>320761887.4523077</v>
      </c>
      <c r="K51" s="30">
        <f t="shared" si="114"/>
        <v>545046416</v>
      </c>
      <c r="L51" s="30">
        <f t="shared" si="114"/>
        <v>268014425.72800002</v>
      </c>
      <c r="M51" s="30">
        <f t="shared" si="114"/>
        <v>898717527.11111116</v>
      </c>
      <c r="N51" s="30">
        <f t="shared" si="114"/>
        <v>320761887.4523077</v>
      </c>
    </row>
    <row r="52">
      <c r="A52" s="30"/>
      <c r="B52" s="30" t="s">
        <v>552</v>
      </c>
      <c r="C52" s="30">
        <f t="shared" ref="C52:N52" si="115">C46*C7</f>
        <v>526696800.00000006</v>
      </c>
      <c r="D52" s="30">
        <f t="shared" si="115"/>
        <v>240992397.05599999</v>
      </c>
      <c r="E52" s="30">
        <f t="shared" si="115"/>
        <v>880367911.11111116</v>
      </c>
      <c r="F52" s="30">
        <f t="shared" si="115"/>
        <v>308862867.23076928</v>
      </c>
      <c r="G52" s="39">
        <f t="shared" si="115"/>
        <v>526696800.00000006</v>
      </c>
      <c r="H52" s="30">
        <f t="shared" si="115"/>
        <v>240992397.05599999</v>
      </c>
      <c r="I52" s="30">
        <f t="shared" si="115"/>
        <v>879706252.42957592</v>
      </c>
      <c r="J52" s="40">
        <f t="shared" si="115"/>
        <v>308862867.23076928</v>
      </c>
      <c r="K52" s="30">
        <f t="shared" si="115"/>
        <v>526696800.00000006</v>
      </c>
      <c r="L52" s="30">
        <f t="shared" si="115"/>
        <v>240992397.05599999</v>
      </c>
      <c r="M52" s="30">
        <f t="shared" si="115"/>
        <v>880367911.11111116</v>
      </c>
      <c r="N52" s="30">
        <f t="shared" si="115"/>
        <v>308862867.23076928</v>
      </c>
    </row>
    <row r="53">
      <c r="A53" s="30"/>
      <c r="B53" s="30" t="s">
        <v>553</v>
      </c>
      <c r="C53" s="30">
        <f t="shared" ref="C53:N53" si="116">C47*C7</f>
        <v>484752704</v>
      </c>
      <c r="D53" s="30">
        <f t="shared" si="116"/>
        <v>173031063.03999999</v>
      </c>
      <c r="E53" s="30">
        <f t="shared" si="116"/>
        <v>838423815.11111116</v>
      </c>
      <c r="F53" s="30">
        <f t="shared" si="116"/>
        <v>281663734.20923078</v>
      </c>
      <c r="G53" s="39">
        <f t="shared" si="116"/>
        <v>484752704</v>
      </c>
      <c r="H53" s="30">
        <f t="shared" si="116"/>
        <v>173031063.03999999</v>
      </c>
      <c r="I53" s="30">
        <f t="shared" si="116"/>
        <v>842042604.39179969</v>
      </c>
      <c r="J53" s="40">
        <f t="shared" si="116"/>
        <v>281663734.20923078</v>
      </c>
      <c r="K53" s="30">
        <f t="shared" si="116"/>
        <v>484752704</v>
      </c>
      <c r="L53" s="30">
        <f t="shared" si="116"/>
        <v>173031063.03999999</v>
      </c>
      <c r="M53" s="30">
        <f t="shared" si="116"/>
        <v>838423815.11111116</v>
      </c>
      <c r="N53" s="30">
        <f t="shared" si="116"/>
        <v>281663734.20923078</v>
      </c>
    </row>
    <row r="54">
      <c r="G54" s="37"/>
      <c r="J54" s="38"/>
    </row>
    <row r="55">
      <c r="A55" s="30" t="s">
        <v>604</v>
      </c>
      <c r="B55" s="30" t="s">
        <v>555</v>
      </c>
      <c r="C55" s="30"/>
      <c r="D55" s="30"/>
      <c r="E55" s="30"/>
      <c r="F55" s="30"/>
      <c r="G55" s="39"/>
      <c r="H55" s="30"/>
      <c r="I55" s="30"/>
      <c r="J55" s="40"/>
      <c r="K55" s="30"/>
      <c r="L55" s="30"/>
      <c r="M55" s="30"/>
      <c r="N55" s="30"/>
    </row>
    <row r="56">
      <c r="A56" s="30"/>
      <c r="B56" s="30" t="s">
        <v>550</v>
      </c>
      <c r="C56" s="30">
        <f>values!C38*Conversion!C44+values!C35*Conversion!C38</f>
        <v>56893184</v>
      </c>
      <c r="D56" s="30">
        <f>D10*D44</f>
        <v>1734656.0000000002</v>
      </c>
      <c r="E56" s="30">
        <f>E44*E10</f>
        <v>132508206.13333333</v>
      </c>
      <c r="F56" s="30">
        <f>F44*F10</f>
        <v>185549076</v>
      </c>
      <c r="G56" s="39">
        <f>values!E38*Conversion!G44+values!E35*Conversion!G38</f>
        <v>152974400</v>
      </c>
      <c r="H56" s="30">
        <f>H10*H44</f>
        <v>29142220.800000001</v>
      </c>
      <c r="I56" s="30">
        <f>I44*I10</f>
        <v>592041822.22222221</v>
      </c>
      <c r="J56" s="40">
        <f>J44*J10</f>
        <v>196212816.00000003</v>
      </c>
      <c r="K56" s="30">
        <f>values!D38*Conversion!K44+values!D35*Conversion!K38</f>
        <v>103338656</v>
      </c>
      <c r="L56" s="30">
        <f>L10*L44</f>
        <v>15091138.5856</v>
      </c>
      <c r="M56" s="30">
        <f>M44*M10</f>
        <v>326485152.5428223</v>
      </c>
      <c r="N56" s="30">
        <f>N44*N10</f>
        <v>190880946</v>
      </c>
    </row>
    <row r="57">
      <c r="A57" s="30"/>
      <c r="B57" s="30" t="s">
        <v>551</v>
      </c>
      <c r="C57" s="30">
        <f>values!C38*Conversion!C45+values!C35*Conversion!C39</f>
        <v>55628275.749907695</v>
      </c>
      <c r="D57" s="30">
        <f>D10*D45</f>
        <v>1608247.3791059107</v>
      </c>
      <c r="E57" s="30">
        <f>E45*E10</f>
        <v>130705734.88325711</v>
      </c>
      <c r="F57" s="30">
        <f>F45*F10</f>
        <v>181013735.40551847</v>
      </c>
      <c r="G57" s="39">
        <f>values!E38*Conversion!G45+values!E35*Conversion!G39</f>
        <v>149573314.54461539</v>
      </c>
      <c r="H57" s="30">
        <f>H10*H45</f>
        <v>27018555.968979295</v>
      </c>
      <c r="I57" s="30">
        <f>I45*I10</f>
        <v>582683048.18633437</v>
      </c>
      <c r="J57" s="40">
        <f>J45*J10</f>
        <v>191416823.64721498</v>
      </c>
      <c r="K57" s="30">
        <f>values!D38*Conversion!K45+values!D35*Conversion!K39</f>
        <v>101041123.86455384</v>
      </c>
      <c r="L57" s="30">
        <f>L10*L45</f>
        <v>13991410.445653362</v>
      </c>
      <c r="M57" s="30">
        <f>M45*M10</f>
        <v>322044068.33975756</v>
      </c>
      <c r="N57" s="30">
        <f>N45*N10</f>
        <v>186215279.52636674</v>
      </c>
    </row>
    <row r="58">
      <c r="A58" s="30"/>
      <c r="B58" s="30" t="s">
        <v>552</v>
      </c>
      <c r="C58" s="30">
        <f>values!C38*Conversion!C46+values!C35*Conversion!C40</f>
        <v>53755485.710769236</v>
      </c>
      <c r="D58" s="30">
        <f>D10*D46</f>
        <v>1446098.9922352235</v>
      </c>
      <c r="E58" s="30">
        <f>E46*E10</f>
        <v>128037043.14001814</v>
      </c>
      <c r="F58" s="30">
        <f>F46*F10</f>
        <v>174298828.85887733</v>
      </c>
      <c r="G58" s="39">
        <f>values!E38*Conversion!G46+values!E35*Conversion!G40</f>
        <v>144537756.46153849</v>
      </c>
      <c r="H58" s="30">
        <f>H10*H46</f>
        <v>24294463.069551751</v>
      </c>
      <c r="I58" s="30">
        <f>I46*I10</f>
        <v>571634882.24124324</v>
      </c>
      <c r="J58" s="40">
        <f>J46*J10</f>
        <v>184316002.93122664</v>
      </c>
      <c r="K58" s="30">
        <f>values!D38*Conversion!K46+values!D35*Conversion!K40</f>
        <v>97639457.935384601</v>
      </c>
      <c r="L58" s="30">
        <f>L10*L46</f>
        <v>12580753.936410595</v>
      </c>
      <c r="M58" s="30">
        <f>M46*M10</f>
        <v>315468715.33856738</v>
      </c>
      <c r="N58" s="30">
        <f>N46*N10</f>
        <v>179307415.89505199</v>
      </c>
    </row>
    <row r="59">
      <c r="A59" s="30"/>
      <c r="B59" s="30" t="s">
        <v>553</v>
      </c>
      <c r="C59" s="30">
        <f>values!C38*Conversion!C47+values!C35*Conversion!C41</f>
        <v>49474606.743630767</v>
      </c>
      <c r="D59" s="30">
        <f>D10*D47</f>
        <v>1038290.2072607261</v>
      </c>
      <c r="E59" s="30">
        <f>E47*E10</f>
        <v>121936868.47299388</v>
      </c>
      <c r="F59" s="30">
        <f>F47*F10</f>
        <v>158949696.4942902</v>
      </c>
      <c r="G59" s="39">
        <f>values!E38*Conversion!G47+values!E35*Conversion!G41</f>
        <v>133027328.57846154</v>
      </c>
      <c r="H59" s="30">
        <f>H10*H47</f>
        <v>17443275.481980197</v>
      </c>
      <c r="I59" s="30">
        <f>I47*I10</f>
        <v>547160968.41900027</v>
      </c>
      <c r="J59" s="40">
        <f>J47*J10</f>
        <v>168084736.52269772</v>
      </c>
      <c r="K59" s="30">
        <f>values!D38*Conversion!K47+values!D35*Conversion!K41</f>
        <v>89863829.154215366</v>
      </c>
      <c r="L59" s="30">
        <f>L10*L47</f>
        <v>9032904.1664992739</v>
      </c>
      <c r="M59" s="30">
        <f>M47*M10</f>
        <v>300438578.60350919</v>
      </c>
      <c r="N59" s="30">
        <f>N47*N10</f>
        <v>163517216.50849396</v>
      </c>
    </row>
    <row r="60">
      <c r="G60" s="37"/>
      <c r="J60" s="38"/>
    </row>
    <row r="61">
      <c r="A61" s="30" t="s">
        <v>557</v>
      </c>
      <c r="B61" s="30" t="s">
        <v>366</v>
      </c>
      <c r="C61" s="30"/>
      <c r="D61" s="30"/>
      <c r="E61" s="30"/>
      <c r="F61" s="30"/>
      <c r="G61" s="39"/>
      <c r="H61" s="30"/>
      <c r="I61" s="30"/>
      <c r="J61" s="40"/>
      <c r="K61" s="30"/>
      <c r="L61" s="30"/>
      <c r="M61" s="30"/>
      <c r="N61" s="30"/>
    </row>
    <row r="62">
      <c r="A62" s="30"/>
      <c r="B62" s="30" t="s">
        <v>550</v>
      </c>
      <c r="C62" s="30">
        <f t="shared" ref="C62:N62" si="117">C44*C28</f>
        <v>3758365.1242940715</v>
      </c>
      <c r="D62" s="30">
        <f>D44*D28</f>
        <v>276238.77534896031</v>
      </c>
      <c r="E62" s="30">
        <f>E44*E28</f>
        <v>5190718.7867378145</v>
      </c>
      <c r="F62" s="30">
        <f t="shared" si="117"/>
        <v>12425025.993730767</v>
      </c>
      <c r="G62" s="39">
        <f t="shared" si="117"/>
        <v>27499404.351157058</v>
      </c>
      <c r="H62" s="30">
        <f t="shared" si="117"/>
        <v>2708245.7474182053</v>
      </c>
      <c r="I62" s="30">
        <f t="shared" si="117"/>
        <v>99539086.824696928</v>
      </c>
      <c r="J62" s="40">
        <f t="shared" si="117"/>
        <v>31513455.218915585</v>
      </c>
      <c r="K62" s="30">
        <f t="shared" si="117"/>
        <v>11581267.333809422</v>
      </c>
      <c r="L62" s="30">
        <f t="shared" si="117"/>
        <v>1058567.4285045331</v>
      </c>
      <c r="M62" s="30">
        <f t="shared" si="117"/>
        <v>35754617.594441116</v>
      </c>
      <c r="N62" s="30">
        <f t="shared" si="117"/>
        <v>22322432.007733226</v>
      </c>
    </row>
    <row r="63">
      <c r="A63" s="30"/>
      <c r="B63" s="30" t="s">
        <v>551</v>
      </c>
      <c r="C63" s="30">
        <f t="shared" ref="C63:N63" si="118">C45*C28</f>
        <v>3674805.2544056368</v>
      </c>
      <c r="D63" s="30">
        <f t="shared" si="118"/>
        <v>256108.58087274473</v>
      </c>
      <c r="E63" s="30">
        <f t="shared" si="118"/>
        <v>5120110.922867775</v>
      </c>
      <c r="F63" s="30">
        <f t="shared" si="118"/>
        <v>12121323.458575835</v>
      </c>
      <c r="G63" s="39">
        <f t="shared" si="118"/>
        <v>26888009.083906718</v>
      </c>
      <c r="H63" s="30">
        <f t="shared" si="118"/>
        <v>2510889.2629201734</v>
      </c>
      <c r="I63" s="30">
        <f t="shared" si="118"/>
        <v>97965610.447919458</v>
      </c>
      <c r="J63" s="40">
        <f t="shared" si="118"/>
        <v>30743177.8572179</v>
      </c>
      <c r="K63" s="30">
        <f t="shared" si="118"/>
        <v>11323780.591688255</v>
      </c>
      <c r="L63" s="30">
        <f t="shared" si="118"/>
        <v>981427.03365929553</v>
      </c>
      <c r="M63" s="30">
        <f t="shared" si="118"/>
        <v>35268257.751892187</v>
      </c>
      <c r="N63" s="30">
        <f t="shared" si="118"/>
        <v>21776809.06939951</v>
      </c>
    </row>
    <row r="64">
      <c r="A64" s="30"/>
      <c r="B64" s="30" t="s">
        <v>552</v>
      </c>
      <c r="C64" s="30">
        <f t="shared" ref="C64:N64" si="119">C46*C28</f>
        <v>3551088.6986891679</v>
      </c>
      <c r="D64" s="30">
        <f t="shared" si="119"/>
        <v>230286.93565088627</v>
      </c>
      <c r="E64" s="30">
        <f t="shared" si="119"/>
        <v>5015570.7681719679</v>
      </c>
      <c r="F64" s="30">
        <f t="shared" si="119"/>
        <v>11671669.436113931</v>
      </c>
      <c r="G64" s="39">
        <f t="shared" si="119"/>
        <v>25982793.257858243</v>
      </c>
      <c r="H64" s="30">
        <f t="shared" si="119"/>
        <v>2257733.7789549027</v>
      </c>
      <c r="I64" s="30">
        <f t="shared" si="119"/>
        <v>96108099.191139847</v>
      </c>
      <c r="J64" s="40">
        <f t="shared" si="119"/>
        <v>29602725.361745603</v>
      </c>
      <c r="K64" s="30">
        <f t="shared" si="119"/>
        <v>10942552.462438926</v>
      </c>
      <c r="L64" s="30">
        <f t="shared" si="119"/>
        <v>882476.57839562278</v>
      </c>
      <c r="M64" s="30">
        <f t="shared" si="119"/>
        <v>34548166.102164924</v>
      </c>
      <c r="N64" s="30">
        <f t="shared" si="119"/>
        <v>20968974.031591617</v>
      </c>
    </row>
    <row r="65">
      <c r="A65" s="30"/>
      <c r="B65" s="30" t="s">
        <v>553</v>
      </c>
      <c r="C65" s="30">
        <f t="shared" ref="C65:N65" si="120">C47*C28</f>
        <v>3268293.7295867666</v>
      </c>
      <c r="D65" s="30">
        <f t="shared" si="120"/>
        <v>165344.6074094928</v>
      </c>
      <c r="E65" s="30">
        <f t="shared" si="120"/>
        <v>4776609.7847696003</v>
      </c>
      <c r="F65" s="30">
        <f t="shared" si="120"/>
        <v>10643836.947143687</v>
      </c>
      <c r="G65" s="39">
        <f t="shared" si="120"/>
        <v>23913624.098759953</v>
      </c>
      <c r="H65" s="30">
        <f t="shared" si="120"/>
        <v>1621039.0062351429</v>
      </c>
      <c r="I65" s="30">
        <f t="shared" si="120"/>
        <v>91993337.460712627</v>
      </c>
      <c r="J65" s="40">
        <f t="shared" si="120"/>
        <v>26995845.252999473</v>
      </c>
      <c r="K65" s="30">
        <f t="shared" si="120"/>
        <v>10071129.907812478</v>
      </c>
      <c r="L65" s="30">
        <f t="shared" si="120"/>
        <v>633612.77091332548</v>
      </c>
      <c r="M65" s="30">
        <f t="shared" si="120"/>
        <v>32902159.271016054</v>
      </c>
      <c r="N65" s="30">
        <f t="shared" si="120"/>
        <v>19122400.763901547</v>
      </c>
    </row>
  </sheetData>
  <mergeCells count="3">
    <mergeCell ref="C1:F1"/>
    <mergeCell ref="G1:J1"/>
    <mergeCell ref="K1:N1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8" activeCellId="0" sqref="C8"/>
    </sheetView>
  </sheetViews>
  <sheetFormatPr baseColWidth="10" defaultRowHeight="14.25"/>
  <cols>
    <col customWidth="1" min="1" max="1" width="34.1328125"/>
    <col customWidth="1" min="2" max="2" width="16.6640625"/>
  </cols>
  <sheetData>
    <row r="1">
      <c r="C1" s="27" t="s">
        <v>517</v>
      </c>
      <c r="D1" s="27"/>
      <c r="E1" s="32" t="s">
        <v>518</v>
      </c>
      <c r="F1" s="33"/>
      <c r="G1" s="29" t="s">
        <v>519</v>
      </c>
      <c r="H1" s="29"/>
    </row>
    <row r="2">
      <c r="B2" t="s">
        <v>0</v>
      </c>
      <c r="C2" s="1" t="s">
        <v>147</v>
      </c>
      <c r="D2" s="1" t="s">
        <v>255</v>
      </c>
      <c r="E2" s="34" t="s">
        <v>147</v>
      </c>
      <c r="F2" s="35" t="s">
        <v>255</v>
      </c>
      <c r="G2" s="2" t="s">
        <v>147</v>
      </c>
      <c r="H2" s="2" t="s">
        <v>255</v>
      </c>
    </row>
    <row r="3">
      <c r="A3" t="s">
        <v>605</v>
      </c>
      <c r="B3" t="s">
        <v>165</v>
      </c>
      <c r="C3" s="1">
        <f>values!C7</f>
        <v>750</v>
      </c>
      <c r="D3" s="1">
        <f>values!C67</f>
        <v>277.29496402877697</v>
      </c>
      <c r="E3" s="34">
        <f>values!E7</f>
        <v>4000</v>
      </c>
      <c r="F3" s="35">
        <f>values!E67</f>
        <v>1350</v>
      </c>
      <c r="G3" s="2">
        <f>values!D7</f>
        <v>1663.7386018237082</v>
      </c>
      <c r="H3" s="2">
        <f>values!D67</f>
        <v>715.73121757912816</v>
      </c>
    </row>
    <row r="4">
      <c r="A4" t="s">
        <v>531</v>
      </c>
      <c r="B4" t="s">
        <v>67</v>
      </c>
      <c r="C4" s="1">
        <f>assumptions!C18</f>
        <v>25</v>
      </c>
      <c r="D4" s="1">
        <f>assumptions!C18</f>
        <v>25</v>
      </c>
      <c r="E4" s="34">
        <f>assumptions!E18</f>
        <v>25</v>
      </c>
      <c r="F4" s="35">
        <f>assumptions!E18</f>
        <v>25</v>
      </c>
      <c r="G4" s="2">
        <f>assumptions!D18</f>
        <v>25</v>
      </c>
      <c r="H4" s="2">
        <f>assumptions!D18</f>
        <v>25</v>
      </c>
    </row>
    <row r="5">
      <c r="A5" t="s">
        <v>538</v>
      </c>
      <c r="B5" t="s">
        <v>82</v>
      </c>
      <c r="C5" s="1">
        <f>(assumptions!C13*(1+assumptions!C13)^C4)/(((1+assumptions!C13)^C4)-1)</f>
        <v>0.093678779051968114</v>
      </c>
      <c r="D5" s="1">
        <f>(assumptions!C13*(1+assumptions!C13)^D4)/(((1+assumptions!C13)^D4)-1)</f>
        <v>0.093678779051968114</v>
      </c>
      <c r="E5" s="34">
        <f>(assumptions!E13*(1+assumptions!E13)^E4)/(((1+assumptions!E13)^E4)-1)</f>
        <v>0.093678779051968114</v>
      </c>
      <c r="F5" s="35">
        <f>(assumptions!E13*(1+assumptions!E13)^F4)/(((1+assumptions!E13)^F4)-1)</f>
        <v>0.093678779051968114</v>
      </c>
      <c r="G5" s="2">
        <f>(assumptions!D13*(1+assumptions!D13)^G4)/(((1+assumptions!D13)^G4)-1)</f>
        <v>0.093678779051968114</v>
      </c>
      <c r="H5" s="2">
        <f>(assumptions!D13*(1+assumptions!D13)^H4)/(((1+assumptions!D13)^H4)-1)</f>
        <v>0.093678779051968114</v>
      </c>
    </row>
    <row r="6">
      <c r="A6" t="s">
        <v>112</v>
      </c>
      <c r="B6" t="s">
        <v>583</v>
      </c>
      <c r="C6" s="1">
        <f>assumptions!C42/100</f>
        <v>0.025000000000000001</v>
      </c>
      <c r="D6" s="1">
        <f>assumptions!C53/100</f>
        <v>0.019</v>
      </c>
      <c r="E6" s="34">
        <f>assumptions!E42/100</f>
        <v>0.050000000000000003</v>
      </c>
      <c r="F6" s="35">
        <f>assumptions!E53/100</f>
        <v>0.050000000000000003</v>
      </c>
      <c r="G6" s="2">
        <f>assumptions!D42/100</f>
        <v>0.039</v>
      </c>
      <c r="H6" s="2">
        <f>assumptions!D53/100</f>
        <v>0.027000000000000003</v>
      </c>
    </row>
    <row r="7">
      <c r="A7" t="s">
        <v>529</v>
      </c>
      <c r="B7" t="s">
        <v>606</v>
      </c>
      <c r="C7" s="1">
        <f>values!C3</f>
        <v>33.329999999999998</v>
      </c>
      <c r="D7" s="1">
        <f>values!C53</f>
        <v>13.888888888888889</v>
      </c>
      <c r="E7" s="34">
        <f>values!E3</f>
        <v>33.329999999999998</v>
      </c>
      <c r="F7" s="35">
        <f>values!E53</f>
        <v>13.888888888888889</v>
      </c>
      <c r="G7" s="2">
        <f>values!D3</f>
        <v>33.329999999999998</v>
      </c>
      <c r="H7" s="2">
        <f>values!D53</f>
        <v>13.888888888888889</v>
      </c>
    </row>
    <row r="8">
      <c r="A8" t="s">
        <v>167</v>
      </c>
      <c r="B8" t="s">
        <v>168</v>
      </c>
      <c r="C8" s="8">
        <f>values!C8</f>
        <v>6</v>
      </c>
      <c r="D8" s="1">
        <f>values!C72</f>
        <v>0.23999999999999999</v>
      </c>
      <c r="E8" s="41">
        <f>values!E8</f>
        <v>15</v>
      </c>
      <c r="F8" s="35">
        <f>values!E72</f>
        <v>1.8300000000000001</v>
      </c>
      <c r="G8" s="36">
        <f>values!D8</f>
        <v>10.538</v>
      </c>
      <c r="H8" s="2">
        <f>values!D72</f>
        <v>0.74449999999999994</v>
      </c>
    </row>
    <row r="9">
      <c r="A9" t="s">
        <v>561</v>
      </c>
      <c r="B9" t="s">
        <v>44</v>
      </c>
      <c r="C9" s="1">
        <f>assumptions!C9</f>
        <v>8760</v>
      </c>
      <c r="D9" s="1">
        <f>assumptions!C9</f>
        <v>8760</v>
      </c>
      <c r="E9" s="34">
        <f>assumptions!E9</f>
        <v>8760</v>
      </c>
      <c r="F9" s="35">
        <f>assumptions!E9</f>
        <v>8760</v>
      </c>
      <c r="G9" s="2">
        <f>assumptions!D9</f>
        <v>8760</v>
      </c>
      <c r="H9" s="2">
        <f>assumptions!D9</f>
        <v>8760</v>
      </c>
    </row>
    <row r="10">
      <c r="A10" t="s">
        <v>607</v>
      </c>
      <c r="B10" t="s">
        <v>176</v>
      </c>
      <c r="C10" s="1">
        <f t="shared" ref="C10:H10" si="121">C3*C7</f>
        <v>24997.5</v>
      </c>
      <c r="D10" s="1">
        <f t="shared" si="121"/>
        <v>3851.3189448441249</v>
      </c>
      <c r="E10" s="34">
        <f t="shared" si="121"/>
        <v>133320</v>
      </c>
      <c r="F10" s="35">
        <f>F3*F7</f>
        <v>18750</v>
      </c>
      <c r="G10" s="2">
        <f t="shared" si="121"/>
        <v>55452.407598784193</v>
      </c>
      <c r="H10" s="2">
        <f t="shared" si="121"/>
        <v>9940.7113552656683</v>
      </c>
    </row>
    <row r="11">
      <c r="A11" t="s">
        <v>608</v>
      </c>
      <c r="B11" t="s">
        <v>543</v>
      </c>
      <c r="C11" s="1">
        <f t="shared" ref="C11:H11" si="122">(C5*C3*C7)/C9</f>
        <v>0.26732137892141244</v>
      </c>
      <c r="D11" s="1">
        <f t="shared" si="122"/>
        <v>0.04118571421149677</v>
      </c>
      <c r="E11" s="34">
        <f t="shared" si="122"/>
        <v>1.4257140209141999</v>
      </c>
      <c r="F11" s="35">
        <f t="shared" si="122"/>
        <v>0.20051108529958928</v>
      </c>
      <c r="G11" s="2">
        <f t="shared" si="122"/>
        <v>0.59300386293906182</v>
      </c>
      <c r="H11" s="2">
        <f t="shared" si="122"/>
        <v>0.10630521719969441</v>
      </c>
    </row>
    <row r="12">
      <c r="A12" t="s">
        <v>609</v>
      </c>
      <c r="B12" t="s">
        <v>543</v>
      </c>
      <c r="C12" s="1">
        <f t="shared" ref="C12:H12" si="123">(C6*C3*C7)/C9</f>
        <v>0.071339897260273968</v>
      </c>
      <c r="D12" s="1">
        <f t="shared" si="123"/>
        <v>0.0083533173461231014</v>
      </c>
      <c r="E12" s="34">
        <f t="shared" si="123"/>
        <v>0.760958904109589</v>
      </c>
      <c r="F12" s="35">
        <f t="shared" si="123"/>
        <v>0.10702054794520548</v>
      </c>
      <c r="G12" s="2">
        <f t="shared" si="123"/>
        <v>0.24687715711787486</v>
      </c>
      <c r="H12" s="2">
        <f t="shared" si="123"/>
        <v>0.03063917883472296</v>
      </c>
    </row>
    <row r="13">
      <c r="A13" t="s">
        <v>566</v>
      </c>
      <c r="B13" t="s">
        <v>543</v>
      </c>
      <c r="C13" s="1">
        <f>C8*assumptions!C4</f>
        <v>0.059999999999999998</v>
      </c>
      <c r="D13" s="1">
        <f>D8*assumptions!C4</f>
        <v>0.0023999999999999998</v>
      </c>
      <c r="E13" s="34">
        <f>E8*assumptions!E4</f>
        <v>1.05</v>
      </c>
      <c r="F13" s="35">
        <f>F8*assumptions!E4</f>
        <v>0.12810000000000002</v>
      </c>
      <c r="G13" s="2">
        <f>G8*assumptions!D4</f>
        <v>0.42152000000000001</v>
      </c>
      <c r="H13" s="2">
        <f>H8*assumptions!D4</f>
        <v>0.029779999999999997</v>
      </c>
    </row>
    <row r="14">
      <c r="A14" t="s">
        <v>610</v>
      </c>
      <c r="B14" t="s">
        <v>543</v>
      </c>
      <c r="C14" s="1">
        <f t="shared" ref="C14:H14" si="124">C11+C12+C13</f>
        <v>0.3986612761816864</v>
      </c>
      <c r="D14" s="1">
        <f t="shared" si="124"/>
        <v>0.051939031557619871</v>
      </c>
      <c r="E14" s="34">
        <f t="shared" si="124"/>
        <v>3.2366729250237887</v>
      </c>
      <c r="F14" s="35">
        <f t="shared" si="124"/>
        <v>0.43563163324479481</v>
      </c>
      <c r="G14" s="2">
        <f t="shared" si="124"/>
        <v>1.2614010200569368</v>
      </c>
      <c r="H14" s="2">
        <f t="shared" si="124"/>
        <v>0.16672439603441738</v>
      </c>
    </row>
    <row r="15">
      <c r="C15" s="1"/>
      <c r="D15" s="1"/>
      <c r="E15" s="34"/>
      <c r="F15" s="35"/>
      <c r="G15" s="2"/>
      <c r="H15" s="2"/>
    </row>
    <row r="16">
      <c r="A16" t="s">
        <v>611</v>
      </c>
      <c r="B16" t="s">
        <v>176</v>
      </c>
      <c r="C16" s="1">
        <f t="shared" ref="C16:H16" si="125">C14</f>
        <v>0.3986612761816864</v>
      </c>
      <c r="D16" s="1">
        <f t="shared" si="125"/>
        <v>0.051939031557619871</v>
      </c>
      <c r="E16" s="34">
        <f t="shared" si="125"/>
        <v>3.2366729250237887</v>
      </c>
      <c r="F16" s="35">
        <f t="shared" si="125"/>
        <v>0.43563163324479481</v>
      </c>
      <c r="G16" s="2">
        <f t="shared" si="125"/>
        <v>1.2614010200569368</v>
      </c>
      <c r="H16" s="2">
        <f t="shared" si="125"/>
        <v>0.16672439603441738</v>
      </c>
    </row>
    <row r="17">
      <c r="A17" t="s">
        <v>612</v>
      </c>
      <c r="B17" t="s">
        <v>32</v>
      </c>
      <c r="C17" s="1">
        <f t="shared" ref="C17:H17" si="126">C16/C7</f>
        <v>0.011961034388889482</v>
      </c>
      <c r="D17" s="1">
        <f t="shared" si="126"/>
        <v>0.0037396102721486304</v>
      </c>
      <c r="E17" s="34">
        <f t="shared" si="126"/>
        <v>0.09710989874058773</v>
      </c>
      <c r="F17" s="35">
        <f t="shared" si="126"/>
        <v>0.031365477593625228</v>
      </c>
      <c r="G17" s="2">
        <f t="shared" si="126"/>
        <v>0.037845815183226425</v>
      </c>
      <c r="H17" s="2">
        <f t="shared" si="126"/>
        <v>0.012004156514478051</v>
      </c>
    </row>
    <row r="18">
      <c r="E18" s="37"/>
      <c r="F18" s="38"/>
    </row>
    <row r="19">
      <c r="A19" s="30" t="s">
        <v>613</v>
      </c>
      <c r="B19" s="30" t="s">
        <v>368</v>
      </c>
      <c r="C19" s="30"/>
      <c r="D19" s="30"/>
      <c r="E19" s="39"/>
      <c r="F19" s="40"/>
      <c r="G19" s="30"/>
      <c r="H19" s="30"/>
    </row>
    <row r="20">
      <c r="A20" s="30"/>
      <c r="B20" s="30" t="s">
        <v>550</v>
      </c>
      <c r="C20" s="30">
        <f>'Storage 1'!C21</f>
        <v>11760000</v>
      </c>
      <c r="D20" s="30">
        <f>'Storage 1'!F21</f>
        <v>65600000</v>
      </c>
      <c r="E20" s="39">
        <f>'Storage 1'!H21</f>
        <v>11760000</v>
      </c>
      <c r="F20" s="40">
        <f>'Storage 1'!K21</f>
        <v>65600000</v>
      </c>
      <c r="G20" s="30">
        <f>'Storage 1'!M21</f>
        <v>11760000</v>
      </c>
      <c r="H20" s="30">
        <f>'Storage 1'!P21</f>
        <v>65600000</v>
      </c>
    </row>
    <row r="21">
      <c r="A21" s="30"/>
      <c r="B21" s="30" t="s">
        <v>551</v>
      </c>
      <c r="C21" s="30">
        <f>'Storage 1'!C22</f>
        <v>11388155.295529554</v>
      </c>
      <c r="D21" s="30">
        <f>'Storage 1'!F22</f>
        <v>64707661.952</v>
      </c>
      <c r="E21" s="39">
        <f>'Storage 1'!H22</f>
        <v>11388155.295529554</v>
      </c>
      <c r="F21" s="40">
        <f>'Storage 1'!K22</f>
        <v>64563019.919015445</v>
      </c>
      <c r="G21" s="30">
        <f>'Storage 1'!M22</f>
        <v>11388155.295529554</v>
      </c>
      <c r="H21" s="30">
        <f>'Storage 1'!P22</f>
        <v>64707661.952</v>
      </c>
    </row>
    <row r="22">
      <c r="A22" s="30"/>
      <c r="B22" s="30" t="s">
        <v>552</v>
      </c>
      <c r="C22" s="30">
        <f>'Storage 1'!C23</f>
        <v>10837611.761176117</v>
      </c>
      <c r="D22" s="30">
        <f>'Storage 1'!F23</f>
        <v>63386489.600000001</v>
      </c>
      <c r="E22" s="39">
        <f>'Storage 1'!H23</f>
        <v>10837611.761176117</v>
      </c>
      <c r="F22" s="40">
        <f>'Storage 1'!K23</f>
        <v>63338850.174929462</v>
      </c>
      <c r="G22" s="30">
        <f>'Storage 1'!M23</f>
        <v>10837611.761176117</v>
      </c>
      <c r="H22" s="30">
        <f>'Storage 1'!P23</f>
        <v>63386489.600000001</v>
      </c>
    </row>
    <row r="23">
      <c r="A23" s="30"/>
      <c r="B23" s="30" t="s">
        <v>553</v>
      </c>
      <c r="C23" s="30">
        <f>'Storage 1'!C24</f>
        <v>9579163.0363036301</v>
      </c>
      <c r="D23" s="30">
        <f>'Storage 1'!F24</f>
        <v>60366514.688000001</v>
      </c>
      <c r="E23" s="39">
        <f>'Storage 1'!H24</f>
        <v>9579163.0363036301</v>
      </c>
      <c r="F23" s="40">
        <f>'Storage 1'!K24</f>
        <v>60627067.51620958</v>
      </c>
      <c r="G23" s="30">
        <f>'Storage 1'!M24</f>
        <v>9579163.0363036301</v>
      </c>
      <c r="H23" s="30">
        <f>'Storage 1'!P24</f>
        <v>60366514.688000001</v>
      </c>
    </row>
    <row r="24">
      <c r="E24" s="37"/>
      <c r="F24" s="38"/>
    </row>
    <row r="25">
      <c r="A25" s="30" t="s">
        <v>614</v>
      </c>
      <c r="B25" s="30" t="s">
        <v>555</v>
      </c>
      <c r="C25" s="30"/>
      <c r="D25" s="30"/>
      <c r="E25" s="39"/>
      <c r="F25" s="40"/>
      <c r="G25" s="30"/>
      <c r="H25" s="30"/>
    </row>
    <row r="26">
      <c r="A26" s="30"/>
      <c r="B26" s="30" t="s">
        <v>550</v>
      </c>
      <c r="C26" s="30">
        <f t="shared" ref="C26:H26" si="127">C8*C20</f>
        <v>70560000</v>
      </c>
      <c r="D26" s="30">
        <f t="shared" si="127"/>
        <v>15744000</v>
      </c>
      <c r="E26" s="39">
        <f t="shared" si="127"/>
        <v>176400000</v>
      </c>
      <c r="F26" s="40">
        <f t="shared" si="127"/>
        <v>120048000</v>
      </c>
      <c r="G26" s="30">
        <f t="shared" si="127"/>
        <v>123926880</v>
      </c>
      <c r="H26" s="30">
        <f t="shared" si="127"/>
        <v>48839199.999999993</v>
      </c>
    </row>
    <row r="27">
      <c r="A27" s="30"/>
      <c r="B27" s="30" t="s">
        <v>551</v>
      </c>
      <c r="C27" s="30">
        <f t="shared" ref="C27:H27" si="128">C8*C21</f>
        <v>68328931.773177326</v>
      </c>
      <c r="D27" s="30">
        <f t="shared" si="128"/>
        <v>15529838.868479999</v>
      </c>
      <c r="E27" s="39">
        <f t="shared" si="128"/>
        <v>170822329.43294331</v>
      </c>
      <c r="F27" s="40">
        <f t="shared" si="128"/>
        <v>118150326.45179828</v>
      </c>
      <c r="G27" s="30">
        <f t="shared" si="128"/>
        <v>120008380.50429045</v>
      </c>
      <c r="H27" s="30">
        <f t="shared" si="128"/>
        <v>48174854.323263995</v>
      </c>
    </row>
    <row r="28">
      <c r="A28" s="30"/>
      <c r="B28" s="30" t="s">
        <v>552</v>
      </c>
      <c r="C28" s="30">
        <f t="shared" ref="C28:H28" si="129">C8*C22</f>
        <v>65025670.567056701</v>
      </c>
      <c r="D28" s="30">
        <f t="shared" si="129"/>
        <v>15212757.504000001</v>
      </c>
      <c r="E28" s="39">
        <f t="shared" si="129"/>
        <v>162564176.41764176</v>
      </c>
      <c r="F28" s="40">
        <f t="shared" si="129"/>
        <v>115910095.82012092</v>
      </c>
      <c r="G28" s="30">
        <f t="shared" si="129"/>
        <v>114206752.73927392</v>
      </c>
      <c r="H28" s="30">
        <f t="shared" si="129"/>
        <v>47191241.507199995</v>
      </c>
    </row>
    <row r="29">
      <c r="A29" s="30"/>
      <c r="B29" s="30" t="s">
        <v>553</v>
      </c>
      <c r="C29" s="30">
        <f t="shared" ref="C29:H29" si="130">C8*C23</f>
        <v>57474978.217821777</v>
      </c>
      <c r="D29" s="30">
        <f t="shared" si="130"/>
        <v>14487963.525119999</v>
      </c>
      <c r="E29" s="39">
        <f t="shared" si="130"/>
        <v>143687445.54455444</v>
      </c>
      <c r="F29" s="40">
        <f t="shared" si="130"/>
        <v>110947533.55466354</v>
      </c>
      <c r="G29" s="30">
        <f t="shared" si="130"/>
        <v>100945220.07656765</v>
      </c>
      <c r="H29" s="30">
        <f t="shared" si="130"/>
        <v>44942870.185215995</v>
      </c>
    </row>
    <row r="30">
      <c r="E30" s="37"/>
      <c r="F30" s="38"/>
    </row>
    <row r="31">
      <c r="A31" s="30" t="s">
        <v>557</v>
      </c>
      <c r="B31" s="30" t="s">
        <v>366</v>
      </c>
      <c r="C31" s="30"/>
      <c r="D31" s="30"/>
      <c r="E31" s="39"/>
      <c r="F31" s="40"/>
      <c r="G31" s="30"/>
      <c r="H31" s="30"/>
    </row>
    <row r="32">
      <c r="A32" s="30"/>
      <c r="B32" s="30" t="s">
        <v>550</v>
      </c>
      <c r="C32" s="30">
        <f t="shared" ref="C32:H32" si="131">C14*C20</f>
        <v>4688256.6078966316</v>
      </c>
      <c r="D32" s="30">
        <f t="shared" si="131"/>
        <v>3407200.4701798633</v>
      </c>
      <c r="E32" s="39">
        <f t="shared" si="131"/>
        <v>38063273.598279752</v>
      </c>
      <c r="F32" s="40">
        <f t="shared" si="131"/>
        <v>28577435.140858538</v>
      </c>
      <c r="G32" s="30">
        <f t="shared" si="131"/>
        <v>14834075.995869577</v>
      </c>
      <c r="H32" s="30">
        <f t="shared" si="131"/>
        <v>10937120.37985778</v>
      </c>
    </row>
    <row r="33">
      <c r="A33" s="30"/>
      <c r="B33" s="30" t="s">
        <v>551</v>
      </c>
      <c r="C33" s="30">
        <f t="shared" ref="C33:H33" si="132">C14*C21</f>
        <v>4540016.5234710416</v>
      </c>
      <c r="D33" s="30">
        <f t="shared" si="132"/>
        <v>3360853.2961447267</v>
      </c>
      <c r="E33" s="39">
        <f t="shared" si="132"/>
        <v>36859733.911006786</v>
      </c>
      <c r="F33" s="40">
        <f t="shared" si="132"/>
        <v>28125693.814536918</v>
      </c>
      <c r="G33" s="30">
        <f t="shared" si="132"/>
        <v>14365030.706347786</v>
      </c>
      <c r="H33" s="30">
        <f t="shared" si="132"/>
        <v>10788345.857746448</v>
      </c>
    </row>
    <row r="34">
      <c r="A34" s="30"/>
      <c r="B34" s="30" t="s">
        <v>552</v>
      </c>
      <c r="C34" s="30">
        <f t="shared" ref="C34:H34" si="133">C14*C22</f>
        <v>4320536.1354721244</v>
      </c>
      <c r="D34" s="30">
        <f t="shared" si="133"/>
        <v>3292232.8836611439</v>
      </c>
      <c r="E34" s="39">
        <f t="shared" si="133"/>
        <v>35077804.559318118</v>
      </c>
      <c r="F34" s="40">
        <f t="shared" si="133"/>
        <v>27592406.749551881</v>
      </c>
      <c r="G34" s="30">
        <f t="shared" si="133"/>
        <v>13670574.530528609</v>
      </c>
      <c r="H34" s="30">
        <f t="shared" si="133"/>
        <v>10568074.195301879</v>
      </c>
    </row>
    <row r="35">
      <c r="A35" s="30"/>
      <c r="B35" s="30" t="s">
        <v>553</v>
      </c>
      <c r="C35" s="30">
        <f t="shared" ref="C35:H35" si="134">C14*C23</f>
        <v>3818841.3608052433</v>
      </c>
      <c r="D35" s="30">
        <f t="shared" si="134"/>
        <v>3135378.3114035553</v>
      </c>
      <c r="E35" s="39">
        <f t="shared" si="134"/>
        <v>31004617.643992629</v>
      </c>
      <c r="F35" s="40">
        <f t="shared" si="134"/>
        <v>26411068.440928824</v>
      </c>
      <c r="G35" s="30">
        <f t="shared" si="134"/>
        <v>12083166.025285102</v>
      </c>
      <c r="H35" s="30">
        <f t="shared" si="134"/>
        <v>10064570.702059586</v>
      </c>
    </row>
  </sheetData>
  <mergeCells count="3">
    <mergeCell ref="C1:D1"/>
    <mergeCell ref="E1:F1"/>
    <mergeCell ref="G1:H1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3" activeCellId="0" sqref="E13"/>
    </sheetView>
  </sheetViews>
  <sheetFormatPr baseColWidth="10" defaultRowHeight="14.25"/>
  <cols>
    <col customWidth="1" min="1" max="1" width="31"/>
    <col customWidth="1" min="2" max="2" width="17.6640625"/>
    <col customWidth="1" min="4" max="4" width="11.6640625"/>
    <col bestFit="1" customWidth="1" min="5" max="6" width="11.6640625"/>
    <col customWidth="1" min="7" max="7" width="12"/>
    <col min="8" max="8" style="37" width="10.6640625"/>
    <col bestFit="1" customWidth="1" min="12" max="12" width="11.6640625"/>
    <col min="13" max="13" style="37" width="10.6640625"/>
    <col customWidth="1" min="17" max="17" width="10.6640625"/>
  </cols>
  <sheetData>
    <row r="1">
      <c r="C1" s="27" t="s">
        <v>517</v>
      </c>
      <c r="D1" s="27"/>
      <c r="E1" s="27"/>
      <c r="F1" s="27"/>
      <c r="G1" s="27"/>
      <c r="H1" s="28" t="s">
        <v>518</v>
      </c>
      <c r="I1" s="28"/>
      <c r="J1" s="28"/>
      <c r="K1" s="28"/>
      <c r="L1" s="28"/>
      <c r="M1" s="29" t="s">
        <v>519</v>
      </c>
      <c r="N1" s="29"/>
      <c r="O1" s="29"/>
      <c r="P1" s="29"/>
      <c r="Q1" s="29"/>
    </row>
    <row r="2">
      <c r="B2" t="s">
        <v>0</v>
      </c>
      <c r="C2" s="1" t="s">
        <v>147</v>
      </c>
      <c r="D2" s="1" t="s">
        <v>215</v>
      </c>
      <c r="E2" s="1" t="s">
        <v>191</v>
      </c>
      <c r="F2" s="1" t="s">
        <v>255</v>
      </c>
      <c r="G2" s="1" t="str">
        <f>'Storage 2'!I2</f>
        <v>Iron</v>
      </c>
      <c r="H2" s="34" t="s">
        <v>147</v>
      </c>
      <c r="I2" s="3" t="s">
        <v>215</v>
      </c>
      <c r="J2" s="3" t="s">
        <v>191</v>
      </c>
      <c r="K2" s="3" t="s">
        <v>255</v>
      </c>
      <c r="L2" s="3" t="s">
        <v>523</v>
      </c>
      <c r="M2" s="42" t="s">
        <v>147</v>
      </c>
      <c r="N2" s="2" t="s">
        <v>215</v>
      </c>
      <c r="O2" s="2" t="s">
        <v>191</v>
      </c>
      <c r="P2" s="2" t="s">
        <v>255</v>
      </c>
      <c r="Q2" s="2" t="s">
        <v>523</v>
      </c>
    </row>
    <row r="3">
      <c r="A3" t="s">
        <v>615</v>
      </c>
      <c r="C3" s="1" t="s">
        <v>526</v>
      </c>
      <c r="D3" s="1" t="s">
        <v>526</v>
      </c>
      <c r="E3" s="1" t="s">
        <v>526</v>
      </c>
      <c r="F3" s="1"/>
      <c r="G3" s="1">
        <f>'Storage 2'!I3</f>
        <v>0</v>
      </c>
      <c r="H3" s="34" t="s">
        <v>526</v>
      </c>
      <c r="I3" s="3" t="s">
        <v>526</v>
      </c>
      <c r="J3" s="3" t="s">
        <v>526</v>
      </c>
      <c r="K3" s="3"/>
      <c r="L3" s="3">
        <f>'Storage 2'!N3</f>
        <v>0</v>
      </c>
      <c r="M3" s="42" t="s">
        <v>526</v>
      </c>
      <c r="N3" s="2" t="s">
        <v>526</v>
      </c>
      <c r="O3" s="2" t="s">
        <v>526</v>
      </c>
      <c r="P3" s="2"/>
      <c r="Q3" s="2" t="str">
        <f>'Storage 2'!S3</f>
        <v>IRENA</v>
      </c>
    </row>
    <row r="4">
      <c r="A4" t="s">
        <v>195</v>
      </c>
      <c r="B4" t="s">
        <v>196</v>
      </c>
      <c r="C4" s="1"/>
      <c r="D4" s="1"/>
      <c r="E4" s="1">
        <f>values!C21</f>
        <v>0.061600000000000002</v>
      </c>
      <c r="F4" s="1"/>
      <c r="G4" s="1">
        <f>'Storage 2'!I4</f>
        <v>0</v>
      </c>
      <c r="H4" s="34"/>
      <c r="I4" s="3"/>
      <c r="J4" s="3">
        <f>values!E21</f>
        <v>0.061600000000000002</v>
      </c>
      <c r="K4" s="3"/>
      <c r="L4" s="3">
        <f>'Storage 2'!N4</f>
        <v>0</v>
      </c>
      <c r="M4" s="42"/>
      <c r="N4" s="2"/>
      <c r="O4" s="2">
        <f>values!D21</f>
        <v>0.061600000000000002</v>
      </c>
      <c r="P4" s="2"/>
      <c r="Q4" s="2">
        <f>'Storage 2'!S4</f>
        <v>0</v>
      </c>
    </row>
    <row r="5">
      <c r="A5" t="s">
        <v>527</v>
      </c>
      <c r="B5" t="s">
        <v>193</v>
      </c>
      <c r="C5" s="1">
        <f>values!C2</f>
        <v>0</v>
      </c>
      <c r="D5" s="1">
        <f>values!C33</f>
        <v>0</v>
      </c>
      <c r="E5" s="1"/>
      <c r="F5" s="1"/>
      <c r="G5" s="1">
        <f>'Storage 2'!I5</f>
        <v>0</v>
      </c>
      <c r="H5" s="34">
        <f>values!E2</f>
        <v>0</v>
      </c>
      <c r="I5" s="3">
        <f>values!H33</f>
        <v>0</v>
      </c>
      <c r="J5" s="3"/>
      <c r="K5" s="3"/>
      <c r="L5" s="3">
        <f>'Storage 2'!N5</f>
        <v>0</v>
      </c>
      <c r="M5" s="42">
        <f>values!I2</f>
        <v>0</v>
      </c>
      <c r="N5" s="2">
        <f>values!M33</f>
        <v>0</v>
      </c>
      <c r="O5" s="2"/>
      <c r="P5" s="2"/>
      <c r="Q5" s="2">
        <f>'Storage 2'!S5</f>
        <v>0</v>
      </c>
    </row>
    <row r="6">
      <c r="A6" t="s">
        <v>616</v>
      </c>
      <c r="B6" t="s">
        <v>606</v>
      </c>
      <c r="C6" s="1">
        <f>values!C3</f>
        <v>33.329999999999998</v>
      </c>
      <c r="D6" s="1">
        <f>values!C34</f>
        <v>5.2000000000000002</v>
      </c>
      <c r="E6" s="1">
        <f>C6*E4</f>
        <v>2.0531280000000001</v>
      </c>
      <c r="F6" s="1">
        <f>values!C53</f>
        <v>13.888888888888889</v>
      </c>
      <c r="G6" s="1">
        <f>'Storage 2'!I6</f>
        <v>2.0555555555555558</v>
      </c>
      <c r="H6" s="34">
        <f>values!E3</f>
        <v>33.329999999999998</v>
      </c>
      <c r="I6" s="3">
        <f>values!E34</f>
        <v>5.2000000000000002</v>
      </c>
      <c r="J6" s="3">
        <f>H6*J4</f>
        <v>2.0531280000000001</v>
      </c>
      <c r="K6" s="3">
        <f>values!E53</f>
        <v>13.888888888888889</v>
      </c>
      <c r="L6" s="3">
        <f>values!E85</f>
        <v>2.0555555555555558</v>
      </c>
      <c r="M6" s="42">
        <f>values!D3</f>
        <v>33.329999999999998</v>
      </c>
      <c r="N6" s="2">
        <f>values!D34</f>
        <v>5.2000000000000002</v>
      </c>
      <c r="O6" s="2">
        <f>M6*O4</f>
        <v>2.0531280000000001</v>
      </c>
      <c r="P6" s="2">
        <f>values!D53</f>
        <v>13.888888888888889</v>
      </c>
      <c r="Q6" s="2">
        <f>values!D85</f>
        <v>2.0555555555555558</v>
      </c>
    </row>
    <row r="7">
      <c r="A7" t="s">
        <v>531</v>
      </c>
      <c r="B7" t="s">
        <v>532</v>
      </c>
      <c r="C7" s="1">
        <f>assumptions!C18</f>
        <v>25</v>
      </c>
      <c r="D7" s="1">
        <f>assumptions!C18</f>
        <v>25</v>
      </c>
      <c r="E7" s="1">
        <f>assumptions!C18</f>
        <v>25</v>
      </c>
      <c r="F7" s="1">
        <f>assumptions!C18</f>
        <v>25</v>
      </c>
      <c r="G7" s="1">
        <f>'Storage 2'!I7</f>
        <v>25</v>
      </c>
      <c r="H7" s="34">
        <f>assumptions!E18</f>
        <v>25</v>
      </c>
      <c r="I7" s="3">
        <f>assumptions!E18</f>
        <v>25</v>
      </c>
      <c r="J7" s="3">
        <f>assumptions!E18</f>
        <v>25</v>
      </c>
      <c r="K7" s="3">
        <f>assumptions!E18</f>
        <v>25</v>
      </c>
      <c r="L7" s="3">
        <f>assumptions!E18</f>
        <v>25</v>
      </c>
      <c r="M7" s="42">
        <f>assumptions!D18</f>
        <v>25</v>
      </c>
      <c r="N7" s="2">
        <f>assumptions!D18</f>
        <v>25</v>
      </c>
      <c r="O7" s="2">
        <f>assumptions!D18</f>
        <v>25</v>
      </c>
      <c r="P7" s="2">
        <f>assumptions!D18</f>
        <v>25</v>
      </c>
      <c r="Q7" s="2">
        <f>assumptions!D18</f>
        <v>25</v>
      </c>
    </row>
    <row r="8">
      <c r="A8" t="s">
        <v>538</v>
      </c>
      <c r="B8" t="s">
        <v>82</v>
      </c>
      <c r="C8" s="1">
        <f>(assumptions!C13*(1+assumptions!C13)^C7)/(((1+assumptions!C13)^C7)-1)</f>
        <v>0.093678779051968114</v>
      </c>
      <c r="D8" s="1">
        <f>(assumptions!C13*(1+assumptions!C13)^D7)/(((1+assumptions!C13)^D7)-1)</f>
        <v>0.093678779051968114</v>
      </c>
      <c r="E8" s="1">
        <f>(assumptions!C13*(1+assumptions!C13)^D7)/(((1+assumptions!C13)^D7)-1)</f>
        <v>0.093678779051968114</v>
      </c>
      <c r="F8" s="1">
        <f>(assumptions!C13*(1+assumptions!C13)^F7)/(((1+assumptions!C13)^F7)-1)</f>
        <v>0.093678779051968114</v>
      </c>
      <c r="G8" s="1">
        <f>'Storage 2'!I8</f>
        <v>0.093678779051968114</v>
      </c>
      <c r="H8" s="34">
        <f>(assumptions!E13*(1+assumptions!E13)^H7)/(((1+assumptions!E13)^H7)-1)</f>
        <v>0.093678779051968114</v>
      </c>
      <c r="I8" s="3">
        <f>(assumptions!E13*(1+assumptions!E13)^I7)/(((1+assumptions!E13)^I7)-1)</f>
        <v>0.093678779051968114</v>
      </c>
      <c r="J8" s="3">
        <f>(assumptions!E13*(1+assumptions!E13)^J7)/(((1+assumptions!E13)^J7)-1)</f>
        <v>0.093678779051968114</v>
      </c>
      <c r="K8" s="3">
        <f>(assumptions!E13*(1+assumptions!E13)^K7)/(((1+assumptions!E13)^K7)-1)</f>
        <v>0.093678779051968114</v>
      </c>
      <c r="L8" s="3">
        <f>(assumptions!E13*(1+assumptions!E13)^L7)/(((1+assumptions!E13)^L7)-1)</f>
        <v>0.093678779051968114</v>
      </c>
      <c r="M8" s="42">
        <f>(assumptions!D13*(1+assumptions!D13)^M7)/(((1+assumptions!D13)^M7)-1)</f>
        <v>0.093678779051968114</v>
      </c>
      <c r="N8" s="2">
        <f>(assumptions!D13*(1+assumptions!D13)^N7)/(((1+assumptions!D13)^N7)-1)</f>
        <v>0.093678779051968114</v>
      </c>
      <c r="O8" s="2">
        <f>(assumptions!D13*(1+assumptions!D13)^O7)/(((1+assumptions!D13)^O7)-1)</f>
        <v>0.093678779051968114</v>
      </c>
      <c r="P8" s="2">
        <f>(assumptions!D13*(1+assumptions!D13)^P7)/(((1+assumptions!D13)^P7)-1)</f>
        <v>0.093678779051968114</v>
      </c>
      <c r="Q8" s="2">
        <f>(assumptions!D13*(1+assumptions!D13)^Q7)/(((1+assumptions!D13)^Q7)-1)</f>
        <v>0.093678779051968114</v>
      </c>
    </row>
    <row r="9">
      <c r="A9" t="s">
        <v>537</v>
      </c>
      <c r="B9" t="s">
        <v>82</v>
      </c>
      <c r="C9" s="1">
        <f>assumptions!C43/100</f>
        <v>0.02</v>
      </c>
      <c r="D9" s="1">
        <f>assumptions!G40/100</f>
        <v>0.025000000000000001</v>
      </c>
      <c r="E9" s="1">
        <f>assumptions!C47/100</f>
        <v>0.0050000000000000001</v>
      </c>
      <c r="F9" s="1">
        <f>assumptions!C52/100</f>
        <v>0.02</v>
      </c>
      <c r="G9" s="1">
        <f>assumptions!C55/100</f>
        <v>0.01</v>
      </c>
      <c r="H9" s="34">
        <f>assumptions!H43/100</f>
        <v>0.02</v>
      </c>
      <c r="I9" s="3">
        <f>assumptions!E40/100</f>
        <v>0.029999999999999999</v>
      </c>
      <c r="J9" s="3">
        <f>assumptions!E47/100</f>
        <v>0.040000000000000001</v>
      </c>
      <c r="K9" s="3">
        <f>assumptions!E52/100</f>
        <v>0.040000000000000001</v>
      </c>
      <c r="L9" s="3">
        <f>assumptions!E55/100</f>
        <v>0.01</v>
      </c>
      <c r="M9" s="42">
        <f>assumptions!D43/100</f>
        <v>0.026666666666666665</v>
      </c>
      <c r="N9" s="2">
        <f>assumptions!D40/100</f>
        <v>0.025000000000000001</v>
      </c>
      <c r="O9" s="2">
        <f>assumptions!D47/100</f>
        <v>0.020400000000000001</v>
      </c>
      <c r="P9" s="2">
        <f>assumptions!D52/100</f>
        <v>0.029999999999999999</v>
      </c>
      <c r="Q9" s="2">
        <f>assumptions!D55/100</f>
        <v>0.01</v>
      </c>
    </row>
    <row r="10">
      <c r="A10" t="s">
        <v>617</v>
      </c>
      <c r="B10" t="s">
        <v>71</v>
      </c>
      <c r="C10" s="1">
        <v>365</v>
      </c>
      <c r="D10" s="1">
        <v>365</v>
      </c>
      <c r="E10" s="1">
        <v>365</v>
      </c>
      <c r="F10" s="1">
        <v>365</v>
      </c>
      <c r="G10" s="1">
        <f>'Storage 2'!I10</f>
        <v>365</v>
      </c>
      <c r="H10" s="34">
        <v>365</v>
      </c>
      <c r="I10" s="3">
        <v>365</v>
      </c>
      <c r="J10" s="3">
        <v>365</v>
      </c>
      <c r="K10" s="3">
        <v>365</v>
      </c>
      <c r="L10" s="3">
        <v>365</v>
      </c>
      <c r="M10" s="42">
        <v>365</v>
      </c>
      <c r="N10" s="2">
        <v>365</v>
      </c>
      <c r="O10" s="2">
        <v>365</v>
      </c>
      <c r="P10" s="2">
        <v>365</v>
      </c>
      <c r="Q10" s="2">
        <v>365</v>
      </c>
    </row>
    <row r="11">
      <c r="A11" t="s">
        <v>618</v>
      </c>
      <c r="B11" t="s">
        <v>173</v>
      </c>
      <c r="C11" s="1">
        <f>values!C10</f>
        <v>0.048000000000000001</v>
      </c>
      <c r="D11" s="1">
        <f>values!C42</f>
        <v>0.01</v>
      </c>
      <c r="E11" s="1">
        <v>0</v>
      </c>
      <c r="F11" s="1">
        <f>values!C69</f>
        <v>0.012</v>
      </c>
      <c r="G11" s="1">
        <f>'Storage 2'!I11</f>
        <v>0</v>
      </c>
      <c r="H11" s="34">
        <f>values!E10</f>
        <v>0.40000000000000002</v>
      </c>
      <c r="I11" s="3">
        <f>values!E42</f>
        <v>0.12</v>
      </c>
      <c r="J11" s="3">
        <v>0</v>
      </c>
      <c r="K11" s="3">
        <f>values!E69</f>
        <v>0.14999999999999999</v>
      </c>
      <c r="L11" s="3">
        <v>0</v>
      </c>
      <c r="M11" s="42">
        <f>values!D10</f>
        <v>0.18705000000000002</v>
      </c>
      <c r="N11" s="2">
        <f>values!D42</f>
        <v>0.058124999999999996</v>
      </c>
      <c r="O11" s="2">
        <v>0</v>
      </c>
      <c r="P11" s="2">
        <f>values!D69</f>
        <v>0.068142857142857144</v>
      </c>
      <c r="Q11" s="2">
        <v>0</v>
      </c>
    </row>
    <row r="12">
      <c r="A12" t="s">
        <v>619</v>
      </c>
      <c r="B12" t="s">
        <v>620</v>
      </c>
      <c r="C12" s="8">
        <f>values!C12</f>
        <v>1.8</v>
      </c>
      <c r="D12" s="1">
        <f>values!C43</f>
        <v>0.0378</v>
      </c>
      <c r="E12" s="1">
        <v>0</v>
      </c>
      <c r="F12" s="1">
        <f>values!C71</f>
        <v>0.5</v>
      </c>
      <c r="G12" s="1">
        <f>'Storage 2'!I12</f>
        <v>0</v>
      </c>
      <c r="H12" s="41">
        <f>values!E12</f>
        <v>7.5999999999999996</v>
      </c>
      <c r="I12" s="3">
        <f>values!E43</f>
        <v>0.080000000000000002</v>
      </c>
      <c r="J12" s="3">
        <v>0</v>
      </c>
      <c r="K12" s="3">
        <f>values!E71</f>
        <v>1.27</v>
      </c>
      <c r="L12" s="3">
        <v>0</v>
      </c>
      <c r="M12" s="43">
        <f>values!D12</f>
        <v>5.2750000000000004</v>
      </c>
      <c r="N12" s="2">
        <f>values!D43</f>
        <v>0.058900000000000001</v>
      </c>
      <c r="O12" s="2">
        <v>0</v>
      </c>
      <c r="P12" s="2">
        <f>values!D71</f>
        <v>0.81400000000000006</v>
      </c>
      <c r="Q12" s="2">
        <v>0</v>
      </c>
    </row>
    <row r="13">
      <c r="A13" t="s">
        <v>540</v>
      </c>
      <c r="B13" t="s">
        <v>621</v>
      </c>
      <c r="C13" s="1">
        <f>values!C11</f>
        <v>25</v>
      </c>
      <c r="D13" s="1">
        <f>values!C40</f>
        <v>0.56212000000000006</v>
      </c>
      <c r="E13" s="1">
        <f>values!C24*values!C21</f>
        <v>0.3276268085106383</v>
      </c>
      <c r="F13" s="1">
        <f>values!C70</f>
        <v>1.1805555555555556</v>
      </c>
      <c r="G13" s="1">
        <f>values!C91</f>
        <v>0.00034200000000000002</v>
      </c>
      <c r="H13" s="34">
        <f>values!E11</f>
        <v>131.16666666666666</v>
      </c>
      <c r="I13" s="3">
        <f>values!E40</f>
        <v>1.6472560000000001</v>
      </c>
      <c r="J13" s="3">
        <f>values!E24*values!E21</f>
        <v>0.97414371063829786</v>
      </c>
      <c r="K13" s="3">
        <f>values!E70</f>
        <v>40</v>
      </c>
      <c r="L13" s="3">
        <f>values!E91</f>
        <v>0.00034200000000000002</v>
      </c>
      <c r="M13" s="42">
        <f>values!D11</f>
        <v>60.918192982456127</v>
      </c>
      <c r="N13" s="2">
        <f>values!D40</f>
        <v>0.96488228368794338</v>
      </c>
      <c r="O13" s="2">
        <f>values!D24*values!D21</f>
        <v>0.6018111320170213</v>
      </c>
      <c r="P13" s="2">
        <f>values!D70</f>
        <v>14.092042198993417</v>
      </c>
      <c r="Q13" s="2">
        <f>values!D91</f>
        <v>0.00034200000000000002</v>
      </c>
    </row>
    <row r="14">
      <c r="A14" t="s">
        <v>608</v>
      </c>
      <c r="B14" t="s">
        <v>622</v>
      </c>
      <c r="C14" s="1">
        <f t="shared" ref="C14:Q14" si="135">(C8*C13)/C10</f>
        <v>0.0064163547295868571</v>
      </c>
      <c r="D14" s="1">
        <f t="shared" si="135"/>
        <v>0.00014427045282381458</v>
      </c>
      <c r="E14" s="1">
        <f t="shared" si="135"/>
        <v>8.4086792893067264e-05</v>
      </c>
      <c r="F14" s="1">
        <f t="shared" si="135"/>
        <v>0.00030299452889715714</v>
      </c>
      <c r="G14" s="1">
        <f t="shared" si="135"/>
        <v>8.7775732700748212e-08</v>
      </c>
      <c r="H14" s="34">
        <f t="shared" si="135"/>
        <v>0.033664474481232373</v>
      </c>
      <c r="I14" s="3">
        <f t="shared" si="135"/>
        <v>0.00042277515305761315</v>
      </c>
      <c r="J14" s="3">
        <f t="shared" si="135"/>
        <v>0.00025001806420205331</v>
      </c>
      <c r="K14" s="3">
        <f t="shared" si="135"/>
        <v>0.010266167567338971</v>
      </c>
      <c r="L14" s="3">
        <f t="shared" si="135"/>
        <v>8.7775732700748212e-08</v>
      </c>
      <c r="M14" s="42">
        <f t="shared" si="135"/>
        <v>0.015634909426434692</v>
      </c>
      <c r="N14" s="2">
        <f t="shared" si="135"/>
        <v>0.00024764108017742812</v>
      </c>
      <c r="O14" s="2">
        <f t="shared" si="135"/>
        <v>0.0001544573481294174</v>
      </c>
      <c r="P14" s="2">
        <f t="shared" si="135"/>
        <v>0.0036167816645219591</v>
      </c>
      <c r="Q14" s="2">
        <f t="shared" si="135"/>
        <v>8.7775732700748212e-08</v>
      </c>
    </row>
    <row r="15">
      <c r="A15" t="s">
        <v>609</v>
      </c>
      <c r="B15" t="s">
        <v>622</v>
      </c>
      <c r="C15" s="1">
        <f t="shared" ref="C15:Q15" si="136">(C9*C13)/C10</f>
        <v>0.0013698630136986301</v>
      </c>
      <c r="D15" s="1">
        <f t="shared" si="136"/>
        <v>3.8501369863013707e-05</v>
      </c>
      <c r="E15" s="1">
        <f t="shared" si="136"/>
        <v>4.4880384727484695e-06</v>
      </c>
      <c r="F15" s="1">
        <f t="shared" si="136"/>
        <v>6.4687975646879759e-05</v>
      </c>
      <c r="G15" s="1">
        <f t="shared" si="136"/>
        <v>9.3698630136986303e-09</v>
      </c>
      <c r="H15" s="34">
        <f t="shared" si="136"/>
        <v>0.0071872146118721458</v>
      </c>
      <c r="I15" s="3">
        <f t="shared" si="136"/>
        <v>0.00013539090410958902</v>
      </c>
      <c r="J15" s="3">
        <f t="shared" si="136"/>
        <v>0.00010675547513844361</v>
      </c>
      <c r="K15" s="3">
        <f t="shared" si="136"/>
        <v>0.004383561643835617</v>
      </c>
      <c r="L15" s="3">
        <f t="shared" si="136"/>
        <v>9.3698630136986303e-09</v>
      </c>
      <c r="M15" s="42">
        <f t="shared" si="136"/>
        <v>0.0044506442361611775</v>
      </c>
      <c r="N15" s="2">
        <f t="shared" si="136"/>
        <v>6.6087827649859135e-05</v>
      </c>
      <c r="O15" s="2">
        <f t="shared" si="136"/>
        <v>3.3635471488074615e-05</v>
      </c>
      <c r="P15" s="2">
        <f t="shared" si="136"/>
        <v>0.0011582500437528835</v>
      </c>
      <c r="Q15" s="2">
        <f t="shared" si="136"/>
        <v>9.3698630136986303e-09</v>
      </c>
    </row>
    <row r="17">
      <c r="A17" t="s">
        <v>623</v>
      </c>
      <c r="B17" t="s">
        <v>62</v>
      </c>
      <c r="C17" s="44">
        <f>assumptions!C15</f>
        <v>30</v>
      </c>
      <c r="D17">
        <f>C17</f>
        <v>30</v>
      </c>
      <c r="E17">
        <f>D17</f>
        <v>30</v>
      </c>
      <c r="F17">
        <f>E17</f>
        <v>30</v>
      </c>
      <c r="G17">
        <f>C17</f>
        <v>30</v>
      </c>
      <c r="H17" s="45">
        <f>assumptions!E15</f>
        <v>30</v>
      </c>
      <c r="I17">
        <f>H17</f>
        <v>30</v>
      </c>
      <c r="J17">
        <f>I17</f>
        <v>30</v>
      </c>
      <c r="K17">
        <f>J17</f>
        <v>30</v>
      </c>
      <c r="L17">
        <f>H17</f>
        <v>30</v>
      </c>
      <c r="M17" s="45">
        <f>assumptions!D15</f>
        <v>30</v>
      </c>
      <c r="N17">
        <f>M17</f>
        <v>30</v>
      </c>
      <c r="O17">
        <f>N17</f>
        <v>30</v>
      </c>
      <c r="P17">
        <f>O17</f>
        <v>30</v>
      </c>
      <c r="Q17">
        <f>M17</f>
        <v>30</v>
      </c>
    </row>
    <row r="18">
      <c r="A18" t="s">
        <v>624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5">
        <v>0</v>
      </c>
      <c r="I18" s="44">
        <v>0</v>
      </c>
      <c r="J18" s="44">
        <v>0</v>
      </c>
      <c r="K18" s="44">
        <v>0</v>
      </c>
      <c r="L18" s="44">
        <v>0</v>
      </c>
      <c r="M18" s="45">
        <v>0</v>
      </c>
      <c r="N18" s="44">
        <v>0</v>
      </c>
      <c r="O18" s="44">
        <v>0</v>
      </c>
      <c r="P18" s="44">
        <v>0</v>
      </c>
      <c r="Q18" s="44">
        <v>0</v>
      </c>
    </row>
    <row r="20">
      <c r="A20" t="s">
        <v>625</v>
      </c>
      <c r="B20" t="s">
        <v>368</v>
      </c>
    </row>
    <row r="21">
      <c r="B21" t="s">
        <v>550</v>
      </c>
      <c r="C21">
        <f>Shipping!D40</f>
        <v>11760000</v>
      </c>
      <c r="D21">
        <f>Shipping!E40</f>
        <v>107200000</v>
      </c>
      <c r="E21">
        <f>Shipping!F40</f>
        <v>140800000</v>
      </c>
      <c r="F21">
        <f>Shipping!G40</f>
        <v>65600000</v>
      </c>
      <c r="G21">
        <f>Shipping!H40</f>
        <v>159956100</v>
      </c>
      <c r="H21" s="37">
        <f>Shipping!I40</f>
        <v>11760000</v>
      </c>
      <c r="I21">
        <f>Shipping!J40</f>
        <v>107200000</v>
      </c>
      <c r="J21">
        <f>Shipping!K40</f>
        <v>140800000</v>
      </c>
      <c r="K21">
        <f>Shipping!L40</f>
        <v>65600000</v>
      </c>
      <c r="L21">
        <f>Shipping!M40</f>
        <v>159956100</v>
      </c>
      <c r="M21" s="37">
        <f>Shipping!N40</f>
        <v>11760000</v>
      </c>
      <c r="N21">
        <f>Shipping!O40</f>
        <v>107200000</v>
      </c>
      <c r="O21">
        <f>Shipping!P40</f>
        <v>140800000</v>
      </c>
      <c r="P21">
        <f>Shipping!Q40</f>
        <v>65600000</v>
      </c>
      <c r="Q21">
        <f>Shipping!R40</f>
        <v>159956100</v>
      </c>
    </row>
    <row r="22">
      <c r="B22" t="s">
        <v>551</v>
      </c>
      <c r="C22">
        <f>Shipping!D41</f>
        <v>11388155.295529554</v>
      </c>
      <c r="D22">
        <f>Shipping!E41</f>
        <v>104816618.46153846</v>
      </c>
      <c r="E22">
        <f>Shipping!F41</f>
        <v>130539559.99236287</v>
      </c>
      <c r="F22">
        <f>Shipping!G41</f>
        <v>64707661.952</v>
      </c>
      <c r="G22">
        <f>Shipping!H41</f>
        <v>156046323.62544698</v>
      </c>
      <c r="H22" s="37">
        <f>Shipping!I41</f>
        <v>11388155.295529554</v>
      </c>
      <c r="I22">
        <f>Shipping!J41</f>
        <v>104816618.46153846</v>
      </c>
      <c r="J22">
        <f>Shipping!K41</f>
        <v>130539559.99236287</v>
      </c>
      <c r="K22">
        <f>Shipping!L41</f>
        <v>64563019.919015445</v>
      </c>
      <c r="L22">
        <f>Shipping!M41</f>
        <v>156046323.62544698</v>
      </c>
      <c r="M22" s="37">
        <f>Shipping!N41</f>
        <v>11388155.295529554</v>
      </c>
      <c r="N22">
        <f>Shipping!O41</f>
        <v>104816618.46153846</v>
      </c>
      <c r="O22">
        <f>Shipping!P41</f>
        <v>130539559.99236287</v>
      </c>
      <c r="P22">
        <f>Shipping!Q41</f>
        <v>64707661.952</v>
      </c>
      <c r="Q22">
        <f>Shipping!R41</f>
        <v>156046323.62544698</v>
      </c>
    </row>
    <row r="23">
      <c r="B23" t="s">
        <v>552</v>
      </c>
      <c r="C23">
        <f>Shipping!D42</f>
        <v>10837611.761176117</v>
      </c>
      <c r="D23">
        <f>Shipping!E42</f>
        <v>101287846.15384616</v>
      </c>
      <c r="E23">
        <f>Shipping!F42</f>
        <v>117378164.95415774</v>
      </c>
      <c r="F23">
        <f>Shipping!G42</f>
        <v>63386489.600000001</v>
      </c>
      <c r="G23">
        <f>Shipping!H42</f>
        <v>150257611.08523908</v>
      </c>
      <c r="H23" s="37">
        <f>Shipping!I42</f>
        <v>10837611.761176117</v>
      </c>
      <c r="I23">
        <f>Shipping!J42</f>
        <v>101287846.15384616</v>
      </c>
      <c r="J23">
        <f>Shipping!K42</f>
        <v>117378164.95415774</v>
      </c>
      <c r="K23">
        <f>Shipping!L42</f>
        <v>63338850.174929462</v>
      </c>
      <c r="L23">
        <f>Shipping!M42</f>
        <v>150257611.08523908</v>
      </c>
      <c r="M23" s="37">
        <f>Shipping!N42</f>
        <v>10837611.761176117</v>
      </c>
      <c r="N23">
        <f>Shipping!O42</f>
        <v>101287846.15384616</v>
      </c>
      <c r="O23">
        <f>Shipping!P42</f>
        <v>117378164.95415774</v>
      </c>
      <c r="P23">
        <f>Shipping!Q42</f>
        <v>63386489.600000001</v>
      </c>
      <c r="Q23">
        <f>Shipping!R42</f>
        <v>150257611.08523908</v>
      </c>
    </row>
    <row r="24">
      <c r="B24" t="s">
        <v>553</v>
      </c>
      <c r="C24">
        <f>Shipping!D43</f>
        <v>9579163.0363036301</v>
      </c>
      <c r="D24">
        <f>Shipping!E43</f>
        <v>93221673.84615384</v>
      </c>
      <c r="E24">
        <f>Shipping!F43</f>
        <v>84276802.537396595</v>
      </c>
      <c r="F24">
        <f>Shipping!G43</f>
        <v>60366514.688000001</v>
      </c>
      <c r="G24">
        <f>Shipping!H43</f>
        <v>137025600.42611226</v>
      </c>
      <c r="H24" s="37">
        <f>Shipping!I43</f>
        <v>9579163.0363036301</v>
      </c>
      <c r="I24">
        <f>Shipping!J43</f>
        <v>93221673.84615384</v>
      </c>
      <c r="J24">
        <f>Shipping!K43</f>
        <v>84276802.537396595</v>
      </c>
      <c r="K24">
        <f>Shipping!L43</f>
        <v>60627067.51620958</v>
      </c>
      <c r="L24">
        <f>Shipping!M43</f>
        <v>137025600.42611226</v>
      </c>
      <c r="M24" s="37">
        <f>Shipping!N43</f>
        <v>9579163.0363036301</v>
      </c>
      <c r="N24">
        <f>Shipping!O43</f>
        <v>93221673.84615384</v>
      </c>
      <c r="O24">
        <f>Shipping!P43</f>
        <v>84276802.537396595</v>
      </c>
      <c r="P24">
        <f>Shipping!Q43</f>
        <v>60366514.688000001</v>
      </c>
      <c r="Q24">
        <f>Shipping!R43</f>
        <v>137025600.42611226</v>
      </c>
    </row>
    <row r="26">
      <c r="A26" t="s">
        <v>626</v>
      </c>
      <c r="B26" t="s">
        <v>368</v>
      </c>
    </row>
    <row r="27">
      <c r="B27" t="s">
        <v>550</v>
      </c>
    </row>
    <row r="28">
      <c r="B28" t="s">
        <v>551</v>
      </c>
      <c r="E28">
        <f>E22*E4</f>
        <v>8041236.8955295533</v>
      </c>
      <c r="J28">
        <f>J22*J4</f>
        <v>8041236.8955295533</v>
      </c>
      <c r="O28">
        <f>O22*O4</f>
        <v>8041236.8955295533</v>
      </c>
    </row>
    <row r="29">
      <c r="B29" t="s">
        <v>552</v>
      </c>
      <c r="E29">
        <f>E23*E4</f>
        <v>7230494.961176117</v>
      </c>
      <c r="J29">
        <f>J23*J4</f>
        <v>7230494.961176117</v>
      </c>
      <c r="O29">
        <f>O23*O4</f>
        <v>7230494.961176117</v>
      </c>
    </row>
    <row r="30">
      <c r="B30" t="s">
        <v>553</v>
      </c>
      <c r="E30">
        <f>E24*E4</f>
        <v>5191451.0363036301</v>
      </c>
      <c r="J30">
        <f>J24*J4</f>
        <v>5191451.0363036301</v>
      </c>
      <c r="O30">
        <f>O24*O4</f>
        <v>5191451.0363036301</v>
      </c>
    </row>
    <row r="32">
      <c r="A32" t="s">
        <v>627</v>
      </c>
      <c r="B32" t="s">
        <v>368</v>
      </c>
    </row>
    <row r="33">
      <c r="B33" t="s">
        <v>550</v>
      </c>
      <c r="C33">
        <f>C21*(1-(1-(C11/100))^(C19))</f>
        <v>0</v>
      </c>
      <c r="D33">
        <f>D21*(1-(1-(D11/100))^(D19))</f>
        <v>0</v>
      </c>
      <c r="E33">
        <f>E21*(1-(1-(E11/100))^(E19))</f>
        <v>0</v>
      </c>
      <c r="F33">
        <f>F21*(1-(1-(F11/100))^(F19))</f>
        <v>0</v>
      </c>
      <c r="G33">
        <f>G21*(1-(1-(G11/100))^(G19))</f>
        <v>0</v>
      </c>
      <c r="H33" s="37">
        <f t="shared" ref="H33:Q33" si="137">H21*(1-(1-(H11/100))^(H18))</f>
        <v>0</v>
      </c>
      <c r="I33">
        <f t="shared" si="137"/>
        <v>0</v>
      </c>
      <c r="J33">
        <f t="shared" si="137"/>
        <v>0</v>
      </c>
      <c r="K33">
        <f t="shared" si="137"/>
        <v>0</v>
      </c>
      <c r="L33">
        <f t="shared" si="137"/>
        <v>0</v>
      </c>
      <c r="M33" s="37">
        <f t="shared" si="137"/>
        <v>0</v>
      </c>
      <c r="N33">
        <f t="shared" si="137"/>
        <v>0</v>
      </c>
      <c r="O33">
        <f t="shared" si="137"/>
        <v>0</v>
      </c>
      <c r="P33">
        <f t="shared" si="137"/>
        <v>0</v>
      </c>
      <c r="Q33">
        <f t="shared" si="137"/>
        <v>0</v>
      </c>
    </row>
    <row r="34">
      <c r="B34" t="s">
        <v>551</v>
      </c>
      <c r="C34">
        <f>C22*(1-(1-(C11/100))^(C17))</f>
        <v>162853.16657521977</v>
      </c>
      <c r="D34">
        <f>D22*(1-(1-(D11/100))^(D17))</f>
        <v>313994.32836259156</v>
      </c>
      <c r="E34">
        <f>E22*(1-(1-(E11/100))^(E17))</f>
        <v>0</v>
      </c>
      <c r="F34">
        <f>F22*(1-(1-(F11/100))^(F17))</f>
        <v>232542.70783356042</v>
      </c>
      <c r="G34">
        <f t="shared" ref="G34:G36" si="138">0</f>
        <v>0</v>
      </c>
      <c r="H34" s="37">
        <f>H22*(1-(1-(H11/100))^(H17))</f>
        <v>1290197.9117332564</v>
      </c>
      <c r="I34">
        <f>I22*(1-(1-(I11/100))^(I17))</f>
        <v>3708470.5752329654</v>
      </c>
      <c r="J34">
        <f>J22*(1-(1-(J11/100))^(J17))</f>
        <v>0</v>
      </c>
      <c r="K34">
        <f>K22*(1-(1-(K11/100))^(K17))</f>
        <v>2843020.6274909046</v>
      </c>
      <c r="L34">
        <f t="shared" ref="L34:L36" si="139">0</f>
        <v>0</v>
      </c>
      <c r="M34" s="37">
        <f>M22*(1-(1-(M11/100))^(M17))</f>
        <v>622012.7649846921</v>
      </c>
      <c r="N34">
        <f>N22*(1-(1-(N11/100))^(N17))</f>
        <v>1812418.6071384533</v>
      </c>
      <c r="O34">
        <f>O22*(1-(1-(O11/100))^(O17))</f>
        <v>0</v>
      </c>
      <c r="P34">
        <f>P22*(1-(1-(P11/100))^(P17))</f>
        <v>1309821.93283513</v>
      </c>
      <c r="Q34">
        <f t="shared" ref="Q34:Q36" si="140">0</f>
        <v>0</v>
      </c>
    </row>
    <row r="35">
      <c r="B35" t="s">
        <v>552</v>
      </c>
      <c r="C35">
        <f>C23*(1-(1-(C11/100))^(C17))</f>
        <v>154980.27095865176</v>
      </c>
      <c r="D35">
        <f>D23*(1-(1-(D11/100))^(D17))</f>
        <v>303423.34728190606</v>
      </c>
      <c r="E35">
        <f>E23*(1-(1-(E11/100))^(E17))</f>
        <v>0</v>
      </c>
      <c r="F35">
        <f>F23*(1-(1-(F11/100))^(F17))</f>
        <v>227794.75392855276</v>
      </c>
      <c r="G35">
        <f t="shared" si="138"/>
        <v>0</v>
      </c>
      <c r="H35" s="37">
        <f>H23*(1-(1-(H11/100))^(H17))</f>
        <v>1227825.2007973699</v>
      </c>
      <c r="I35">
        <f>I23*(1-(1-(I11/100))^(I17))</f>
        <v>3583620.6376767778</v>
      </c>
      <c r="J35">
        <f>J23*(1-(1-(J11/100))^(J17))</f>
        <v>0</v>
      </c>
      <c r="K35">
        <f>K23*(1-(1-(K11/100))^(K17))</f>
        <v>2789114.5394802717</v>
      </c>
      <c r="L35">
        <f t="shared" si="139"/>
        <v>0</v>
      </c>
      <c r="M35" s="37">
        <f>M23*(1-(1-(M11/100))^(M17))</f>
        <v>591942.4772900684</v>
      </c>
      <c r="N35">
        <f>N23*(1-(1-(N11/100))^(N17))</f>
        <v>1751401.4451207409</v>
      </c>
      <c r="O35">
        <f>O23*(1-(1-(O11/100))^(O17))</f>
        <v>0</v>
      </c>
      <c r="P35">
        <f>P23*(1-(1-(P11/100))^(P17))</f>
        <v>1283078.5693523225</v>
      </c>
      <c r="Q35">
        <f t="shared" si="140"/>
        <v>0</v>
      </c>
    </row>
    <row r="36">
      <c r="B36" t="s">
        <v>553</v>
      </c>
      <c r="C36">
        <f>C24*(1-(1-(C11/100))^(C17))</f>
        <v>136984.17286377569</v>
      </c>
      <c r="D36">
        <f>D24*(1-(1-(D11/100))^(D17))</f>
        <v>279259.88548180851</v>
      </c>
      <c r="E36">
        <f>E24*(1-(1-(E11/100))^(E17))</f>
        <v>0</v>
      </c>
      <c r="F36">
        <f>F24*(1-(1-(F11/100))^(F17))</f>
        <v>216941.74019817193</v>
      </c>
      <c r="G36">
        <f t="shared" si="138"/>
        <v>0</v>
      </c>
      <c r="H36" s="37">
        <f>H24*(1-(1-(H11/100))^(H17))</f>
        <v>1085251.8098732727</v>
      </c>
      <c r="I36">
        <f>I24*(1-(1-(I11/100))^(I17))</f>
        <v>3298234.9507800732</v>
      </c>
      <c r="J36">
        <f>J24*(1-(1-(J11/100))^(J17))</f>
        <v>0</v>
      </c>
      <c r="K36">
        <f>K24*(1-(1-(K11/100))^(K17))</f>
        <v>2669701.6922236942</v>
      </c>
      <c r="L36">
        <f t="shared" si="139"/>
        <v>0</v>
      </c>
      <c r="M36" s="37">
        <f>M24*(1-(1-(M11/100))^(M17))</f>
        <v>523206.92261628609</v>
      </c>
      <c r="N36">
        <f>N24*(1-(1-(N11/100))^(N17))</f>
        <v>1611926.6080822716</v>
      </c>
      <c r="O36">
        <f>O24*(1-(1-(O11/100))^(O17))</f>
        <v>0</v>
      </c>
      <c r="P36">
        <f>P24*(1-(1-(P11/100))^(P17))</f>
        <v>1221947.7966273904</v>
      </c>
      <c r="Q36">
        <f t="shared" si="140"/>
        <v>0</v>
      </c>
    </row>
    <row r="38">
      <c r="A38" s="30" t="s">
        <v>628</v>
      </c>
      <c r="B38" s="30" t="s">
        <v>629</v>
      </c>
    </row>
    <row r="39">
      <c r="A39" s="30"/>
      <c r="B39" s="30" t="s">
        <v>550</v>
      </c>
      <c r="C39">
        <f t="shared" ref="C39:Q39" si="141">C33*C12</f>
        <v>0</v>
      </c>
      <c r="D39">
        <f t="shared" si="141"/>
        <v>0</v>
      </c>
      <c r="E39">
        <f t="shared" si="141"/>
        <v>0</v>
      </c>
      <c r="F39">
        <f t="shared" si="141"/>
        <v>0</v>
      </c>
      <c r="G39">
        <f t="shared" si="141"/>
        <v>0</v>
      </c>
      <c r="H39" s="37">
        <f t="shared" si="141"/>
        <v>0</v>
      </c>
      <c r="I39">
        <f t="shared" si="141"/>
        <v>0</v>
      </c>
      <c r="J39">
        <f t="shared" si="141"/>
        <v>0</v>
      </c>
      <c r="K39">
        <f t="shared" si="141"/>
        <v>0</v>
      </c>
      <c r="L39">
        <f t="shared" si="141"/>
        <v>0</v>
      </c>
      <c r="M39" s="37">
        <f t="shared" si="141"/>
        <v>0</v>
      </c>
      <c r="N39">
        <f t="shared" si="141"/>
        <v>0</v>
      </c>
      <c r="O39">
        <f t="shared" si="141"/>
        <v>0</v>
      </c>
      <c r="P39">
        <f t="shared" si="141"/>
        <v>0</v>
      </c>
      <c r="Q39">
        <f t="shared" si="141"/>
        <v>0</v>
      </c>
    </row>
    <row r="40">
      <c r="A40" s="30"/>
      <c r="B40" s="30" t="s">
        <v>551</v>
      </c>
      <c r="C40">
        <f>C34*C12</f>
        <v>293135.69983539562</v>
      </c>
      <c r="D40">
        <f>D34*D12</f>
        <v>11868.985612105962</v>
      </c>
      <c r="E40">
        <f>E34*E12</f>
        <v>0</v>
      </c>
      <c r="F40">
        <f>F34*F12</f>
        <v>116271.35391678021</v>
      </c>
      <c r="G40">
        <f t="shared" ref="G40:G42" si="142">0</f>
        <v>0</v>
      </c>
      <c r="H40" s="37">
        <f>H34*H12</f>
        <v>9805504.129172748</v>
      </c>
      <c r="I40">
        <f>I34*I12</f>
        <v>296677.64601863723</v>
      </c>
      <c r="J40">
        <f>J34*J12</f>
        <v>0</v>
      </c>
      <c r="K40">
        <f>K34*K12</f>
        <v>3610636.1969134491</v>
      </c>
      <c r="L40">
        <f t="shared" ref="L40:L42" si="143">0</f>
        <v>0</v>
      </c>
      <c r="M40" s="37">
        <f>M34*M12</f>
        <v>3281117.3352942509</v>
      </c>
      <c r="N40">
        <f>N34*N12</f>
        <v>106751.4559604549</v>
      </c>
      <c r="O40">
        <f>O34*O12</f>
        <v>0</v>
      </c>
      <c r="P40">
        <f>P34*P12</f>
        <v>1066195.0533277958</v>
      </c>
      <c r="Q40">
        <f t="shared" ref="Q40:Q42" si="144">0</f>
        <v>0</v>
      </c>
    </row>
    <row r="41">
      <c r="A41" s="30"/>
      <c r="B41" s="30" t="s">
        <v>552</v>
      </c>
      <c r="C41">
        <f>C35*C12</f>
        <v>278964.48772557318</v>
      </c>
      <c r="D41">
        <f>D35*D12</f>
        <v>11469.402527256048</v>
      </c>
      <c r="E41">
        <f>E35*E12</f>
        <v>0</v>
      </c>
      <c r="F41">
        <f>F35*F12</f>
        <v>113897.37696427638</v>
      </c>
      <c r="G41">
        <f t="shared" si="142"/>
        <v>0</v>
      </c>
      <c r="H41" s="37">
        <f>H35*H12</f>
        <v>9331471.5260600112</v>
      </c>
      <c r="I41">
        <f>I35*I12</f>
        <v>286689.6510141422</v>
      </c>
      <c r="J41">
        <f>J35*J12</f>
        <v>0</v>
      </c>
      <c r="K41">
        <f>K35*K12</f>
        <v>3542175.465139945</v>
      </c>
      <c r="L41">
        <f t="shared" si="143"/>
        <v>0</v>
      </c>
      <c r="M41" s="37">
        <f>M35*M12</f>
        <v>3122496.5677051111</v>
      </c>
      <c r="N41">
        <f>N35*N12</f>
        <v>103157.54511761165</v>
      </c>
      <c r="O41">
        <f>O35*O12</f>
        <v>0</v>
      </c>
      <c r="P41">
        <f>P35*P12</f>
        <v>1044425.9554527906</v>
      </c>
      <c r="Q41">
        <f t="shared" si="144"/>
        <v>0</v>
      </c>
    </row>
    <row r="42">
      <c r="A42" s="30"/>
      <c r="B42" s="30" t="s">
        <v>553</v>
      </c>
      <c r="C42">
        <f>C36*C12</f>
        <v>246571.51115479626</v>
      </c>
      <c r="D42">
        <f>D36*D12</f>
        <v>10556.023671212362</v>
      </c>
      <c r="E42">
        <f>E36*E12</f>
        <v>0</v>
      </c>
      <c r="F42">
        <f>F36*F12</f>
        <v>108470.87009908597</v>
      </c>
      <c r="G42">
        <f t="shared" si="142"/>
        <v>0</v>
      </c>
      <c r="H42" s="37">
        <f>H36*H12</f>
        <v>8247913.7550368719</v>
      </c>
      <c r="I42">
        <f>I36*I12</f>
        <v>263858.79606240586</v>
      </c>
      <c r="J42">
        <f>J36*J12</f>
        <v>0</v>
      </c>
      <c r="K42">
        <f>K36*K12</f>
        <v>3390521.1491240915</v>
      </c>
      <c r="L42">
        <f t="shared" si="143"/>
        <v>0</v>
      </c>
      <c r="M42" s="37">
        <f>M36*M12</f>
        <v>2759916.5168009093</v>
      </c>
      <c r="N42">
        <f>N36*N12</f>
        <v>94942.477216045809</v>
      </c>
      <c r="O42">
        <f>O36*O12</f>
        <v>0</v>
      </c>
      <c r="P42">
        <f>P36*P12</f>
        <v>994665.50645469583</v>
      </c>
      <c r="Q42">
        <f t="shared" si="144"/>
        <v>0</v>
      </c>
    </row>
    <row r="44">
      <c r="A44" t="s">
        <v>630</v>
      </c>
      <c r="B44" t="s">
        <v>631</v>
      </c>
    </row>
    <row r="45">
      <c r="B45" t="s">
        <v>550</v>
      </c>
      <c r="C45">
        <f t="shared" ref="C45:Q48" si="145">C39/C21</f>
        <v>0</v>
      </c>
      <c r="D45">
        <f t="shared" si="145"/>
        <v>0</v>
      </c>
      <c r="E45">
        <f t="shared" si="145"/>
        <v>0</v>
      </c>
      <c r="F45">
        <f t="shared" si="145"/>
        <v>0</v>
      </c>
      <c r="G45">
        <f t="shared" si="145"/>
        <v>0</v>
      </c>
      <c r="H45" s="37">
        <f t="shared" si="145"/>
        <v>0</v>
      </c>
      <c r="I45">
        <f t="shared" si="145"/>
        <v>0</v>
      </c>
      <c r="J45">
        <f t="shared" si="145"/>
        <v>0</v>
      </c>
      <c r="K45">
        <f t="shared" si="145"/>
        <v>0</v>
      </c>
      <c r="L45">
        <f t="shared" si="145"/>
        <v>0</v>
      </c>
      <c r="M45" s="37">
        <f t="shared" si="145"/>
        <v>0</v>
      </c>
      <c r="N45">
        <f t="shared" si="145"/>
        <v>0</v>
      </c>
      <c r="O45">
        <f t="shared" si="145"/>
        <v>0</v>
      </c>
      <c r="P45">
        <f t="shared" si="145"/>
        <v>0</v>
      </c>
      <c r="Q45">
        <f t="shared" si="145"/>
        <v>0</v>
      </c>
    </row>
    <row r="46">
      <c r="B46" t="s">
        <v>551</v>
      </c>
      <c r="C46">
        <f t="shared" si="145"/>
        <v>0.025740402394272468</v>
      </c>
      <c r="D46">
        <f t="shared" si="145"/>
        <v>0.00011323572336443177</v>
      </c>
      <c r="E46">
        <f t="shared" si="145"/>
        <v>0</v>
      </c>
      <c r="F46">
        <f t="shared" si="145"/>
        <v>0.0017968715050009076</v>
      </c>
      <c r="G46">
        <f t="shared" si="145"/>
        <v>0</v>
      </c>
      <c r="H46" s="37">
        <f t="shared" si="145"/>
        <v>0.86102655563732267</v>
      </c>
      <c r="I46">
        <f t="shared" si="145"/>
        <v>0.0028304447364661022</v>
      </c>
      <c r="J46">
        <f t="shared" si="145"/>
        <v>0</v>
      </c>
      <c r="K46">
        <f t="shared" si="145"/>
        <v>0.055924214843767327</v>
      </c>
      <c r="L46">
        <f t="shared" si="145"/>
        <v>0</v>
      </c>
      <c r="M46" s="37">
        <f t="shared" si="145"/>
        <v>0.2881166659697959</v>
      </c>
      <c r="N46">
        <f t="shared" si="145"/>
        <v>0.0010184592627325256</v>
      </c>
      <c r="O46">
        <f t="shared" si="145"/>
        <v>0</v>
      </c>
      <c r="P46">
        <f t="shared" si="145"/>
        <v>0.01647710674693666</v>
      </c>
      <c r="Q46">
        <f t="shared" si="145"/>
        <v>0</v>
      </c>
    </row>
    <row r="47">
      <c r="B47" t="s">
        <v>552</v>
      </c>
      <c r="C47">
        <f t="shared" si="145"/>
        <v>0.025740402394272468</v>
      </c>
      <c r="D47">
        <f t="shared" si="145"/>
        <v>0.00011323572336443177</v>
      </c>
      <c r="E47">
        <f t="shared" si="145"/>
        <v>0</v>
      </c>
      <c r="F47">
        <f t="shared" si="145"/>
        <v>0.0017968715050009076</v>
      </c>
      <c r="G47">
        <f t="shared" si="145"/>
        <v>0</v>
      </c>
      <c r="H47" s="37">
        <f t="shared" si="145"/>
        <v>0.86102655563732278</v>
      </c>
      <c r="I47">
        <f t="shared" si="145"/>
        <v>0.0028304447364661022</v>
      </c>
      <c r="J47">
        <f t="shared" si="145"/>
        <v>0</v>
      </c>
      <c r="K47">
        <f t="shared" si="145"/>
        <v>0.055924214843767327</v>
      </c>
      <c r="L47">
        <f t="shared" si="145"/>
        <v>0</v>
      </c>
      <c r="M47" s="37">
        <f t="shared" si="145"/>
        <v>0.28811666596979596</v>
      </c>
      <c r="N47">
        <f t="shared" si="145"/>
        <v>0.0010184592627325256</v>
      </c>
      <c r="O47">
        <f t="shared" si="145"/>
        <v>0</v>
      </c>
      <c r="P47">
        <f t="shared" si="145"/>
        <v>0.016477106746936664</v>
      </c>
      <c r="Q47">
        <f t="shared" si="145"/>
        <v>0</v>
      </c>
    </row>
    <row r="48">
      <c r="B48" t="s">
        <v>553</v>
      </c>
      <c r="C48">
        <f t="shared" si="145"/>
        <v>0.025740402394272464</v>
      </c>
      <c r="D48">
        <f t="shared" si="145"/>
        <v>0.00011323572336443179</v>
      </c>
      <c r="E48">
        <f t="shared" si="145"/>
        <v>0</v>
      </c>
      <c r="F48">
        <f t="shared" si="145"/>
        <v>0.0017968715050009079</v>
      </c>
      <c r="G48">
        <f t="shared" si="145"/>
        <v>0</v>
      </c>
      <c r="H48" s="37">
        <f t="shared" si="145"/>
        <v>0.86102655563732267</v>
      </c>
      <c r="I48">
        <f t="shared" si="145"/>
        <v>0.0028304447364661026</v>
      </c>
      <c r="J48">
        <f t="shared" si="145"/>
        <v>0</v>
      </c>
      <c r="K48">
        <f t="shared" si="145"/>
        <v>0.05592421484376732</v>
      </c>
      <c r="L48">
        <f t="shared" si="145"/>
        <v>0</v>
      </c>
      <c r="M48" s="37">
        <f t="shared" si="145"/>
        <v>0.28811666596979596</v>
      </c>
      <c r="N48">
        <f t="shared" si="145"/>
        <v>0.0010184592627325256</v>
      </c>
      <c r="O48">
        <f t="shared" si="145"/>
        <v>0</v>
      </c>
      <c r="P48">
        <f t="shared" si="145"/>
        <v>0.01647710674693666</v>
      </c>
      <c r="Q48">
        <f t="shared" si="145"/>
        <v>0</v>
      </c>
    </row>
    <row r="50">
      <c r="A50" t="s">
        <v>566</v>
      </c>
      <c r="B50" t="s">
        <v>543</v>
      </c>
    </row>
    <row r="51">
      <c r="B51" t="s">
        <v>550</v>
      </c>
      <c r="C51">
        <f>assumptions!C4*C45</f>
        <v>0</v>
      </c>
      <c r="D51">
        <f>assumptions!C4*D45</f>
        <v>0</v>
      </c>
      <c r="E51">
        <f>assumptions!C4*E45</f>
        <v>0</v>
      </c>
      <c r="F51">
        <f>assumptions!C4*F45</f>
        <v>0</v>
      </c>
      <c r="G51">
        <f>assumptions!C4*G45</f>
        <v>0</v>
      </c>
      <c r="H51" s="37">
        <f>assumptions!E4*H45</f>
        <v>0</v>
      </c>
      <c r="I51">
        <f>assumptions!E4*I45</f>
        <v>0</v>
      </c>
      <c r="J51">
        <f>assumptions!E4*J45</f>
        <v>0</v>
      </c>
      <c r="K51">
        <f>assumptions!E4*K45</f>
        <v>0</v>
      </c>
      <c r="L51">
        <f>assumptions!E4*L45</f>
        <v>0</v>
      </c>
      <c r="M51" s="37">
        <f>assumptions!D4*M45</f>
        <v>0</v>
      </c>
      <c r="N51">
        <f>assumptions!D4*N45</f>
        <v>0</v>
      </c>
      <c r="O51">
        <f>assumptions!D4*O45</f>
        <v>0</v>
      </c>
      <c r="P51">
        <f>assumptions!D4*P45</f>
        <v>0</v>
      </c>
      <c r="Q51">
        <f>assumptions!D4*Q45</f>
        <v>0</v>
      </c>
    </row>
    <row r="52">
      <c r="B52" t="s">
        <v>551</v>
      </c>
      <c r="C52">
        <f>assumptions!C4*C46</f>
        <v>0.00025740402394272468</v>
      </c>
      <c r="D52">
        <f>assumptions!C4*D46</f>
        <v>1.1323572336443178e-06</v>
      </c>
      <c r="E52">
        <f>assumptions!C4*E46</f>
        <v>0</v>
      </c>
      <c r="F52">
        <f>assumptions!C4*F46</f>
        <v>1.7968715050009077e-05</v>
      </c>
      <c r="G52">
        <f>assumptions!C4*G46</f>
        <v>0</v>
      </c>
      <c r="H52" s="37">
        <f>assumptions!E4*H46</f>
        <v>0.06027185889461259</v>
      </c>
      <c r="I52">
        <f>assumptions!E4*I46</f>
        <v>0.00019813113155262718</v>
      </c>
      <c r="J52">
        <f>assumptions!E5*J46</f>
        <v>0</v>
      </c>
      <c r="K52">
        <f>assumptions!E4*K46</f>
        <v>0.0039146950390637134</v>
      </c>
      <c r="L52">
        <f>assumptions!E5*L46</f>
        <v>0</v>
      </c>
      <c r="M52" s="37">
        <f>assumptions!D4*M46</f>
        <v>0.011524666638791837</v>
      </c>
      <c r="N52">
        <f>assumptions!D4*N46</f>
        <v>4.0738370509301024e-05</v>
      </c>
      <c r="O52">
        <f>assumptions!D4*O46</f>
        <v>0</v>
      </c>
      <c r="P52">
        <f>assumptions!D4*P46</f>
        <v>0.0006590842698774664</v>
      </c>
      <c r="Q52">
        <f>assumptions!D4*Q46</f>
        <v>0</v>
      </c>
    </row>
    <row r="53">
      <c r="B53" t="s">
        <v>552</v>
      </c>
      <c r="C53">
        <f>assumptions!C4*C47</f>
        <v>0.00025740402394272468</v>
      </c>
      <c r="D53">
        <f>assumptions!C4*D47</f>
        <v>1.1323572336443178e-06</v>
      </c>
      <c r="E53">
        <f>assumptions!C4*E47</f>
        <v>0</v>
      </c>
      <c r="F53">
        <f>assumptions!C4*F47</f>
        <v>1.7968715050009077e-05</v>
      </c>
      <c r="G53">
        <f>assumptions!C4*G47</f>
        <v>0</v>
      </c>
      <c r="H53" s="37">
        <f>assumptions!E4*H47</f>
        <v>0.060271858894612597</v>
      </c>
      <c r="I53">
        <f>assumptions!E4*I47</f>
        <v>0.00019813113155262718</v>
      </c>
      <c r="J53">
        <f>assumptions!E6*J47</f>
        <v>0</v>
      </c>
      <c r="K53">
        <f>assumptions!E4*K47</f>
        <v>0.0039146950390637134</v>
      </c>
      <c r="L53">
        <f>assumptions!E6*L47</f>
        <v>0</v>
      </c>
      <c r="M53" s="37">
        <f>assumptions!D4*M47</f>
        <v>0.011524666638791838</v>
      </c>
      <c r="N53">
        <f>assumptions!D4*N47</f>
        <v>4.0738370509301024e-05</v>
      </c>
      <c r="O53">
        <f>assumptions!D4*O47</f>
        <v>0</v>
      </c>
      <c r="P53">
        <f>assumptions!D4*P47</f>
        <v>0.00065908426987746651</v>
      </c>
      <c r="Q53">
        <f>assumptions!D4*Q47</f>
        <v>0</v>
      </c>
    </row>
    <row r="54">
      <c r="B54" t="s">
        <v>553</v>
      </c>
      <c r="C54">
        <f>assumptions!C4*C48</f>
        <v>0.00025740402394272462</v>
      </c>
      <c r="D54">
        <f>assumptions!C4*D48</f>
        <v>1.132357233644318e-06</v>
      </c>
      <c r="E54">
        <f>assumptions!C4*E48</f>
        <v>0</v>
      </c>
      <c r="F54">
        <f>assumptions!C4*F48</f>
        <v>1.796871505000908e-05</v>
      </c>
      <c r="G54">
        <f>assumptions!C4*G48</f>
        <v>0</v>
      </c>
      <c r="H54" s="37">
        <f>assumptions!E4*H48</f>
        <v>0.06027185889461259</v>
      </c>
      <c r="I54">
        <f>assumptions!E4*I48</f>
        <v>0.00019813113155262721</v>
      </c>
      <c r="J54">
        <f>assumptions!E7*J48</f>
        <v>0</v>
      </c>
      <c r="K54">
        <f>assumptions!E4*K48</f>
        <v>0.0039146950390637125</v>
      </c>
      <c r="L54">
        <f>assumptions!E7*L48</f>
        <v>0</v>
      </c>
      <c r="M54" s="37">
        <f>assumptions!D4*M48</f>
        <v>0.011524666638791838</v>
      </c>
      <c r="N54">
        <f>assumptions!D4*N48</f>
        <v>4.0738370509301024e-05</v>
      </c>
      <c r="O54">
        <f>assumptions!D4*O48</f>
        <v>0</v>
      </c>
      <c r="P54">
        <f>assumptions!D4*P48</f>
        <v>0.0006590842698774664</v>
      </c>
      <c r="Q54">
        <f>assumptions!D4*Q48</f>
        <v>0</v>
      </c>
    </row>
    <row r="56">
      <c r="A56" t="s">
        <v>632</v>
      </c>
      <c r="B56" t="s">
        <v>633</v>
      </c>
    </row>
    <row r="57">
      <c r="B57" t="s">
        <v>550</v>
      </c>
      <c r="C57">
        <f t="shared" ref="C57:Q57" si="146">(C14+C15)*C18+C51</f>
        <v>0</v>
      </c>
      <c r="D57">
        <f t="shared" si="146"/>
        <v>0</v>
      </c>
      <c r="E57">
        <f t="shared" si="146"/>
        <v>0</v>
      </c>
      <c r="F57">
        <f t="shared" si="146"/>
        <v>0</v>
      </c>
      <c r="G57">
        <f t="shared" si="146"/>
        <v>0</v>
      </c>
      <c r="H57" s="37">
        <f t="shared" si="146"/>
        <v>0</v>
      </c>
      <c r="I57">
        <f t="shared" si="146"/>
        <v>0</v>
      </c>
      <c r="J57">
        <f t="shared" si="146"/>
        <v>0</v>
      </c>
      <c r="K57">
        <f t="shared" si="146"/>
        <v>0</v>
      </c>
      <c r="L57">
        <f t="shared" si="146"/>
        <v>0</v>
      </c>
      <c r="M57" s="37">
        <f t="shared" si="146"/>
        <v>0</v>
      </c>
      <c r="N57">
        <f t="shared" si="146"/>
        <v>0</v>
      </c>
      <c r="O57">
        <f t="shared" si="146"/>
        <v>0</v>
      </c>
      <c r="P57">
        <f t="shared" si="146"/>
        <v>0</v>
      </c>
      <c r="Q57">
        <f t="shared" si="146"/>
        <v>0</v>
      </c>
    </row>
    <row r="58">
      <c r="B58" t="s">
        <v>551</v>
      </c>
      <c r="C58">
        <f t="shared" ref="C58:Q58" si="147">(C14+C15)*C17+C52</f>
        <v>0.23384393632250733</v>
      </c>
      <c r="D58">
        <f t="shared" si="147"/>
        <v>0.0054842870378384928</v>
      </c>
      <c r="E58">
        <f t="shared" si="147"/>
        <v>0.002657244940974472</v>
      </c>
      <c r="F58">
        <f t="shared" si="147"/>
        <v>0.011048443851371116</v>
      </c>
      <c r="G58">
        <f t="shared" si="147"/>
        <v>2.9143678714334052e-06</v>
      </c>
      <c r="H58" s="37">
        <f t="shared" si="147"/>
        <v>1.2858225316877481</v>
      </c>
      <c r="I58">
        <f t="shared" si="147"/>
        <v>0.016943112846568693</v>
      </c>
      <c r="J58">
        <f t="shared" si="147"/>
        <v>0.010703206180214907</v>
      </c>
      <c r="K58">
        <f t="shared" si="147"/>
        <v>0.44340657137430139</v>
      </c>
      <c r="L58">
        <f t="shared" si="147"/>
        <v>2.9143678714334052e-06</v>
      </c>
      <c r="M58" s="37">
        <f t="shared" si="147"/>
        <v>0.61409127651666795</v>
      </c>
      <c r="N58">
        <f t="shared" si="147"/>
        <v>0.0094526056053279173</v>
      </c>
      <c r="O58">
        <f t="shared" si="147"/>
        <v>0.0056427845885247607</v>
      </c>
      <c r="P58">
        <f t="shared" si="147"/>
        <v>0.14391003551812273</v>
      </c>
      <c r="Q58">
        <f t="shared" si="147"/>
        <v>2.9143678714334052e-06</v>
      </c>
    </row>
    <row r="59">
      <c r="B59" t="s">
        <v>552</v>
      </c>
      <c r="C59">
        <f t="shared" ref="C59:Q59" si="148">(C14+C15)*C17+C53</f>
        <v>0.23384393632250733</v>
      </c>
      <c r="D59">
        <f t="shared" si="148"/>
        <v>0.0054842870378384928</v>
      </c>
      <c r="E59">
        <f t="shared" si="148"/>
        <v>0.002657244940974472</v>
      </c>
      <c r="F59">
        <f t="shared" si="148"/>
        <v>0.011048443851371116</v>
      </c>
      <c r="G59">
        <f t="shared" si="148"/>
        <v>2.9143678714334052e-06</v>
      </c>
      <c r="H59" s="37">
        <f t="shared" si="148"/>
        <v>1.2858225316877481</v>
      </c>
      <c r="I59">
        <f t="shared" si="148"/>
        <v>0.016943112846568693</v>
      </c>
      <c r="J59">
        <f t="shared" si="148"/>
        <v>0.010703206180214907</v>
      </c>
      <c r="K59">
        <f t="shared" si="148"/>
        <v>0.44340657137430139</v>
      </c>
      <c r="L59">
        <f t="shared" si="148"/>
        <v>2.9143678714334052e-06</v>
      </c>
      <c r="M59" s="37">
        <f t="shared" si="148"/>
        <v>0.61409127651666795</v>
      </c>
      <c r="N59">
        <f t="shared" si="148"/>
        <v>0.0094526056053279173</v>
      </c>
      <c r="O59">
        <f t="shared" si="148"/>
        <v>0.0056427845885247607</v>
      </c>
      <c r="P59">
        <f t="shared" si="148"/>
        <v>0.14391003551812273</v>
      </c>
      <c r="Q59">
        <f t="shared" si="148"/>
        <v>2.9143678714334052e-06</v>
      </c>
    </row>
    <row r="60">
      <c r="B60" t="s">
        <v>553</v>
      </c>
      <c r="C60">
        <f t="shared" ref="C60:Q60" si="149">(C14+C15)*C17+C54</f>
        <v>0.23384393632250733</v>
      </c>
      <c r="D60">
        <f t="shared" si="149"/>
        <v>0.0054842870378384928</v>
      </c>
      <c r="E60">
        <f t="shared" si="149"/>
        <v>0.002657244940974472</v>
      </c>
      <c r="F60">
        <f t="shared" si="149"/>
        <v>0.011048443851371116</v>
      </c>
      <c r="G60">
        <f t="shared" si="149"/>
        <v>2.9143678714334052e-06</v>
      </c>
      <c r="H60" s="37">
        <f t="shared" si="149"/>
        <v>1.2858225316877481</v>
      </c>
      <c r="I60">
        <f t="shared" si="149"/>
        <v>0.016943112846568693</v>
      </c>
      <c r="J60">
        <f t="shared" si="149"/>
        <v>0.010703206180214907</v>
      </c>
      <c r="K60">
        <f t="shared" si="149"/>
        <v>0.44340657137430139</v>
      </c>
      <c r="L60">
        <f t="shared" si="149"/>
        <v>2.9143678714334052e-06</v>
      </c>
      <c r="M60" s="37">
        <f t="shared" si="149"/>
        <v>0.61409127651666795</v>
      </c>
      <c r="N60">
        <f t="shared" si="149"/>
        <v>0.0094526056053279173</v>
      </c>
      <c r="O60">
        <f t="shared" si="149"/>
        <v>0.0056427845885247607</v>
      </c>
      <c r="P60">
        <f t="shared" si="149"/>
        <v>0.14391003551812273</v>
      </c>
      <c r="Q60">
        <f t="shared" si="149"/>
        <v>2.9143678714334052e-06</v>
      </c>
    </row>
    <row r="62">
      <c r="A62" s="30" t="s">
        <v>634</v>
      </c>
      <c r="B62" s="30" t="s">
        <v>366</v>
      </c>
    </row>
    <row r="63">
      <c r="A63" s="30"/>
      <c r="B63" s="30" t="s">
        <v>550</v>
      </c>
      <c r="C63">
        <f t="shared" ref="C63:Q66" si="150">C57*C21</f>
        <v>0</v>
      </c>
      <c r="D63">
        <f t="shared" si="150"/>
        <v>0</v>
      </c>
      <c r="E63">
        <f t="shared" si="150"/>
        <v>0</v>
      </c>
      <c r="F63">
        <f t="shared" si="150"/>
        <v>0</v>
      </c>
      <c r="G63">
        <f t="shared" si="150"/>
        <v>0</v>
      </c>
      <c r="H63" s="37">
        <f t="shared" si="150"/>
        <v>0</v>
      </c>
      <c r="I63">
        <f t="shared" si="150"/>
        <v>0</v>
      </c>
      <c r="J63">
        <f t="shared" si="150"/>
        <v>0</v>
      </c>
      <c r="K63">
        <f t="shared" si="150"/>
        <v>0</v>
      </c>
      <c r="L63">
        <f t="shared" si="150"/>
        <v>0</v>
      </c>
      <c r="M63" s="37">
        <f t="shared" si="150"/>
        <v>0</v>
      </c>
      <c r="N63">
        <f t="shared" si="150"/>
        <v>0</v>
      </c>
      <c r="O63">
        <f t="shared" si="150"/>
        <v>0</v>
      </c>
      <c r="P63">
        <f t="shared" si="150"/>
        <v>0</v>
      </c>
      <c r="Q63">
        <f t="shared" si="150"/>
        <v>0</v>
      </c>
    </row>
    <row r="64">
      <c r="A64" s="30"/>
      <c r="B64" s="30" t="s">
        <v>551</v>
      </c>
      <c r="C64">
        <f t="shared" si="150"/>
        <v>2663051.0617586374</v>
      </c>
      <c r="D64">
        <f t="shared" si="150"/>
        <v>574844.42197867821</v>
      </c>
      <c r="E64">
        <f t="shared" si="150"/>
        <v>346875.58538673981</v>
      </c>
      <c r="F64">
        <f t="shared" si="150"/>
        <v>714918.96983017505</v>
      </c>
      <c r="G64">
        <f t="shared" si="150"/>
        <v>454.7763920293022</v>
      </c>
      <c r="H64" s="37">
        <f t="shared" si="150"/>
        <v>14643146.673351046</v>
      </c>
      <c r="I64">
        <f t="shared" si="150"/>
        <v>1775919.7947895816</v>
      </c>
      <c r="J64">
        <f t="shared" si="150"/>
        <v>1397191.825272793</v>
      </c>
      <c r="K64">
        <f t="shared" si="150"/>
        <v>28627667.299861364</v>
      </c>
      <c r="L64">
        <f t="shared" si="150"/>
        <v>454.7763920293022</v>
      </c>
      <c r="M64" s="37">
        <f t="shared" si="150"/>
        <v>6993366.8226017952</v>
      </c>
      <c r="N64">
        <f t="shared" si="150"/>
        <v>990790.15520105616</v>
      </c>
      <c r="O64">
        <f t="shared" si="150"/>
        <v>736606.61731770867</v>
      </c>
      <c r="P64">
        <f t="shared" si="150"/>
        <v>9312081.929806998</v>
      </c>
      <c r="Q64">
        <f t="shared" si="150"/>
        <v>454.7763920293022</v>
      </c>
    </row>
    <row r="65">
      <c r="A65" s="30"/>
      <c r="B65" s="30" t="s">
        <v>552</v>
      </c>
      <c r="C65">
        <f t="shared" si="150"/>
        <v>2534309.7945685242</v>
      </c>
      <c r="D65">
        <f t="shared" si="150"/>
        <v>555491.62175211788</v>
      </c>
      <c r="E65">
        <f t="shared" si="150"/>
        <v>311902.53500530269</v>
      </c>
      <c r="F65">
        <f t="shared" si="150"/>
        <v>700322.07128111925</v>
      </c>
      <c r="G65">
        <f t="shared" si="150"/>
        <v>437.90595418515665</v>
      </c>
      <c r="H65" s="37">
        <f t="shared" si="150"/>
        <v>13935245.392204389</v>
      </c>
      <c r="I65">
        <f t="shared" si="150"/>
        <v>1716131.4073705042</v>
      </c>
      <c r="J65">
        <f t="shared" si="150"/>
        <v>1256322.7005596259</v>
      </c>
      <c r="K65">
        <f t="shared" si="150"/>
        <v>28084862.390856043</v>
      </c>
      <c r="L65">
        <f t="shared" si="150"/>
        <v>437.90595418515665</v>
      </c>
      <c r="M65" s="37">
        <f t="shared" si="150"/>
        <v>6655282.8408126952</v>
      </c>
      <c r="N65">
        <f t="shared" si="150"/>
        <v>957434.06230543798</v>
      </c>
      <c r="O65">
        <f t="shared" si="150"/>
        <v>662339.70023263851</v>
      </c>
      <c r="P65">
        <f t="shared" si="150"/>
        <v>9121951.9697051179</v>
      </c>
      <c r="Q65">
        <f t="shared" si="150"/>
        <v>437.90595418515665</v>
      </c>
    </row>
    <row r="66">
      <c r="A66" s="30"/>
      <c r="B66" s="30" t="s">
        <v>553</v>
      </c>
      <c r="C66">
        <f t="shared" si="150"/>
        <v>2240029.191084302</v>
      </c>
      <c r="D66">
        <f t="shared" si="150"/>
        <v>511254.41752006917</v>
      </c>
      <c r="E66">
        <f t="shared" si="150"/>
        <v>223944.10718400165</v>
      </c>
      <c r="F66">
        <f t="shared" si="150"/>
        <v>666956.04803333781</v>
      </c>
      <c r="G66">
        <f t="shared" si="150"/>
        <v>399.34300744573312</v>
      </c>
      <c r="H66" s="37">
        <f t="shared" si="150"/>
        <v>12317103.666789629</v>
      </c>
      <c r="I66">
        <f t="shared" si="150"/>
        <v>1579465.3397214059</v>
      </c>
      <c r="J66">
        <f t="shared" si="150"/>
        <v>902031.99376701459</v>
      </c>
      <c r="K66">
        <f t="shared" si="150"/>
        <v>26882440.139840774</v>
      </c>
      <c r="L66">
        <f t="shared" si="150"/>
        <v>399.34300744573312</v>
      </c>
      <c r="M66" s="37">
        <f t="shared" si="150"/>
        <v>5882480.4569249768</v>
      </c>
      <c r="N66">
        <f t="shared" si="150"/>
        <v>881187.71673620469</v>
      </c>
      <c r="O66">
        <f t="shared" si="150"/>
        <v>475555.84252816596</v>
      </c>
      <c r="P66">
        <f t="shared" si="150"/>
        <v>8687347.2728553582</v>
      </c>
      <c r="Q66">
        <f t="shared" si="150"/>
        <v>399.34300744573312</v>
      </c>
    </row>
    <row r="68">
      <c r="A68" s="4" t="s">
        <v>635</v>
      </c>
      <c r="B68" s="4" t="s">
        <v>32</v>
      </c>
      <c r="C68" s="4"/>
      <c r="D68" s="4"/>
      <c r="E68" s="4"/>
      <c r="F68" s="4"/>
      <c r="H68" s="46"/>
      <c r="I68" s="4"/>
      <c r="J68" s="4"/>
      <c r="K68" s="4"/>
      <c r="M68" s="46"/>
      <c r="N68" s="4"/>
      <c r="O68" s="4"/>
      <c r="P68" s="4"/>
    </row>
    <row r="69">
      <c r="A69" s="4"/>
      <c r="B69" s="4" t="s">
        <v>550</v>
      </c>
      <c r="C69" s="4"/>
      <c r="D69" s="4"/>
      <c r="E69" s="4"/>
      <c r="F69" s="4"/>
      <c r="H69" s="46"/>
      <c r="I69" s="4"/>
      <c r="J69" s="4"/>
      <c r="K69" s="4"/>
      <c r="M69" s="46"/>
      <c r="N69" s="4"/>
      <c r="O69" s="4"/>
      <c r="P69" s="4"/>
    </row>
    <row r="70">
      <c r="A70" s="4"/>
      <c r="B70" s="4" t="s">
        <v>551</v>
      </c>
      <c r="C70" s="4">
        <f>C64/C6</f>
        <v>79899.521804939621</v>
      </c>
      <c r="D70" s="4">
        <f>D64/D6</f>
        <v>110547.00422666888</v>
      </c>
      <c r="E70" s="4">
        <f>E64/E6</f>
        <v>168949.80994206879</v>
      </c>
      <c r="F70" s="4">
        <f>F64/F6</f>
        <v>51474.165827772602</v>
      </c>
      <c r="H70" s="46">
        <f>H64/H6</f>
        <v>439338.33403393481</v>
      </c>
      <c r="I70" s="4">
        <f>I64/I6</f>
        <v>341523.03745953488</v>
      </c>
      <c r="J70" s="4">
        <f>J64/J6</f>
        <v>680518.61611784215</v>
      </c>
      <c r="K70" s="4">
        <f>K64/K6</f>
        <v>2061192.0455900182</v>
      </c>
      <c r="M70" s="46">
        <f>M64/M6</f>
        <v>209821.98687674155</v>
      </c>
      <c r="N70" s="4">
        <f>N64/N6</f>
        <v>190536.56830789542</v>
      </c>
      <c r="O70" s="4">
        <f>O64/O6</f>
        <v>358772.86624005355</v>
      </c>
      <c r="P70" s="4">
        <f>P64/P6</f>
        <v>670469.89894610387</v>
      </c>
    </row>
    <row r="71">
      <c r="A71" s="4"/>
      <c r="B71" s="4" t="s">
        <v>552</v>
      </c>
      <c r="C71" s="4">
        <f>C65/C6</f>
        <v>76036.897526808418</v>
      </c>
      <c r="D71" s="4">
        <f>D65/D6</f>
        <v>106825.31187540728</v>
      </c>
      <c r="E71" s="4">
        <f>E65/E6</f>
        <v>151915.77680753596</v>
      </c>
      <c r="F71" s="4">
        <f>F65/F6</f>
        <v>50423.189132240586</v>
      </c>
      <c r="H71" s="46">
        <f>H65/H6</f>
        <v>418099.1716833</v>
      </c>
      <c r="I71" s="4">
        <f>I65/I6</f>
        <v>330025.27064817387</v>
      </c>
      <c r="J71" s="4">
        <f>J65/J6</f>
        <v>611906.66171793768</v>
      </c>
      <c r="K71" s="4">
        <f>K65/K6</f>
        <v>2022110.092141635</v>
      </c>
      <c r="M71" s="46">
        <f>M65/M6</f>
        <v>199678.45306968782</v>
      </c>
      <c r="N71" s="4">
        <f>N65/N6</f>
        <v>184121.93505873808</v>
      </c>
      <c r="O71" s="4">
        <f>O65/O6</f>
        <v>322600.29585716937</v>
      </c>
      <c r="P71" s="4">
        <f>P65/P6</f>
        <v>656780.54181876848</v>
      </c>
    </row>
    <row r="72">
      <c r="A72" s="4"/>
      <c r="B72" s="4" t="s">
        <v>553</v>
      </c>
      <c r="C72" s="4">
        <f>C66/C6</f>
        <v>67207.596492178287</v>
      </c>
      <c r="D72" s="4">
        <f>D66/D6</f>
        <v>98318.157215397907</v>
      </c>
      <c r="E72" s="4">
        <f>E66/E6</f>
        <v>109074.59602323949</v>
      </c>
      <c r="F72" s="4">
        <f>F66/F6</f>
        <v>48020.835458400317</v>
      </c>
      <c r="H72" s="46">
        <f>H66/H6</f>
        <v>369550.06501018989</v>
      </c>
      <c r="I72" s="4">
        <f>I66/I6</f>
        <v>303743.33456180879</v>
      </c>
      <c r="J72" s="4">
        <f>J66/J6</f>
        <v>439345.23018877272</v>
      </c>
      <c r="K72" s="4">
        <f>K66/K6</f>
        <v>1935535.6900685357</v>
      </c>
      <c r="M72" s="46">
        <f>M66/M6</f>
        <v>176492.06291404073</v>
      </c>
      <c r="N72" s="4">
        <f>N66/N6</f>
        <v>169459.17629542397</v>
      </c>
      <c r="O72" s="4">
        <f>O66/O6</f>
        <v>231625.03386450623</v>
      </c>
      <c r="P72" s="4">
        <f>P66/P6</f>
        <v>625489.00364558573</v>
      </c>
    </row>
    <row r="73">
      <c r="A73" s="4"/>
      <c r="B73" s="4"/>
      <c r="C73" s="4"/>
      <c r="D73" s="4"/>
      <c r="E73" s="4"/>
      <c r="F73" s="4"/>
    </row>
    <row r="82">
      <c r="A82" s="47" t="s">
        <v>636</v>
      </c>
      <c r="B82" s="47"/>
      <c r="C82" s="47" t="s">
        <v>366</v>
      </c>
      <c r="D82" s="47"/>
      <c r="E82" s="47"/>
    </row>
    <row r="83">
      <c r="A83" s="47"/>
      <c r="B83" s="47" t="s">
        <v>551</v>
      </c>
      <c r="C83" s="47">
        <f>C92*C99</f>
        <v>2749908.9768294739</v>
      </c>
      <c r="D83" s="47">
        <f>D92*D99</f>
        <v>587912.87161696074</v>
      </c>
      <c r="E83" s="47"/>
    </row>
    <row r="84">
      <c r="A84" s="47"/>
      <c r="B84" s="47" t="s">
        <v>552</v>
      </c>
      <c r="C84" s="47">
        <f>C92*C99</f>
        <v>2749908.9768294739</v>
      </c>
      <c r="D84" s="47">
        <f>D92*D99</f>
        <v>587912.87161696074</v>
      </c>
      <c r="E84" s="47"/>
    </row>
    <row r="85">
      <c r="A85" s="47"/>
      <c r="B85" s="47" t="s">
        <v>553</v>
      </c>
      <c r="C85" s="47">
        <f>C92*C99</f>
        <v>2749908.9768294739</v>
      </c>
      <c r="D85" s="47">
        <f>D92*D99</f>
        <v>587912.87161696074</v>
      </c>
      <c r="E85" s="47"/>
    </row>
    <row r="86">
      <c r="A86" s="47"/>
      <c r="B86" s="47"/>
      <c r="C86" s="47"/>
      <c r="D86" s="47"/>
      <c r="E86" s="47"/>
    </row>
    <row r="87">
      <c r="A87" s="47" t="s">
        <v>637</v>
      </c>
      <c r="B87" s="47"/>
      <c r="C87" s="47" t="s">
        <v>555</v>
      </c>
      <c r="D87" s="47"/>
      <c r="E87" s="47"/>
    </row>
    <row r="88">
      <c r="A88" s="47"/>
      <c r="B88" s="47" t="s">
        <v>551</v>
      </c>
      <c r="C88" s="47">
        <f>C92*C94</f>
        <v>293135.69983539562</v>
      </c>
      <c r="D88" s="47">
        <f>D92*D94</f>
        <v>11868.985612105962</v>
      </c>
      <c r="E88" s="47"/>
    </row>
    <row r="89">
      <c r="A89" s="47"/>
      <c r="B89" s="47" t="s">
        <v>552</v>
      </c>
      <c r="C89" s="47">
        <f>C92*C94</f>
        <v>293135.69983539562</v>
      </c>
      <c r="D89" s="47">
        <f>D92*D94</f>
        <v>11868.985612105962</v>
      </c>
      <c r="E89" s="47"/>
    </row>
    <row r="90">
      <c r="A90" s="47"/>
      <c r="B90" s="47" t="s">
        <v>553</v>
      </c>
      <c r="C90" s="47">
        <f>C92*C94</f>
        <v>293135.69983539562</v>
      </c>
      <c r="D90" s="47">
        <f>D92*D94</f>
        <v>11868.985612105962</v>
      </c>
      <c r="E90" s="47"/>
    </row>
    <row r="91">
      <c r="A91" s="47"/>
      <c r="B91" s="47"/>
      <c r="C91" s="47"/>
      <c r="D91" s="47"/>
      <c r="E91" s="47"/>
    </row>
    <row r="92">
      <c r="A92" s="47" t="s">
        <v>638</v>
      </c>
      <c r="B92" s="47" t="s">
        <v>368</v>
      </c>
      <c r="C92" s="47">
        <f>Shipping!D11</f>
        <v>11760000</v>
      </c>
      <c r="D92" s="47">
        <f>Shipping!E11</f>
        <v>107200000</v>
      </c>
      <c r="E92" s="47"/>
    </row>
    <row r="93">
      <c r="A93" s="47" t="s">
        <v>628</v>
      </c>
      <c r="B93" s="47" t="s">
        <v>629</v>
      </c>
      <c r="C93" s="47">
        <f>C34*C12</f>
        <v>293135.69983539562</v>
      </c>
      <c r="D93" s="47">
        <f>D34*D12</f>
        <v>11868.985612105962</v>
      </c>
      <c r="E93" s="47"/>
    </row>
    <row r="94">
      <c r="A94" s="47" t="s">
        <v>628</v>
      </c>
      <c r="B94" s="47" t="s">
        <v>639</v>
      </c>
      <c r="C94" s="47">
        <f>C93/C92</f>
        <v>0.024926505088043845</v>
      </c>
      <c r="D94" s="47">
        <f>D93/D92</f>
        <v>0.00011071814936666009</v>
      </c>
      <c r="E94" s="47"/>
    </row>
    <row r="95">
      <c r="A95" s="47" t="s">
        <v>628</v>
      </c>
      <c r="B95" s="47" t="s">
        <v>640</v>
      </c>
      <c r="C95" s="47">
        <f>C94/C6</f>
        <v>0.00074786993963527895</v>
      </c>
      <c r="D95" s="47">
        <f>D94/D6</f>
        <v>2.1291951801280786e-05</v>
      </c>
      <c r="E95" s="47"/>
    </row>
    <row r="96">
      <c r="A96" s="47"/>
      <c r="B96" s="47"/>
      <c r="C96" s="47"/>
      <c r="D96" s="47"/>
      <c r="E96" s="47"/>
    </row>
    <row r="97">
      <c r="A97" s="47" t="s">
        <v>566</v>
      </c>
      <c r="B97" s="47" t="s">
        <v>543</v>
      </c>
      <c r="C97" s="47">
        <f>assumptions!C4*'Storage 1'!C94</f>
        <v>0.00024926505088043846</v>
      </c>
      <c r="D97" s="47">
        <f>assumptions!C4*'Storage 1'!D94</f>
        <v>1.107181493666601e-06</v>
      </c>
      <c r="E97" s="47"/>
    </row>
    <row r="98">
      <c r="A98" s="47"/>
      <c r="B98" s="47"/>
      <c r="C98" s="47"/>
      <c r="D98" s="47"/>
      <c r="E98" s="47"/>
    </row>
    <row r="99">
      <c r="A99" s="47" t="s">
        <v>641</v>
      </c>
      <c r="B99" s="47" t="s">
        <v>633</v>
      </c>
      <c r="C99" s="47">
        <f>C14*C17+C15*C17+C97</f>
        <v>0.23383579734944504</v>
      </c>
      <c r="D99" s="47">
        <f>D14*D17+D15*D17+D97</f>
        <v>0.0054842618620985148</v>
      </c>
      <c r="E99" s="47"/>
    </row>
    <row r="100">
      <c r="A100" s="47" t="s">
        <v>642</v>
      </c>
      <c r="B100" s="47" t="s">
        <v>643</v>
      </c>
      <c r="C100" s="47">
        <f>C99/C6</f>
        <v>0.0070157754980331548</v>
      </c>
      <c r="D100" s="47">
        <f>D99/D6</f>
        <v>0.0010546657427112527</v>
      </c>
      <c r="E100" s="47"/>
    </row>
    <row r="101">
      <c r="A101" s="47"/>
      <c r="B101" s="47"/>
      <c r="C101" s="47"/>
      <c r="D101" s="47"/>
      <c r="E101" s="47"/>
    </row>
    <row r="102">
      <c r="A102" s="47" t="s">
        <v>644</v>
      </c>
      <c r="B102" s="47" t="s">
        <v>643</v>
      </c>
      <c r="C102" s="47">
        <f>values!C108/'Storage 1'!C6</f>
        <v>0.44854485448544856</v>
      </c>
      <c r="D102" s="47">
        <f>values!C109/'Storage 1'!C6</f>
        <v>0.016201620162016202</v>
      </c>
      <c r="E102" s="47"/>
    </row>
    <row r="103">
      <c r="A103" s="47" t="s">
        <v>645</v>
      </c>
      <c r="B103" s="47" t="s">
        <v>643</v>
      </c>
      <c r="C103" s="47">
        <f>values!C110/'Storage 1'!C6</f>
        <v>0.059105910591059109</v>
      </c>
      <c r="D103" s="47">
        <f>values!C111/'Storage 1'!C6</f>
        <v>0.0018001800180018001</v>
      </c>
      <c r="E103" s="47"/>
    </row>
  </sheetData>
  <mergeCells count="3">
    <mergeCell ref="C1:G1"/>
    <mergeCell ref="H1:L1"/>
    <mergeCell ref="M1:Q1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6" zoomScale="88" workbookViewId="0">
      <selection activeCell="L109" activeCellId="0" sqref="L109"/>
    </sheetView>
  </sheetViews>
  <sheetFormatPr baseColWidth="10" defaultRowHeight="14.25"/>
  <cols>
    <col customWidth="1" min="1" max="1" width="35.33203125"/>
    <col customWidth="1" min="2" max="2" width="12.33203125"/>
    <col customWidth="1" min="3" max="3" width="15.46484375"/>
    <col bestFit="1" customWidth="1" min="4" max="8" width="11.6640625"/>
    <col bestFit="1" customWidth="1" min="9" max="9" style="37" width="11.6640625"/>
    <col customWidth="1" min="10" max="10" width="12"/>
    <col bestFit="1" customWidth="1" min="11" max="12" width="11.6640625"/>
    <col customWidth="1" min="13" max="13" width="13"/>
    <col bestFit="1" customWidth="1" min="14" max="14" style="37" width="11.6640625"/>
    <col bestFit="1" customWidth="1" min="15" max="18" width="11.6640625"/>
    <col customWidth="1" min="20" max="20" width="13.1328125"/>
  </cols>
  <sheetData>
    <row r="1">
      <c r="D1" s="27" t="s">
        <v>517</v>
      </c>
      <c r="E1" s="27"/>
      <c r="F1" s="27"/>
      <c r="G1" s="27"/>
      <c r="H1" s="27"/>
      <c r="I1" s="28" t="s">
        <v>518</v>
      </c>
      <c r="J1" s="28"/>
      <c r="K1" s="28"/>
      <c r="L1" s="28"/>
      <c r="M1" s="28"/>
      <c r="N1" s="29" t="s">
        <v>519</v>
      </c>
      <c r="O1" s="29"/>
      <c r="P1" s="29"/>
      <c r="Q1" s="29"/>
      <c r="R1" s="29"/>
    </row>
    <row r="2">
      <c r="B2" t="s">
        <v>0</v>
      </c>
      <c r="D2" t="s">
        <v>646</v>
      </c>
      <c r="E2" t="s">
        <v>647</v>
      </c>
      <c r="F2" t="s">
        <v>648</v>
      </c>
      <c r="G2" t="s">
        <v>649</v>
      </c>
      <c r="H2" t="s">
        <v>558</v>
      </c>
      <c r="I2" s="37" t="s">
        <v>646</v>
      </c>
      <c r="J2" t="s">
        <v>647</v>
      </c>
      <c r="K2" t="s">
        <v>648</v>
      </c>
      <c r="L2" t="s">
        <v>649</v>
      </c>
      <c r="M2" t="s">
        <v>558</v>
      </c>
      <c r="N2" s="37" t="s">
        <v>646</v>
      </c>
      <c r="O2" t="s">
        <v>647</v>
      </c>
      <c r="P2" t="s">
        <v>648</v>
      </c>
      <c r="Q2" t="s">
        <v>649</v>
      </c>
      <c r="R2" t="s">
        <v>558</v>
      </c>
    </row>
    <row r="3">
      <c r="A3" t="s">
        <v>527</v>
      </c>
      <c r="B3" t="s">
        <v>528</v>
      </c>
      <c r="D3">
        <v>73.5</v>
      </c>
      <c r="E3">
        <v>670</v>
      </c>
      <c r="F3">
        <f>values!C19</f>
        <v>880</v>
      </c>
      <c r="G3">
        <f>values!C54</f>
        <v>410</v>
      </c>
      <c r="H3">
        <v>7870</v>
      </c>
      <c r="I3" s="37">
        <v>73.5</v>
      </c>
      <c r="J3">
        <v>670</v>
      </c>
      <c r="K3">
        <f>values!E19</f>
        <v>880</v>
      </c>
      <c r="L3">
        <f>values!E54</f>
        <v>410</v>
      </c>
      <c r="M3">
        <v>7870</v>
      </c>
      <c r="N3" s="37">
        <v>73.5</v>
      </c>
      <c r="O3">
        <v>670</v>
      </c>
      <c r="P3">
        <f>values!D19</f>
        <v>880</v>
      </c>
      <c r="Q3">
        <f>values!D54</f>
        <v>410</v>
      </c>
      <c r="R3">
        <v>7870</v>
      </c>
    </row>
    <row r="4">
      <c r="A4" t="s">
        <v>650</v>
      </c>
      <c r="B4" t="s">
        <v>196</v>
      </c>
      <c r="F4">
        <f>values!C21</f>
        <v>0.061600000000000002</v>
      </c>
      <c r="K4">
        <f>values!E21</f>
        <v>0.061600000000000002</v>
      </c>
      <c r="P4">
        <f>values!D21</f>
        <v>0.061600000000000002</v>
      </c>
    </row>
    <row r="5">
      <c r="A5" t="s">
        <v>529</v>
      </c>
      <c r="B5" t="s">
        <v>651</v>
      </c>
      <c r="D5">
        <v>120</v>
      </c>
      <c r="E5">
        <v>18.600000000000001</v>
      </c>
      <c r="H5">
        <v>7.4000000000000004</v>
      </c>
      <c r="I5" s="37">
        <v>120</v>
      </c>
      <c r="J5">
        <v>18.600000000000001</v>
      </c>
      <c r="M5">
        <v>7.4000000000000004</v>
      </c>
      <c r="N5" s="37">
        <v>120</v>
      </c>
      <c r="O5">
        <v>18.600000000000001</v>
      </c>
      <c r="R5">
        <v>7.4000000000000004</v>
      </c>
    </row>
    <row r="6">
      <c r="A6" t="s">
        <v>529</v>
      </c>
      <c r="B6" t="s">
        <v>606</v>
      </c>
      <c r="D6">
        <f>values!C3</f>
        <v>33.329999999999998</v>
      </c>
      <c r="E6">
        <v>5.2000000000000002</v>
      </c>
      <c r="F6">
        <f>D6*F4</f>
        <v>2.0531280000000001</v>
      </c>
      <c r="G6">
        <f>values!C53</f>
        <v>13.888888888888889</v>
      </c>
      <c r="H6">
        <f>values!C85</f>
        <v>2.0555555555555558</v>
      </c>
      <c r="I6" s="37">
        <f>values!E3</f>
        <v>33.329999999999998</v>
      </c>
      <c r="J6">
        <v>5.2000000000000002</v>
      </c>
      <c r="K6">
        <f>I6*K4</f>
        <v>2.0531280000000001</v>
      </c>
      <c r="L6">
        <f>values!E53</f>
        <v>13.888888888888889</v>
      </c>
      <c r="M6">
        <f>values!E85</f>
        <v>2.0555555555555558</v>
      </c>
      <c r="N6" s="37">
        <f>values!D3</f>
        <v>33.329999999999998</v>
      </c>
      <c r="O6">
        <v>5.2000000000000002</v>
      </c>
      <c r="P6">
        <f>N6*P4</f>
        <v>2.0531280000000001</v>
      </c>
      <c r="Q6">
        <f>values!D53</f>
        <v>13.888888888888889</v>
      </c>
      <c r="R6">
        <f>values!D85</f>
        <v>2.0555555555555558</v>
      </c>
    </row>
    <row r="7">
      <c r="A7" t="s">
        <v>652</v>
      </c>
      <c r="B7" t="s">
        <v>398</v>
      </c>
    </row>
    <row r="8">
      <c r="A8" t="s">
        <v>531</v>
      </c>
      <c r="B8" t="s">
        <v>67</v>
      </c>
      <c r="H8">
        <v>30</v>
      </c>
      <c r="M8">
        <v>30</v>
      </c>
      <c r="R8">
        <v>30</v>
      </c>
    </row>
    <row r="9">
      <c r="A9" t="s">
        <v>653</v>
      </c>
      <c r="B9" t="s">
        <v>82</v>
      </c>
      <c r="H9">
        <f>(assumptions!C13*(1+assumptions!C13)^H8)/(((1+assumptions!C13)^H8)-1)</f>
        <v>0.088827433387272267</v>
      </c>
      <c r="M9">
        <f>(assumptions!C13*(1+assumptions!C13)^M8)/(((1+assumptions!C13)^M8)-1)</f>
        <v>0.088827433387272267</v>
      </c>
      <c r="R9">
        <f>(assumptions!D13*(1+assumptions!D13)^R8)/(((1+assumptions!D13)^R8)-1)</f>
        <v>0.088827433387272267</v>
      </c>
    </row>
    <row r="10">
      <c r="A10" t="s">
        <v>654</v>
      </c>
      <c r="B10" t="s">
        <v>79</v>
      </c>
      <c r="D10">
        <f>assumptions!G23</f>
        <v>160000</v>
      </c>
      <c r="E10">
        <f>assumptions!G23</f>
        <v>160000</v>
      </c>
      <c r="F10">
        <f>assumptions!G23</f>
        <v>160000</v>
      </c>
      <c r="G10">
        <f>assumptions!G23</f>
        <v>160000</v>
      </c>
      <c r="I10" s="37">
        <f>assumptions!G23</f>
        <v>160000</v>
      </c>
      <c r="J10">
        <f>assumptions!G23</f>
        <v>160000</v>
      </c>
      <c r="K10">
        <f>assumptions!G23</f>
        <v>160000</v>
      </c>
      <c r="L10">
        <f>assumptions!G23</f>
        <v>160000</v>
      </c>
      <c r="N10" s="37">
        <f>assumptions!G23</f>
        <v>160000</v>
      </c>
      <c r="O10">
        <f>assumptions!G23</f>
        <v>160000</v>
      </c>
      <c r="P10">
        <f>assumptions!G23</f>
        <v>160000</v>
      </c>
      <c r="Q10">
        <f>assumptions!G23</f>
        <v>160000</v>
      </c>
    </row>
    <row r="11">
      <c r="A11" t="s">
        <v>655</v>
      </c>
      <c r="B11" t="s">
        <v>368</v>
      </c>
      <c r="D11">
        <f>D3*D10</f>
        <v>11760000</v>
      </c>
      <c r="E11">
        <f>E3*E10</f>
        <v>107200000</v>
      </c>
      <c r="F11">
        <f>(F10/1)*F3</f>
        <v>140800000</v>
      </c>
      <c r="G11">
        <f>(G10/1)*G3</f>
        <v>65600000</v>
      </c>
      <c r="H11">
        <f>values!C90</f>
        <v>159956100</v>
      </c>
      <c r="I11" s="37">
        <f>I3*I10</f>
        <v>11760000</v>
      </c>
      <c r="J11">
        <f>J3*J10</f>
        <v>107200000</v>
      </c>
      <c r="K11">
        <f>(K10/1)*K3</f>
        <v>140800000</v>
      </c>
      <c r="L11">
        <f>(L10/1)*L3</f>
        <v>65600000</v>
      </c>
      <c r="M11">
        <f>values!E90</f>
        <v>159956100</v>
      </c>
      <c r="N11" s="37">
        <f>N3*N10</f>
        <v>11760000</v>
      </c>
      <c r="O11">
        <f>O3*O10</f>
        <v>107200000</v>
      </c>
      <c r="P11">
        <f>(P10/1)*P3</f>
        <v>140800000</v>
      </c>
      <c r="Q11">
        <f>(Q10/1)*Q3</f>
        <v>65600000</v>
      </c>
      <c r="R11">
        <f>values!D90</f>
        <v>159956100</v>
      </c>
    </row>
    <row r="12">
      <c r="A12" t="s">
        <v>656</v>
      </c>
      <c r="B12" t="s">
        <v>657</v>
      </c>
      <c r="D12">
        <v>-253</v>
      </c>
      <c r="E12">
        <v>-33</v>
      </c>
      <c r="F12">
        <v>20</v>
      </c>
      <c r="G12">
        <v>-163</v>
      </c>
      <c r="I12" s="37">
        <v>-253</v>
      </c>
      <c r="J12">
        <v>-33</v>
      </c>
      <c r="K12">
        <v>20</v>
      </c>
      <c r="L12">
        <v>-163</v>
      </c>
      <c r="N12" s="37">
        <v>-253</v>
      </c>
      <c r="O12">
        <v>-33</v>
      </c>
      <c r="P12">
        <v>20</v>
      </c>
      <c r="Q12">
        <v>-163</v>
      </c>
    </row>
    <row r="13">
      <c r="A13" t="s">
        <v>658</v>
      </c>
      <c r="B13" t="s">
        <v>659</v>
      </c>
      <c r="D13">
        <v>1</v>
      </c>
      <c r="E13">
        <v>1</v>
      </c>
      <c r="F13">
        <v>1</v>
      </c>
      <c r="G13">
        <v>1</v>
      </c>
      <c r="I13" s="37">
        <v>1</v>
      </c>
      <c r="J13">
        <v>1</v>
      </c>
      <c r="K13">
        <v>1</v>
      </c>
      <c r="L13">
        <v>1</v>
      </c>
      <c r="N13" s="37">
        <v>1</v>
      </c>
      <c r="O13">
        <v>1</v>
      </c>
      <c r="P13">
        <v>1</v>
      </c>
      <c r="Q13">
        <v>1</v>
      </c>
    </row>
    <row r="14">
      <c r="A14" t="s">
        <v>660</v>
      </c>
      <c r="B14" t="s">
        <v>173</v>
      </c>
      <c r="D14" s="12">
        <f>values!C9</f>
        <v>0.10000000000000001</v>
      </c>
      <c r="E14">
        <f>values!C41</f>
        <v>0.0040000000000000001</v>
      </c>
      <c r="F14">
        <v>0</v>
      </c>
      <c r="G14">
        <f>values!C68</f>
        <v>0.080000000000000002</v>
      </c>
      <c r="H14">
        <v>0</v>
      </c>
      <c r="I14" s="48">
        <f>values!E9</f>
        <v>0.40000000000000002</v>
      </c>
      <c r="J14">
        <f>values!E41</f>
        <v>0.024</v>
      </c>
      <c r="K14">
        <v>0</v>
      </c>
      <c r="L14">
        <f>values!E68</f>
        <v>0.29999999999999999</v>
      </c>
      <c r="M14">
        <v>0</v>
      </c>
      <c r="N14" s="48">
        <f>values!D9</f>
        <v>0.25555555555555554</v>
      </c>
      <c r="O14">
        <f>values!D41</f>
        <v>0.014</v>
      </c>
      <c r="P14">
        <v>0</v>
      </c>
      <c r="Q14">
        <f>values!D68</f>
        <v>0.15839999999999999</v>
      </c>
      <c r="R14">
        <v>0</v>
      </c>
    </row>
    <row r="15">
      <c r="A15" t="s">
        <v>661</v>
      </c>
      <c r="B15" t="s">
        <v>662</v>
      </c>
      <c r="H15">
        <v>16860</v>
      </c>
      <c r="M15">
        <v>16860</v>
      </c>
      <c r="R15">
        <v>16860</v>
      </c>
    </row>
    <row r="16">
      <c r="A16" t="s">
        <v>663</v>
      </c>
      <c r="B16" t="s">
        <v>71</v>
      </c>
      <c r="H16">
        <f>assumptions!C19</f>
        <v>350</v>
      </c>
      <c r="M16">
        <f>assumptions!E19</f>
        <v>350</v>
      </c>
      <c r="R16">
        <f>assumptions!D19</f>
        <v>350</v>
      </c>
    </row>
    <row r="17">
      <c r="A17" t="s">
        <v>664</v>
      </c>
      <c r="B17" t="s">
        <v>366</v>
      </c>
      <c r="H17">
        <f>values!C89</f>
        <v>78254058.120000005</v>
      </c>
      <c r="M17">
        <f>values!E89</f>
        <v>78254058.120000005</v>
      </c>
      <c r="R17">
        <f>values!D89</f>
        <v>78254058.120000005</v>
      </c>
    </row>
    <row r="18">
      <c r="A18" t="s">
        <v>665</v>
      </c>
      <c r="B18" t="s">
        <v>26</v>
      </c>
      <c r="H18">
        <f>H9*H17/H16</f>
        <v>19860.306099822952</v>
      </c>
      <c r="M18">
        <f>M9*M17/M16</f>
        <v>19860.306099822952</v>
      </c>
      <c r="R18">
        <f>R9*R17/R16</f>
        <v>19860.306099822952</v>
      </c>
    </row>
    <row r="19">
      <c r="A19" t="s">
        <v>98</v>
      </c>
      <c r="B19" t="s">
        <v>26</v>
      </c>
      <c r="H19">
        <f>((assumptions!C56/100)*Shipping!H17)/Shipping!H16</f>
        <v>8943.320928000001</v>
      </c>
      <c r="M19">
        <f>((assumptions!E56/100)*Shipping!M17)/Shipping!M16</f>
        <v>8943.320928000001</v>
      </c>
      <c r="R19">
        <f>((assumptions!D56/100)*Shipping!R17)/Shipping!R16</f>
        <v>8943.320928000001</v>
      </c>
    </row>
    <row r="20">
      <c r="A20" t="s">
        <v>666</v>
      </c>
      <c r="B20" t="s">
        <v>82</v>
      </c>
      <c r="H20" s="4">
        <v>0.5</v>
      </c>
      <c r="M20" s="4">
        <f t="shared" ref="M20:M21" si="151">H20</f>
        <v>0.5</v>
      </c>
      <c r="R20" s="4">
        <f t="shared" ref="R20:R21" si="152">H20</f>
        <v>0.5</v>
      </c>
    </row>
    <row r="21">
      <c r="A21" t="s">
        <v>667</v>
      </c>
      <c r="B21" t="s">
        <v>668</v>
      </c>
      <c r="D21">
        <v>30</v>
      </c>
      <c r="E21">
        <v>30</v>
      </c>
      <c r="F21">
        <v>30</v>
      </c>
      <c r="G21">
        <v>30</v>
      </c>
      <c r="H21" s="4">
        <v>26</v>
      </c>
      <c r="I21" s="37">
        <v>30</v>
      </c>
      <c r="J21">
        <v>30</v>
      </c>
      <c r="K21">
        <v>30</v>
      </c>
      <c r="L21">
        <v>30</v>
      </c>
      <c r="M21" s="4">
        <f t="shared" si="151"/>
        <v>26</v>
      </c>
      <c r="N21" s="37">
        <v>30</v>
      </c>
      <c r="O21">
        <v>30</v>
      </c>
      <c r="P21">
        <v>30</v>
      </c>
      <c r="Q21">
        <v>30</v>
      </c>
      <c r="R21" s="4">
        <f t="shared" si="152"/>
        <v>26</v>
      </c>
    </row>
    <row r="22">
      <c r="A22" t="s">
        <v>669</v>
      </c>
      <c r="B22" t="s">
        <v>670</v>
      </c>
      <c r="M22">
        <v>300000</v>
      </c>
      <c r="R22">
        <v>300000</v>
      </c>
    </row>
    <row r="23">
      <c r="A23" t="s">
        <v>671</v>
      </c>
      <c r="B23" t="s">
        <v>26</v>
      </c>
    </row>
    <row r="24">
      <c r="A24" t="s">
        <v>672</v>
      </c>
      <c r="B24" t="s">
        <v>673</v>
      </c>
      <c r="D24">
        <v>2000</v>
      </c>
      <c r="E24">
        <v>2000</v>
      </c>
      <c r="F24">
        <v>2000</v>
      </c>
      <c r="G24">
        <v>2000</v>
      </c>
      <c r="H24" s="4">
        <f>(H15/H20)/H21</f>
        <v>1296.9230769230769</v>
      </c>
      <c r="I24" s="37">
        <v>2000</v>
      </c>
      <c r="J24">
        <v>2000</v>
      </c>
      <c r="K24">
        <v>2000</v>
      </c>
      <c r="L24">
        <v>2000</v>
      </c>
      <c r="M24">
        <f>(M15/M20)/M21</f>
        <v>1296.9230769230769</v>
      </c>
      <c r="N24" s="37">
        <v>2000</v>
      </c>
      <c r="O24">
        <v>2000</v>
      </c>
      <c r="P24">
        <v>2000</v>
      </c>
      <c r="Q24">
        <v>2000</v>
      </c>
      <c r="R24">
        <f>(R15/R20)/R21</f>
        <v>1296.9230769230769</v>
      </c>
    </row>
    <row r="25">
      <c r="A25" t="s">
        <v>674</v>
      </c>
      <c r="B25" t="s">
        <v>675</v>
      </c>
      <c r="D25" t="e">
        <f t="array" ref="D25">0.0016*X+0.2036</f>
        <v>#NAME?</v>
      </c>
      <c r="E25" t="e">
        <f t="array" ref="E25">0.0006*X+0.2782</f>
        <v>#NAME?</v>
      </c>
      <c r="F25" t="e">
        <f t="array" ref="F25">0.001*X+0.1826</f>
        <v>#NAME?</v>
      </c>
      <c r="G25" t="e">
        <f t="array" ref="G25">0.0003*X+0.599</f>
        <v>#NAME?</v>
      </c>
      <c r="I25" s="37" t="e">
        <f t="array" ref="I25">0.0016*X+0.2036</f>
        <v>#NAME?</v>
      </c>
      <c r="J25" t="e">
        <f t="array" ref="J25">0.0006*X+0.2782</f>
        <v>#NAME?</v>
      </c>
      <c r="K25" t="e">
        <f t="array" ref="K25">0.001*X+0.1826</f>
        <v>#NAME?</v>
      </c>
      <c r="L25" t="e">
        <f t="array" ref="L25">0.0003*X+0.599</f>
        <v>#NAME?</v>
      </c>
      <c r="N25" s="37" t="e">
        <f t="array" ref="N25">0.0016*X+0.2036</f>
        <v>#NAME?</v>
      </c>
      <c r="O25" t="e">
        <f t="array" ref="O25">0.0006*X+0.2782</f>
        <v>#NAME?</v>
      </c>
      <c r="P25" t="e">
        <f t="array" ref="P25">0.001*X+0.1826</f>
        <v>#NAME?</v>
      </c>
      <c r="Q25" t="e">
        <f t="array" ref="Q25">0.0003*X+0.599</f>
        <v>#NAME?</v>
      </c>
    </row>
    <row r="26">
      <c r="A26" t="s">
        <v>676</v>
      </c>
      <c r="B26" t="s">
        <v>62</v>
      </c>
      <c r="D26">
        <v>2</v>
      </c>
      <c r="E26">
        <v>2</v>
      </c>
      <c r="F26">
        <v>2</v>
      </c>
      <c r="G26">
        <v>2</v>
      </c>
      <c r="H26">
        <v>2</v>
      </c>
      <c r="I26" s="37">
        <v>2</v>
      </c>
      <c r="J26">
        <v>2</v>
      </c>
      <c r="K26">
        <v>2</v>
      </c>
      <c r="L26">
        <v>2</v>
      </c>
      <c r="M26">
        <v>2</v>
      </c>
      <c r="N26" s="37">
        <v>2</v>
      </c>
      <c r="O26">
        <v>2</v>
      </c>
      <c r="P26">
        <v>2</v>
      </c>
      <c r="Q26">
        <v>2</v>
      </c>
      <c r="R26">
        <v>2</v>
      </c>
    </row>
    <row r="28">
      <c r="A28" t="s">
        <v>677</v>
      </c>
      <c r="B28" t="s">
        <v>678</v>
      </c>
    </row>
    <row r="29">
      <c r="A29" t="s">
        <v>679</v>
      </c>
      <c r="B29" t="s">
        <v>551</v>
      </c>
      <c r="F29">
        <v>0.96999999999999997</v>
      </c>
      <c r="K29">
        <v>0.96999999999999997</v>
      </c>
      <c r="P29">
        <v>0.96999999999999997</v>
      </c>
    </row>
    <row r="30">
      <c r="B30" t="s">
        <v>552</v>
      </c>
      <c r="F30">
        <v>0.93999999999999995</v>
      </c>
      <c r="K30">
        <v>0.93999999999999995</v>
      </c>
      <c r="P30">
        <v>0.93999999999999995</v>
      </c>
    </row>
    <row r="31">
      <c r="B31" t="s">
        <v>553</v>
      </c>
      <c r="F31">
        <v>0.84999999999999998</v>
      </c>
      <c r="K31">
        <v>0.84999999999999998</v>
      </c>
      <c r="P31">
        <v>0.84999999999999998</v>
      </c>
    </row>
    <row r="33" ht="15.75">
      <c r="A33" t="s">
        <v>680</v>
      </c>
      <c r="B33" t="s">
        <v>368</v>
      </c>
      <c r="S33" s="49" t="s">
        <v>681</v>
      </c>
      <c r="T33" s="49" t="s">
        <v>682</v>
      </c>
    </row>
    <row r="34" ht="15.75">
      <c r="B34" t="s">
        <v>550</v>
      </c>
      <c r="D34">
        <f t="shared" ref="D34:R34" si="153">D11</f>
        <v>11760000</v>
      </c>
      <c r="E34">
        <f t="shared" si="153"/>
        <v>107200000</v>
      </c>
      <c r="F34">
        <f t="shared" si="153"/>
        <v>140800000</v>
      </c>
      <c r="G34">
        <f t="shared" si="153"/>
        <v>65600000</v>
      </c>
      <c r="H34">
        <f t="shared" si="153"/>
        <v>159956100</v>
      </c>
      <c r="I34" s="37">
        <f t="shared" si="153"/>
        <v>11760000</v>
      </c>
      <c r="J34">
        <f t="shared" si="153"/>
        <v>107200000</v>
      </c>
      <c r="K34">
        <f t="shared" si="153"/>
        <v>140800000</v>
      </c>
      <c r="L34">
        <f t="shared" si="153"/>
        <v>65600000</v>
      </c>
      <c r="M34">
        <f t="shared" si="153"/>
        <v>159956100</v>
      </c>
      <c r="N34" s="37">
        <f t="shared" si="153"/>
        <v>11760000</v>
      </c>
      <c r="O34">
        <f t="shared" si="153"/>
        <v>107200000</v>
      </c>
      <c r="P34">
        <f t="shared" si="153"/>
        <v>140800000</v>
      </c>
      <c r="Q34">
        <f t="shared" si="153"/>
        <v>65600000</v>
      </c>
      <c r="R34">
        <f t="shared" si="153"/>
        <v>159956100</v>
      </c>
      <c r="S34" s="49">
        <v>0</v>
      </c>
      <c r="T34" s="49">
        <v>0</v>
      </c>
    </row>
    <row r="35" ht="15.75">
      <c r="B35" t="s">
        <v>551</v>
      </c>
      <c r="D35">
        <f>D11</f>
        <v>11760000</v>
      </c>
      <c r="E35">
        <f>E11</f>
        <v>107200000</v>
      </c>
      <c r="F35">
        <f>F11*F29</f>
        <v>136576000</v>
      </c>
      <c r="G35">
        <f>G11</f>
        <v>65600000</v>
      </c>
      <c r="H35">
        <f>H11</f>
        <v>159956100</v>
      </c>
      <c r="I35" s="37">
        <f>I11</f>
        <v>11760000</v>
      </c>
      <c r="J35">
        <f>J11</f>
        <v>107200000</v>
      </c>
      <c r="K35">
        <f>K11*K29</f>
        <v>136576000</v>
      </c>
      <c r="L35">
        <f>L11</f>
        <v>65600000</v>
      </c>
      <c r="M35">
        <f>M11</f>
        <v>159956100</v>
      </c>
      <c r="N35" s="37">
        <f>N11</f>
        <v>11760000</v>
      </c>
      <c r="O35">
        <f>O11</f>
        <v>107200000</v>
      </c>
      <c r="P35">
        <f>P11*P29</f>
        <v>136576000</v>
      </c>
      <c r="Q35">
        <f>Q11</f>
        <v>65600000</v>
      </c>
      <c r="R35">
        <f>R11</f>
        <v>159956100</v>
      </c>
      <c r="S35" s="50">
        <v>1673</v>
      </c>
      <c r="T35" s="50">
        <f t="shared" ref="T35:T37" si="154">S35*1.852</f>
        <v>3098.3960000000002</v>
      </c>
    </row>
    <row r="36" ht="15.75">
      <c r="B36" t="s">
        <v>552</v>
      </c>
      <c r="D36">
        <f>D11</f>
        <v>11760000</v>
      </c>
      <c r="E36">
        <f>E11</f>
        <v>107200000</v>
      </c>
      <c r="F36">
        <f>F11*F30</f>
        <v>132351999.99999999</v>
      </c>
      <c r="G36">
        <f>G11</f>
        <v>65600000</v>
      </c>
      <c r="H36">
        <f>H11</f>
        <v>159956100</v>
      </c>
      <c r="I36" s="37">
        <f>I11</f>
        <v>11760000</v>
      </c>
      <c r="J36">
        <f>J11</f>
        <v>107200000</v>
      </c>
      <c r="K36">
        <f>K11*K30</f>
        <v>132351999.99999999</v>
      </c>
      <c r="L36">
        <f>L11</f>
        <v>65600000</v>
      </c>
      <c r="M36">
        <f>M11</f>
        <v>159956100</v>
      </c>
      <c r="N36" s="37">
        <f>N11</f>
        <v>11760000</v>
      </c>
      <c r="O36">
        <f>O11</f>
        <v>107200000</v>
      </c>
      <c r="P36">
        <f>P11*P30</f>
        <v>132351999.99999999</v>
      </c>
      <c r="Q36">
        <f>Q11</f>
        <v>65600000</v>
      </c>
      <c r="R36">
        <f>R11</f>
        <v>159956100</v>
      </c>
      <c r="S36" s="50">
        <v>4150</v>
      </c>
      <c r="T36" s="50">
        <f t="shared" si="154"/>
        <v>7685.8000000000002</v>
      </c>
    </row>
    <row r="37" ht="15.75">
      <c r="B37" t="s">
        <v>553</v>
      </c>
      <c r="D37">
        <f>D11</f>
        <v>11760000</v>
      </c>
      <c r="E37">
        <f>E11</f>
        <v>107200000</v>
      </c>
      <c r="F37">
        <f>F11*F31</f>
        <v>119680000</v>
      </c>
      <c r="G37">
        <f>G11</f>
        <v>65600000</v>
      </c>
      <c r="H37">
        <f>H11</f>
        <v>159956100</v>
      </c>
      <c r="I37" s="37">
        <f>I11</f>
        <v>11760000</v>
      </c>
      <c r="J37">
        <f>J11</f>
        <v>107200000</v>
      </c>
      <c r="K37">
        <f>K11*K31</f>
        <v>119680000</v>
      </c>
      <c r="L37">
        <f>L11</f>
        <v>65600000</v>
      </c>
      <c r="M37">
        <f>M11</f>
        <v>159956100</v>
      </c>
      <c r="N37" s="37">
        <f>N11</f>
        <v>11760000</v>
      </c>
      <c r="O37">
        <f>O11</f>
        <v>107200000</v>
      </c>
      <c r="P37">
        <f>P11*P31</f>
        <v>119680000</v>
      </c>
      <c r="Q37">
        <f>Q11</f>
        <v>65600000</v>
      </c>
      <c r="R37">
        <f>R11</f>
        <v>159956100</v>
      </c>
      <c r="S37" s="50">
        <v>9812</v>
      </c>
      <c r="T37" s="50">
        <f t="shared" si="154"/>
        <v>18171.824000000001</v>
      </c>
    </row>
    <row r="39">
      <c r="A39" t="s">
        <v>683</v>
      </c>
      <c r="B39" t="s">
        <v>368</v>
      </c>
    </row>
    <row r="40">
      <c r="B40" t="s">
        <v>550</v>
      </c>
      <c r="D40">
        <f t="shared" ref="D40:R43" si="155">D106</f>
        <v>11760000</v>
      </c>
      <c r="E40">
        <f t="shared" si="155"/>
        <v>107200000</v>
      </c>
      <c r="F40">
        <f t="shared" si="155"/>
        <v>140800000</v>
      </c>
      <c r="G40">
        <f t="shared" si="155"/>
        <v>65600000</v>
      </c>
      <c r="H40">
        <f t="shared" si="155"/>
        <v>159956100</v>
      </c>
      <c r="I40" s="37">
        <f t="shared" si="155"/>
        <v>11760000</v>
      </c>
      <c r="J40">
        <f t="shared" si="155"/>
        <v>107200000</v>
      </c>
      <c r="K40">
        <f t="shared" si="155"/>
        <v>140800000</v>
      </c>
      <c r="L40">
        <f t="shared" si="155"/>
        <v>65600000</v>
      </c>
      <c r="M40">
        <f t="shared" si="155"/>
        <v>159956100</v>
      </c>
      <c r="N40" s="37">
        <f t="shared" si="155"/>
        <v>11760000</v>
      </c>
      <c r="O40">
        <f t="shared" si="155"/>
        <v>107200000</v>
      </c>
      <c r="P40">
        <f t="shared" si="155"/>
        <v>140800000</v>
      </c>
      <c r="Q40">
        <f t="shared" si="155"/>
        <v>65600000</v>
      </c>
      <c r="R40">
        <f t="shared" si="155"/>
        <v>159956100</v>
      </c>
    </row>
    <row r="41">
      <c r="B41" t="s">
        <v>551</v>
      </c>
      <c r="D41">
        <f t="shared" si="155"/>
        <v>11388155.295529554</v>
      </c>
      <c r="E41">
        <f t="shared" si="155"/>
        <v>104816618.46153846</v>
      </c>
      <c r="F41">
        <f t="shared" si="155"/>
        <v>130539559.99236287</v>
      </c>
      <c r="G41">
        <f t="shared" si="155"/>
        <v>64707661.952</v>
      </c>
      <c r="H41">
        <f t="shared" si="155"/>
        <v>156046323.62544698</v>
      </c>
      <c r="I41" s="37">
        <f t="shared" si="155"/>
        <v>11388155.295529554</v>
      </c>
      <c r="J41">
        <f t="shared" si="155"/>
        <v>104816618.46153846</v>
      </c>
      <c r="K41">
        <f t="shared" si="155"/>
        <v>130539559.99236287</v>
      </c>
      <c r="L41">
        <f t="shared" si="155"/>
        <v>64563019.919015445</v>
      </c>
      <c r="M41">
        <f t="shared" si="155"/>
        <v>156046323.62544698</v>
      </c>
      <c r="N41" s="37">
        <f t="shared" si="155"/>
        <v>11388155.295529554</v>
      </c>
      <c r="O41">
        <f t="shared" si="155"/>
        <v>104816618.46153846</v>
      </c>
      <c r="P41">
        <f t="shared" si="155"/>
        <v>130539559.99236287</v>
      </c>
      <c r="Q41">
        <f t="shared" si="155"/>
        <v>64707661.952</v>
      </c>
      <c r="R41">
        <f t="shared" si="155"/>
        <v>156046323.62544698</v>
      </c>
    </row>
    <row r="42">
      <c r="B42" t="s">
        <v>552</v>
      </c>
      <c r="D42">
        <f t="shared" si="155"/>
        <v>10837611.761176117</v>
      </c>
      <c r="E42">
        <f t="shared" si="155"/>
        <v>101287846.15384616</v>
      </c>
      <c r="F42">
        <f t="shared" si="155"/>
        <v>117378164.95415774</v>
      </c>
      <c r="G42">
        <f t="shared" si="155"/>
        <v>63386489.600000001</v>
      </c>
      <c r="H42">
        <f t="shared" si="155"/>
        <v>150257611.08523908</v>
      </c>
      <c r="I42" s="37">
        <f t="shared" si="155"/>
        <v>10837611.761176117</v>
      </c>
      <c r="J42">
        <f t="shared" si="155"/>
        <v>101287846.15384616</v>
      </c>
      <c r="K42">
        <f t="shared" si="155"/>
        <v>117378164.95415774</v>
      </c>
      <c r="L42">
        <f t="shared" si="155"/>
        <v>63338850.174929462</v>
      </c>
      <c r="M42">
        <f t="shared" si="155"/>
        <v>150257611.08523908</v>
      </c>
      <c r="N42" s="37">
        <f t="shared" si="155"/>
        <v>10837611.761176117</v>
      </c>
      <c r="O42">
        <f t="shared" si="155"/>
        <v>101287846.15384616</v>
      </c>
      <c r="P42">
        <f t="shared" si="155"/>
        <v>117378164.95415774</v>
      </c>
      <c r="Q42">
        <f t="shared" si="155"/>
        <v>63386489.600000001</v>
      </c>
      <c r="R42">
        <f t="shared" si="155"/>
        <v>150257611.08523908</v>
      </c>
    </row>
    <row r="43">
      <c r="B43" t="s">
        <v>553</v>
      </c>
      <c r="D43">
        <f t="shared" si="155"/>
        <v>9579163.0363036301</v>
      </c>
      <c r="E43">
        <f t="shared" si="155"/>
        <v>93221673.84615384</v>
      </c>
      <c r="F43">
        <f t="shared" si="155"/>
        <v>84276802.537396595</v>
      </c>
      <c r="G43">
        <f t="shared" si="155"/>
        <v>60366514.688000001</v>
      </c>
      <c r="H43">
        <f t="shared" si="155"/>
        <v>137025600.42611226</v>
      </c>
      <c r="I43" s="37">
        <f t="shared" si="155"/>
        <v>9579163.0363036301</v>
      </c>
      <c r="J43">
        <f t="shared" si="155"/>
        <v>93221673.84615384</v>
      </c>
      <c r="K43">
        <f t="shared" si="155"/>
        <v>84276802.537396595</v>
      </c>
      <c r="L43">
        <f t="shared" si="155"/>
        <v>60627067.51620958</v>
      </c>
      <c r="M43">
        <f t="shared" si="155"/>
        <v>137025600.42611226</v>
      </c>
      <c r="N43" s="37">
        <f t="shared" si="155"/>
        <v>9579163.0363036301</v>
      </c>
      <c r="O43">
        <f t="shared" si="155"/>
        <v>93221673.84615384</v>
      </c>
      <c r="P43">
        <f t="shared" si="155"/>
        <v>84276802.537396595</v>
      </c>
      <c r="Q43">
        <f t="shared" si="155"/>
        <v>60366514.688000001</v>
      </c>
      <c r="R43">
        <f t="shared" si="155"/>
        <v>137025600.42611226</v>
      </c>
    </row>
    <row r="45">
      <c r="A45" s="51" t="s">
        <v>684</v>
      </c>
      <c r="B45" s="51" t="s">
        <v>368</v>
      </c>
      <c r="C45" s="51"/>
      <c r="D45" s="51"/>
      <c r="E45" s="51"/>
      <c r="F45" s="51"/>
      <c r="G45" s="51"/>
      <c r="H45" s="51"/>
    </row>
    <row r="46">
      <c r="A46" s="51"/>
      <c r="B46" s="51" t="s">
        <v>550</v>
      </c>
      <c r="C46" s="51"/>
      <c r="D46" s="51"/>
      <c r="E46" s="51"/>
      <c r="F46" s="51"/>
      <c r="G46" s="51"/>
      <c r="H46" s="51"/>
    </row>
    <row r="47">
      <c r="A47" s="51"/>
      <c r="B47" s="51" t="s">
        <v>551</v>
      </c>
      <c r="C47" s="51"/>
      <c r="D47" s="51"/>
      <c r="E47" s="51"/>
      <c r="F47" s="51">
        <f>F35*F4</f>
        <v>8413081.5999999996</v>
      </c>
      <c r="G47" s="51"/>
      <c r="H47" s="51"/>
    </row>
    <row r="48">
      <c r="A48" s="51"/>
      <c r="B48" s="51" t="s">
        <v>552</v>
      </c>
      <c r="C48" s="51"/>
      <c r="D48" s="51"/>
      <c r="E48" s="51"/>
      <c r="F48" s="51">
        <f>F36*F4</f>
        <v>8152883.1999999993</v>
      </c>
      <c r="G48" s="51"/>
      <c r="H48" s="51"/>
    </row>
    <row r="49">
      <c r="A49" s="51"/>
      <c r="B49" s="51" t="s">
        <v>553</v>
      </c>
      <c r="C49" s="51"/>
      <c r="D49" s="51"/>
      <c r="E49" s="51"/>
      <c r="F49" s="51">
        <f>F37*F4</f>
        <v>7372288</v>
      </c>
      <c r="G49" s="51"/>
      <c r="H49" s="51"/>
    </row>
    <row r="50">
      <c r="A50" s="51"/>
      <c r="B50" s="51"/>
      <c r="C50" s="51"/>
      <c r="D50" s="51"/>
      <c r="E50" s="51"/>
      <c r="F50" s="51"/>
      <c r="G50" s="51"/>
      <c r="H50" s="51"/>
    </row>
    <row r="51">
      <c r="B51" t="s">
        <v>678</v>
      </c>
      <c r="C51" s="6" t="s">
        <v>685</v>
      </c>
    </row>
    <row r="52">
      <c r="B52" t="s">
        <v>550</v>
      </c>
      <c r="C52" s="6"/>
      <c r="D52">
        <v>0</v>
      </c>
      <c r="E52">
        <v>0</v>
      </c>
      <c r="F52">
        <v>0</v>
      </c>
      <c r="G52">
        <v>0</v>
      </c>
      <c r="H52">
        <v>0</v>
      </c>
      <c r="I52" s="37">
        <v>0</v>
      </c>
      <c r="J52">
        <f t="shared" ref="J52:L61" si="156">I52</f>
        <v>0</v>
      </c>
      <c r="K52">
        <f>J52</f>
        <v>0</v>
      </c>
      <c r="L52">
        <f>K52</f>
        <v>0</v>
      </c>
      <c r="M52">
        <v>0</v>
      </c>
      <c r="N52" s="37">
        <v>0</v>
      </c>
      <c r="O52">
        <f t="shared" ref="O52:Q61" si="157">N52</f>
        <v>0</v>
      </c>
      <c r="P52">
        <f t="shared" si="157"/>
        <v>0</v>
      </c>
      <c r="Q52">
        <f t="shared" si="157"/>
        <v>0</v>
      </c>
      <c r="R52">
        <v>0</v>
      </c>
    </row>
    <row r="53">
      <c r="A53" t="s">
        <v>686</v>
      </c>
      <c r="B53" t="s">
        <v>551</v>
      </c>
      <c r="C53" s="6"/>
      <c r="D53">
        <f>((T35/D21)/24)*2+D26</f>
        <v>10.606655555555557</v>
      </c>
      <c r="E53">
        <f>((T35/E21)/24)*2+E26</f>
        <v>10.606655555555557</v>
      </c>
      <c r="F53">
        <f>((T35/F21)/24)*2+F26</f>
        <v>10.606655555555557</v>
      </c>
      <c r="G53">
        <f>((T35/G21)/24)*2+G26</f>
        <v>10.606655555555557</v>
      </c>
      <c r="H53">
        <f>((T35/H21)/24)*2+H26</f>
        <v>11.930756410256411</v>
      </c>
      <c r="I53" s="37">
        <f>((T35/I21)/24)*2+I26</f>
        <v>10.606655555555557</v>
      </c>
      <c r="J53">
        <f t="shared" si="156"/>
        <v>10.606655555555557</v>
      </c>
      <c r="K53">
        <f t="shared" si="156"/>
        <v>10.606655555555557</v>
      </c>
      <c r="L53">
        <f t="shared" si="156"/>
        <v>10.606655555555557</v>
      </c>
      <c r="M53">
        <f>((T35/M21)/24)*2+M26</f>
        <v>11.930756410256411</v>
      </c>
      <c r="N53" s="37">
        <f>((T35/N21)/24)*2+N26</f>
        <v>10.606655555555557</v>
      </c>
      <c r="O53">
        <f t="shared" si="157"/>
        <v>10.606655555555557</v>
      </c>
      <c r="P53">
        <f t="shared" si="157"/>
        <v>10.606655555555557</v>
      </c>
      <c r="Q53">
        <f t="shared" si="157"/>
        <v>10.606655555555557</v>
      </c>
      <c r="R53">
        <f>((T35/R21)/24)*2+R26</f>
        <v>11.930756410256411</v>
      </c>
    </row>
    <row r="54">
      <c r="B54" t="s">
        <v>552</v>
      </c>
      <c r="C54" s="6"/>
      <c r="D54">
        <f>((T36/D21)/24)*2+D26</f>
        <v>23.349444444444444</v>
      </c>
      <c r="E54">
        <f>((T36/E21)/24)*2+E26</f>
        <v>23.349444444444444</v>
      </c>
      <c r="F54">
        <f>((T36/F21)/24)*2+F26</f>
        <v>23.349444444444444</v>
      </c>
      <c r="G54">
        <f>((T36/G21)/24)*2+G26</f>
        <v>23.349444444444444</v>
      </c>
      <c r="H54">
        <f>((T36/H21)/24)*2+H26</f>
        <v>26.63397435897436</v>
      </c>
      <c r="I54" s="37">
        <f>((T36/I21)/24)*2+I26</f>
        <v>23.349444444444444</v>
      </c>
      <c r="J54">
        <f t="shared" si="156"/>
        <v>23.349444444444444</v>
      </c>
      <c r="K54">
        <f t="shared" si="156"/>
        <v>23.349444444444444</v>
      </c>
      <c r="L54">
        <f t="shared" si="156"/>
        <v>23.349444444444444</v>
      </c>
      <c r="M54">
        <f>((T36/M21)/24)*2+M26</f>
        <v>26.63397435897436</v>
      </c>
      <c r="N54" s="37">
        <f>((T36/N21)/24)*2+N26</f>
        <v>23.349444444444444</v>
      </c>
      <c r="O54">
        <f t="shared" si="157"/>
        <v>23.349444444444444</v>
      </c>
      <c r="P54">
        <f t="shared" si="157"/>
        <v>23.349444444444444</v>
      </c>
      <c r="Q54">
        <f t="shared" si="157"/>
        <v>23.349444444444444</v>
      </c>
      <c r="R54">
        <f>((T36/R21)/24)*2+R26</f>
        <v>26.63397435897436</v>
      </c>
    </row>
    <row r="55">
      <c r="B55" t="s">
        <v>553</v>
      </c>
      <c r="C55" s="6"/>
      <c r="D55">
        <f>((T37/D21)/24)*2+D26</f>
        <v>52.477288888888893</v>
      </c>
      <c r="E55">
        <f>((T37/E21)/24)*2+E26</f>
        <v>52.477288888888893</v>
      </c>
      <c r="F55">
        <f>((T37/F21)/24)*2+F26</f>
        <v>52.477288888888893</v>
      </c>
      <c r="G55">
        <f>((T37/G21)/24)*2+G26</f>
        <v>52.477288888888893</v>
      </c>
      <c r="H55">
        <f>((T37/H21)/24)*2+H26</f>
        <v>60.243025641025639</v>
      </c>
      <c r="I55" s="37">
        <f>((T37/I21)/24)*2+I26</f>
        <v>52.477288888888893</v>
      </c>
      <c r="J55">
        <f t="shared" si="156"/>
        <v>52.477288888888893</v>
      </c>
      <c r="K55">
        <f t="shared" si="156"/>
        <v>52.477288888888893</v>
      </c>
      <c r="L55">
        <f t="shared" si="156"/>
        <v>52.477288888888893</v>
      </c>
      <c r="M55">
        <f>((T37/M21)/24)*2+M26</f>
        <v>60.243025641025639</v>
      </c>
      <c r="N55" s="37">
        <f>((T37/N21)/24)*2+N26</f>
        <v>52.477288888888893</v>
      </c>
      <c r="O55">
        <f t="shared" si="157"/>
        <v>52.477288888888893</v>
      </c>
      <c r="P55">
        <f t="shared" si="157"/>
        <v>52.477288888888893</v>
      </c>
      <c r="Q55">
        <f t="shared" si="157"/>
        <v>52.477288888888893</v>
      </c>
      <c r="R55">
        <f>((T37/R21)/24)*2+R26</f>
        <v>60.243025641025639</v>
      </c>
    </row>
    <row r="56">
      <c r="C56" s="6"/>
    </row>
    <row r="57">
      <c r="B57" t="s">
        <v>678</v>
      </c>
      <c r="C57" s="6" t="s">
        <v>687</v>
      </c>
    </row>
    <row r="58">
      <c r="B58" t="s">
        <v>550</v>
      </c>
      <c r="C58" s="6"/>
      <c r="D58">
        <v>0</v>
      </c>
      <c r="E58">
        <v>0</v>
      </c>
      <c r="F58">
        <v>0</v>
      </c>
      <c r="G58">
        <v>0</v>
      </c>
      <c r="H58">
        <v>0</v>
      </c>
      <c r="I58" s="37">
        <v>0</v>
      </c>
      <c r="J58">
        <f t="shared" si="156"/>
        <v>0</v>
      </c>
      <c r="K58">
        <f>J58</f>
        <v>0</v>
      </c>
      <c r="L58">
        <f>K58</f>
        <v>0</v>
      </c>
      <c r="M58">
        <v>0</v>
      </c>
      <c r="N58" s="37">
        <v>0</v>
      </c>
      <c r="O58">
        <f t="shared" si="157"/>
        <v>0</v>
      </c>
      <c r="P58">
        <f t="shared" si="157"/>
        <v>0</v>
      </c>
      <c r="Q58">
        <f t="shared" si="157"/>
        <v>0</v>
      </c>
      <c r="R58">
        <v>0</v>
      </c>
    </row>
    <row r="59">
      <c r="B59" t="s">
        <v>551</v>
      </c>
      <c r="C59" s="6"/>
      <c r="D59">
        <f>D24*T35*2</f>
        <v>12393584</v>
      </c>
      <c r="E59">
        <f>E24*T35*2</f>
        <v>12393584</v>
      </c>
      <c r="F59">
        <f>F24*T35*2</f>
        <v>12393584</v>
      </c>
      <c r="G59">
        <f>G24*T35*2</f>
        <v>12393584</v>
      </c>
      <c r="H59">
        <f>H24*T35*2</f>
        <v>8036762.5476923082</v>
      </c>
      <c r="I59" s="37">
        <f>I24*T35*2</f>
        <v>12393584</v>
      </c>
      <c r="J59">
        <f t="shared" si="156"/>
        <v>12393584</v>
      </c>
      <c r="K59">
        <f t="shared" si="156"/>
        <v>12393584</v>
      </c>
      <c r="L59">
        <f t="shared" si="156"/>
        <v>12393584</v>
      </c>
      <c r="M59">
        <f>M24*T35*2</f>
        <v>8036762.5476923082</v>
      </c>
      <c r="N59" s="37">
        <f>N24*T35*2</f>
        <v>12393584</v>
      </c>
      <c r="O59">
        <f t="shared" si="157"/>
        <v>12393584</v>
      </c>
      <c r="P59">
        <f t="shared" si="157"/>
        <v>12393584</v>
      </c>
      <c r="Q59">
        <f t="shared" si="157"/>
        <v>12393584</v>
      </c>
      <c r="R59">
        <f>R24*T35*2</f>
        <v>8036762.5476923082</v>
      </c>
    </row>
    <row r="60">
      <c r="B60" t="s">
        <v>552</v>
      </c>
      <c r="C60" s="6"/>
      <c r="D60">
        <f>D24*T36*2</f>
        <v>30743200</v>
      </c>
      <c r="E60">
        <f>E24*T36*2</f>
        <v>30743200</v>
      </c>
      <c r="F60">
        <f>F24*T36*2</f>
        <v>30743200</v>
      </c>
      <c r="G60">
        <f>G24*T36*2</f>
        <v>30743200</v>
      </c>
      <c r="H60">
        <f>H24*T36*2</f>
        <v>19935782.769230768</v>
      </c>
      <c r="I60" s="37">
        <f>I24*T36*2</f>
        <v>30743200</v>
      </c>
      <c r="J60">
        <f t="shared" si="156"/>
        <v>30743200</v>
      </c>
      <c r="K60">
        <f t="shared" si="156"/>
        <v>30743200</v>
      </c>
      <c r="L60">
        <f t="shared" si="156"/>
        <v>30743200</v>
      </c>
      <c r="M60">
        <f>M24*T36*2</f>
        <v>19935782.769230768</v>
      </c>
      <c r="N60" s="37">
        <f>N24*T36*2</f>
        <v>30743200</v>
      </c>
      <c r="O60">
        <f t="shared" si="157"/>
        <v>30743200</v>
      </c>
      <c r="P60">
        <f t="shared" si="157"/>
        <v>30743200</v>
      </c>
      <c r="Q60">
        <f t="shared" si="157"/>
        <v>30743200</v>
      </c>
      <c r="R60">
        <f>R24*T36*2</f>
        <v>19935782.769230768</v>
      </c>
    </row>
    <row r="61">
      <c r="B61" t="s">
        <v>553</v>
      </c>
      <c r="C61" s="6"/>
      <c r="D61">
        <f>D24*T37*2</f>
        <v>72687296</v>
      </c>
      <c r="E61">
        <f>E24*T37*2</f>
        <v>72687296</v>
      </c>
      <c r="F61">
        <f>F24*T37*2</f>
        <v>72687296</v>
      </c>
      <c r="G61">
        <f>G24*T37*2</f>
        <v>72687296</v>
      </c>
      <c r="H61">
        <f>H24*T37*2</f>
        <v>47134915.790769234</v>
      </c>
      <c r="I61" s="37">
        <f>I24*T37*2</f>
        <v>72687296</v>
      </c>
      <c r="J61">
        <f t="shared" si="156"/>
        <v>72687296</v>
      </c>
      <c r="K61">
        <f t="shared" si="156"/>
        <v>72687296</v>
      </c>
      <c r="L61">
        <f t="shared" si="156"/>
        <v>72687296</v>
      </c>
      <c r="M61">
        <f>M24*T37*2</f>
        <v>47134915.790769234</v>
      </c>
      <c r="N61" s="37">
        <f>N24*T37*2</f>
        <v>72687296</v>
      </c>
      <c r="O61">
        <f t="shared" si="157"/>
        <v>72687296</v>
      </c>
      <c r="P61">
        <f t="shared" si="157"/>
        <v>72687296</v>
      </c>
      <c r="Q61">
        <f t="shared" si="157"/>
        <v>72687296</v>
      </c>
      <c r="R61">
        <f>R24*T37*2</f>
        <v>47134915.790769234</v>
      </c>
    </row>
    <row r="62">
      <c r="C62" s="6"/>
    </row>
    <row r="63">
      <c r="B63" t="s">
        <v>678</v>
      </c>
      <c r="C63" s="6" t="s">
        <v>688</v>
      </c>
      <c r="D63" t="s">
        <v>147</v>
      </c>
      <c r="E63" t="s">
        <v>215</v>
      </c>
      <c r="F63" t="s">
        <v>191</v>
      </c>
      <c r="G63" t="s">
        <v>255</v>
      </c>
      <c r="I63" s="37" t="s">
        <v>147</v>
      </c>
      <c r="J63" t="s">
        <v>215</v>
      </c>
      <c r="K63" t="s">
        <v>191</v>
      </c>
      <c r="L63" t="s">
        <v>255</v>
      </c>
      <c r="N63" s="37" t="s">
        <v>147</v>
      </c>
      <c r="O63" t="s">
        <v>215</v>
      </c>
      <c r="P63" t="s">
        <v>191</v>
      </c>
      <c r="Q63" t="s">
        <v>255</v>
      </c>
    </row>
    <row r="64">
      <c r="B64" t="s">
        <v>550</v>
      </c>
      <c r="C64" s="6"/>
      <c r="D64">
        <v>0</v>
      </c>
      <c r="E64">
        <v>0</v>
      </c>
      <c r="F64">
        <v>0</v>
      </c>
      <c r="G64">
        <v>0</v>
      </c>
      <c r="H64">
        <v>0</v>
      </c>
      <c r="I64" s="37">
        <v>0</v>
      </c>
      <c r="J64">
        <v>0</v>
      </c>
      <c r="K64">
        <v>0</v>
      </c>
      <c r="L64">
        <v>0</v>
      </c>
      <c r="M64">
        <v>0</v>
      </c>
      <c r="N64" s="37">
        <v>0</v>
      </c>
      <c r="O64">
        <v>0</v>
      </c>
      <c r="P64">
        <v>0</v>
      </c>
      <c r="Q64">
        <v>0</v>
      </c>
      <c r="R64">
        <v>0</v>
      </c>
    </row>
    <row r="65">
      <c r="B65" t="s">
        <v>551</v>
      </c>
      <c r="C65" s="6"/>
      <c r="D65">
        <f>D59/D6</f>
        <v>371844.70447044709</v>
      </c>
      <c r="E65">
        <f t="shared" ref="E65:R65" si="158">E59/E6</f>
        <v>2383381.5384615385</v>
      </c>
      <c r="F65">
        <f t="shared" si="158"/>
        <v>6036440.0076371273</v>
      </c>
      <c r="G65">
        <f t="shared" si="158"/>
        <v>892338.04799999995</v>
      </c>
      <c r="H65">
        <f t="shared" si="158"/>
        <v>3909776.3745530145</v>
      </c>
      <c r="I65" s="37">
        <f t="shared" si="158"/>
        <v>371844.70447044709</v>
      </c>
      <c r="J65">
        <f t="shared" si="158"/>
        <v>2383381.5384615385</v>
      </c>
      <c r="K65">
        <f t="shared" si="158"/>
        <v>6036440.0076371273</v>
      </c>
      <c r="L65">
        <f>L59/L6</f>
        <v>892338.04799999995</v>
      </c>
      <c r="M65">
        <f t="shared" si="158"/>
        <v>3909776.3745530145</v>
      </c>
      <c r="N65" s="37">
        <f t="shared" si="158"/>
        <v>371844.70447044709</v>
      </c>
      <c r="O65">
        <f t="shared" si="158"/>
        <v>2383381.5384615385</v>
      </c>
      <c r="P65">
        <f t="shared" si="158"/>
        <v>6036440.0076371273</v>
      </c>
      <c r="Q65">
        <f t="shared" si="158"/>
        <v>892338.04799999995</v>
      </c>
      <c r="R65">
        <f t="shared" si="158"/>
        <v>3909776.3745530145</v>
      </c>
    </row>
    <row r="66">
      <c r="B66" t="s">
        <v>552</v>
      </c>
      <c r="C66" s="6"/>
      <c r="D66">
        <f t="shared" ref="D66:R66" si="159">D60/D6</f>
        <v>922388.23882388242</v>
      </c>
      <c r="E66">
        <f t="shared" si="159"/>
        <v>5912153.846153846</v>
      </c>
      <c r="F66">
        <f t="shared" si="159"/>
        <v>14973835.045842245</v>
      </c>
      <c r="G66">
        <f t="shared" si="159"/>
        <v>2213510.3999999999</v>
      </c>
      <c r="H66">
        <f t="shared" si="159"/>
        <v>9698488.9147609137</v>
      </c>
      <c r="I66" s="37">
        <f t="shared" si="159"/>
        <v>922388.23882388242</v>
      </c>
      <c r="J66">
        <f t="shared" si="159"/>
        <v>5912153.846153846</v>
      </c>
      <c r="K66">
        <f t="shared" si="159"/>
        <v>14973835.045842245</v>
      </c>
      <c r="L66">
        <f t="shared" si="159"/>
        <v>2213510.3999999999</v>
      </c>
      <c r="M66">
        <f t="shared" si="159"/>
        <v>9698488.9147609137</v>
      </c>
      <c r="N66" s="37">
        <f t="shared" si="159"/>
        <v>922388.23882388242</v>
      </c>
      <c r="O66">
        <f t="shared" si="159"/>
        <v>5912153.846153846</v>
      </c>
      <c r="P66">
        <f t="shared" si="159"/>
        <v>14973835.045842245</v>
      </c>
      <c r="Q66">
        <f t="shared" si="159"/>
        <v>2213510.3999999999</v>
      </c>
      <c r="R66">
        <f t="shared" si="159"/>
        <v>9698488.9147609137</v>
      </c>
    </row>
    <row r="67">
      <c r="B67" t="s">
        <v>553</v>
      </c>
      <c r="C67" s="6"/>
      <c r="D67">
        <f t="shared" ref="D67:R67" si="160">D61/D6</f>
        <v>2180836.9636963699</v>
      </c>
      <c r="E67">
        <f t="shared" si="160"/>
        <v>13978326.153846154</v>
      </c>
      <c r="F67">
        <f t="shared" si="160"/>
        <v>35403197.462603405</v>
      </c>
      <c r="G67">
        <f t="shared" si="160"/>
        <v>5233485.3119999999</v>
      </c>
      <c r="H67">
        <f t="shared" si="160"/>
        <v>22930499.573887732</v>
      </c>
      <c r="I67" s="37">
        <f t="shared" si="160"/>
        <v>2180836.9636963699</v>
      </c>
      <c r="J67">
        <f t="shared" si="160"/>
        <v>13978326.153846154</v>
      </c>
      <c r="K67">
        <f t="shared" si="160"/>
        <v>35403197.462603405</v>
      </c>
      <c r="L67">
        <f t="shared" si="160"/>
        <v>5233485.3119999999</v>
      </c>
      <c r="M67">
        <f t="shared" si="160"/>
        <v>22930499.573887732</v>
      </c>
      <c r="N67" s="37">
        <f t="shared" si="160"/>
        <v>2180836.9636963699</v>
      </c>
      <c r="O67">
        <f t="shared" si="160"/>
        <v>13978326.153846154</v>
      </c>
      <c r="P67">
        <f t="shared" si="160"/>
        <v>35403197.462603405</v>
      </c>
      <c r="Q67">
        <f t="shared" si="160"/>
        <v>5233485.3119999999</v>
      </c>
      <c r="R67">
        <f t="shared" si="160"/>
        <v>22930499.573887732</v>
      </c>
    </row>
    <row r="68">
      <c r="C68" s="6"/>
    </row>
    <row r="69">
      <c r="A69" t="s">
        <v>689</v>
      </c>
      <c r="B69" t="s">
        <v>678</v>
      </c>
      <c r="C69" s="6" t="s">
        <v>690</v>
      </c>
      <c r="D69" t="s">
        <v>147</v>
      </c>
      <c r="E69" t="s">
        <v>215</v>
      </c>
      <c r="F69" t="s">
        <v>191</v>
      </c>
      <c r="G69" t="s">
        <v>255</v>
      </c>
      <c r="H69" t="s">
        <v>558</v>
      </c>
      <c r="I69" s="37" t="s">
        <v>147</v>
      </c>
      <c r="J69" t="s">
        <v>215</v>
      </c>
      <c r="K69" t="s">
        <v>191</v>
      </c>
      <c r="L69" t="s">
        <v>255</v>
      </c>
      <c r="M69" t="s">
        <v>558</v>
      </c>
      <c r="N69" s="37" t="s">
        <v>147</v>
      </c>
      <c r="O69" t="s">
        <v>215</v>
      </c>
      <c r="P69" t="s">
        <v>191</v>
      </c>
      <c r="Q69" t="s">
        <v>255</v>
      </c>
      <c r="R69" t="s">
        <v>558</v>
      </c>
    </row>
    <row r="70">
      <c r="B70" t="s">
        <v>550</v>
      </c>
      <c r="C70" s="6"/>
      <c r="D70">
        <v>0</v>
      </c>
      <c r="E70">
        <v>0</v>
      </c>
      <c r="F70">
        <v>0</v>
      </c>
      <c r="G70">
        <v>0</v>
      </c>
      <c r="H70">
        <v>0</v>
      </c>
      <c r="I70" s="37">
        <v>0</v>
      </c>
      <c r="J70">
        <v>0</v>
      </c>
      <c r="K70">
        <v>0</v>
      </c>
      <c r="L70">
        <v>0</v>
      </c>
      <c r="M70">
        <v>0</v>
      </c>
      <c r="N70" s="37">
        <v>0</v>
      </c>
      <c r="O70">
        <v>0</v>
      </c>
      <c r="P70">
        <v>0</v>
      </c>
      <c r="Q70">
        <v>0</v>
      </c>
      <c r="R70">
        <v>0</v>
      </c>
    </row>
    <row r="71">
      <c r="B71" t="s">
        <v>551</v>
      </c>
      <c r="C71" s="6"/>
      <c r="D71">
        <f>(Combined!E15+Combined!E31+Combined!E47+Combined!E63+Combined!E79)/D41</f>
        <v>1.5381945546478404</v>
      </c>
      <c r="E71">
        <f>(Combined!F15+Combined!F31+Combined!F47+Combined!F63+Combined!F79)/E41</f>
        <v>0.20356774478315454</v>
      </c>
      <c r="F71">
        <f>(Combined!H15+Combined!H31+Combined!H47+Combined!H63+Combined!H79)/F41</f>
        <v>0.060409631537399255</v>
      </c>
      <c r="G71">
        <f>(Combined!I15+Combined!I31+Combined!I47+Combined!I63+Combined!I79)/G41</f>
        <v>0.62506660925261004</v>
      </c>
      <c r="H71">
        <f>(Combined!K15+Combined!K31+Combined!K47+Combined!K63+Combined!K79)/H41</f>
        <v>0.12298623480979699</v>
      </c>
      <c r="I71" s="48">
        <f>(Combined!L15+Combined!L31+Combined!L47+Combined!L63+Combined!L79)/I41</f>
        <v>12.070236126421976</v>
      </c>
      <c r="J71" s="12">
        <f>(Combined!M15+Combined!M31+Combined!M47+Combined!M63+Combined!M79)/J41</f>
        <v>1.6320607277149424</v>
      </c>
      <c r="K71">
        <f>(Combined!O15+Combined!O31+Combined!O47+Combined!O63+Combined!O79)/K41</f>
        <v>0.49487873134501864</v>
      </c>
      <c r="L71">
        <f>(Combined!P15+Combined!P31+Combined!P47+Combined!P63+Combined!P79)/L41</f>
        <v>6.5865443906831809</v>
      </c>
      <c r="M71">
        <f>(Combined!R15+Combined!R31+Combined!R47+Combined!R63+Combined!R79)/M41</f>
        <v>0.57528627243056585</v>
      </c>
      <c r="N71" s="48">
        <f>(Combined!S15+Combined!S31+Combined!S47+Combined!S63+Combined!S79)/N41</f>
        <v>4.9686839717762652</v>
      </c>
      <c r="O71" s="12">
        <f>(Combined!T15+Combined!T31+Combined!T47+Combined!T63+Combined!T79)/O41</f>
        <v>0.67426131734525296</v>
      </c>
      <c r="P71">
        <f>(Combined!V15+Combined!V31+Combined!V47+Combined!V63+Combined!V79)/P41</f>
        <v>0.2037016263584556</v>
      </c>
      <c r="Q71">
        <f>(Combined!W15+Combined!W31+Combined!W47+Combined!W63+Combined!W79)/Q41</f>
        <v>2.5351434642865915</v>
      </c>
      <c r="R71">
        <f>(Combined!Y15+Combined!Y31+Combined!Y47+Combined!Y63+Combined!Y79)/R41</f>
        <v>0.29457792778512676</v>
      </c>
    </row>
    <row r="72">
      <c r="B72" t="s">
        <v>552</v>
      </c>
      <c r="C72" s="6"/>
      <c r="D72">
        <f>(Combined!E16+Combined!E32+Combined!E48+Combined!E64+Combined!E80)/D42</f>
        <v>1.5381945546478404</v>
      </c>
      <c r="E72">
        <f>(Combined!F16+Combined!F32+Combined!F48+Combined!F64+Combined!F80)/E42</f>
        <v>0.20356774478315454</v>
      </c>
      <c r="F72">
        <f>(Combined!H16+Combined!H32+Combined!H48+Combined!H64+Combined!H80)/F42</f>
        <v>0.060409631537399262</v>
      </c>
      <c r="G72">
        <f>(Combined!I16+Combined!I32+Combined!I48+Combined!I64+Combined!I80)/G42</f>
        <v>0.62506660925261015</v>
      </c>
      <c r="H72">
        <f>(Combined!K16+Combined!K32+Combined!K48+Combined!K64+Combined!K80)/H42</f>
        <v>0.12298623480979697</v>
      </c>
      <c r="I72" s="48">
        <f>(Combined!L16+Combined!L32+Combined!L48+Combined!L64+Combined!L80)/I42</f>
        <v>12.070236126421976</v>
      </c>
      <c r="J72" s="12">
        <f>(Combined!M16+Combined!M32+Combined!M48+Combined!M64+Combined!M80)/J42</f>
        <v>1.6320607277149428</v>
      </c>
      <c r="K72">
        <f>(Combined!O16+Combined!O32+Combined!O48+Combined!O64+Combined!O80)/K42</f>
        <v>0.49487873134501864</v>
      </c>
      <c r="L72">
        <f>(Combined!P16+Combined!P32+Combined!P48+Combined!P64+Combined!P80)/L42</f>
        <v>6.58654439068318</v>
      </c>
      <c r="M72">
        <f>(Combined!R16+Combined!R32+Combined!R48+Combined!R64+Combined!R80)/M42</f>
        <v>0.57528627243056585</v>
      </c>
      <c r="N72" s="48">
        <f>(Combined!S16+Combined!S32+Combined!S48+Combined!S64+Combined!S80)/N42</f>
        <v>4.9686839717762652</v>
      </c>
      <c r="O72" s="12">
        <f>(Combined!T16+Combined!T32+Combined!T48+Combined!T64+Combined!T80)/O42</f>
        <v>0.67426131734525285</v>
      </c>
      <c r="P72">
        <f>(Combined!V16+Combined!V32+Combined!V48+Combined!V64+Combined!V80)/P42</f>
        <v>0.2037016263584556</v>
      </c>
      <c r="Q72">
        <f>(Combined!W16+Combined!W32+Combined!W48+Combined!W64+Combined!W80)/Q42</f>
        <v>2.5351434642865907</v>
      </c>
      <c r="R72">
        <f>(Combined!Y16+Combined!Y32+Combined!Y48+Combined!Y64+Combined!Y80)/R42</f>
        <v>0.29457792778512676</v>
      </c>
    </row>
    <row r="73">
      <c r="B73" t="s">
        <v>553</v>
      </c>
      <c r="C73" s="6"/>
      <c r="D73">
        <f>(Combined!E17+Combined!E33+Combined!E49+Combined!E65+Combined!E81)/D43</f>
        <v>1.5381945546478404</v>
      </c>
      <c r="E73">
        <f>(Combined!F17+Combined!F33+Combined!F49+Combined!F65+Combined!F81)/E43</f>
        <v>0.20356774478315451</v>
      </c>
      <c r="F73">
        <f>(Combined!H17+Combined!H33+Combined!H49+Combined!H65+Combined!H81)/F43</f>
        <v>0.060409631537399255</v>
      </c>
      <c r="G73">
        <f>(Combined!I17+Combined!I33+Combined!I49+Combined!I65+Combined!I81)/G43</f>
        <v>0.62506660925261004</v>
      </c>
      <c r="H73">
        <f>(Combined!K17+Combined!K33+Combined!K49+Combined!K65+Combined!K81)/H43</f>
        <v>0.12298623480979698</v>
      </c>
      <c r="I73" s="48">
        <f>(Combined!L17+Combined!L33+Combined!L49+Combined!L65+Combined!L81)/I43</f>
        <v>12.070236126421978</v>
      </c>
      <c r="J73" s="12">
        <f>(Combined!M17+Combined!M33+Combined!M49+Combined!M65+Combined!M81)/J43</f>
        <v>1.6320607277149428</v>
      </c>
      <c r="K73">
        <f>(Combined!O17+Combined!O33+Combined!O49+Combined!O65+Combined!O81)/K43</f>
        <v>0.4948787313450187</v>
      </c>
      <c r="L73">
        <f>(Combined!P17+Combined!P33+Combined!P49+Combined!P65+Combined!P81)/L43</f>
        <v>6.5865443906831809</v>
      </c>
      <c r="M73">
        <f>(Combined!R17+Combined!R33+Combined!R49+Combined!R65+Combined!R81)/M43</f>
        <v>0.57528627243056574</v>
      </c>
      <c r="N73" s="48">
        <f>(Combined!S17+Combined!S33+Combined!S49+Combined!S65+Combined!S81)/N43</f>
        <v>4.9686839717762643</v>
      </c>
      <c r="O73" s="12">
        <f>(Combined!T17+Combined!T33+Combined!T49+Combined!T65+Combined!T81)/O43</f>
        <v>0.67426131734525274</v>
      </c>
      <c r="P73">
        <f>(Combined!V17+Combined!V33+Combined!V49+Combined!V65+Combined!V81)/P43</f>
        <v>0.20370162635845557</v>
      </c>
      <c r="Q73">
        <f>(Combined!W17+Combined!W33+Combined!W49+Combined!W65+Combined!W81)/Q43</f>
        <v>2.5351434642865915</v>
      </c>
      <c r="R73">
        <f>(Combined!Y17+Combined!Y33+Combined!Y49+Combined!Y65+Combined!Y81)/R43</f>
        <v>0.29457792778512676</v>
      </c>
    </row>
    <row r="74">
      <c r="C74" s="6"/>
      <c r="I74" s="48"/>
      <c r="J74" s="12"/>
      <c r="N74" s="48"/>
      <c r="O74" s="12"/>
    </row>
    <row r="75">
      <c r="B75" t="s">
        <v>550</v>
      </c>
      <c r="C75" s="6" t="s">
        <v>691</v>
      </c>
      <c r="I75" s="48"/>
      <c r="J75" s="12"/>
      <c r="N75" s="48"/>
      <c r="O75" s="12"/>
    </row>
    <row r="76">
      <c r="B76" t="s">
        <v>551</v>
      </c>
      <c r="C76" s="6"/>
      <c r="D76">
        <f>1000*D71/D6</f>
        <v>46.150451684603674</v>
      </c>
      <c r="E76">
        <f t="shared" ref="E76:H76" si="161">1000*E71/E6</f>
        <v>39.147643227529713</v>
      </c>
      <c r="F76">
        <f t="shared" si="161"/>
        <v>29.423217421124868</v>
      </c>
      <c r="G76">
        <f t="shared" si="161"/>
        <v>45.004795866187926</v>
      </c>
      <c r="H76">
        <f t="shared" si="161"/>
        <v>59.831141258820153</v>
      </c>
      <c r="I76">
        <f t="shared" ref="I76:R76" si="162">1000*I71/I6</f>
        <v>362.14329812247155</v>
      </c>
      <c r="J76">
        <f t="shared" si="162"/>
        <v>313.85783225287355</v>
      </c>
      <c r="K76">
        <f t="shared" si="162"/>
        <v>241.03647280881594</v>
      </c>
      <c r="L76">
        <f t="shared" si="162"/>
        <v>474.23119612918902</v>
      </c>
      <c r="M76">
        <f t="shared" si="162"/>
        <v>279.86899739865362</v>
      </c>
      <c r="N76">
        <f t="shared" si="162"/>
        <v>149.07542669595756</v>
      </c>
      <c r="O76">
        <f t="shared" si="162"/>
        <v>129.66563795101018</v>
      </c>
      <c r="P76">
        <f t="shared" si="162"/>
        <v>99.215259038138683</v>
      </c>
      <c r="Q76">
        <f t="shared" si="162"/>
        <v>182.53032942863459</v>
      </c>
      <c r="R76">
        <f t="shared" si="162"/>
        <v>143.30818108465624</v>
      </c>
    </row>
    <row r="77">
      <c r="B77" t="s">
        <v>552</v>
      </c>
      <c r="C77" s="6"/>
      <c r="I77" s="48"/>
      <c r="J77" s="12"/>
      <c r="N77" s="48"/>
      <c r="O77" s="12"/>
    </row>
    <row r="78">
      <c r="B78" t="s">
        <v>553</v>
      </c>
      <c r="C78" s="6"/>
      <c r="I78" s="48"/>
      <c r="J78" s="12"/>
      <c r="N78" s="48"/>
      <c r="O78" s="12"/>
    </row>
    <row r="79">
      <c r="C79" s="6"/>
    </row>
    <row r="80">
      <c r="A80" t="s">
        <v>692</v>
      </c>
      <c r="B80" t="s">
        <v>678</v>
      </c>
      <c r="C80" s="6" t="s">
        <v>693</v>
      </c>
    </row>
    <row r="81">
      <c r="B81" t="s">
        <v>550</v>
      </c>
      <c r="C81" s="6"/>
      <c r="D81">
        <f t="shared" ref="D81:R84" si="163">(D70*D64)/D40</f>
        <v>0</v>
      </c>
      <c r="E81">
        <f t="shared" si="163"/>
        <v>0</v>
      </c>
      <c r="F81">
        <f t="shared" si="163"/>
        <v>0</v>
      </c>
      <c r="G81">
        <f t="shared" si="163"/>
        <v>0</v>
      </c>
      <c r="H81">
        <f t="shared" si="163"/>
        <v>0</v>
      </c>
      <c r="I81" s="37">
        <f t="shared" si="163"/>
        <v>0</v>
      </c>
      <c r="J81">
        <f t="shared" si="163"/>
        <v>0</v>
      </c>
      <c r="K81">
        <f t="shared" si="163"/>
        <v>0</v>
      </c>
      <c r="L81">
        <f t="shared" si="163"/>
        <v>0</v>
      </c>
      <c r="M81">
        <f t="shared" si="163"/>
        <v>0</v>
      </c>
      <c r="N81" s="37">
        <f t="shared" si="163"/>
        <v>0</v>
      </c>
      <c r="O81">
        <f t="shared" si="163"/>
        <v>0</v>
      </c>
      <c r="P81">
        <f t="shared" si="163"/>
        <v>0</v>
      </c>
      <c r="Q81">
        <f t="shared" si="163"/>
        <v>0</v>
      </c>
      <c r="R81">
        <f t="shared" si="163"/>
        <v>0</v>
      </c>
    </row>
    <row r="82">
      <c r="B82" t="s">
        <v>551</v>
      </c>
      <c r="C82" s="6"/>
      <c r="D82">
        <f t="shared" si="163"/>
        <v>0.0502249473025368</v>
      </c>
      <c r="E82">
        <f t="shared" ref="E82:R82" si="164">(E71*E65)/E41</f>
        <v>0.0046288423712166696</v>
      </c>
      <c r="F82">
        <f t="shared" si="164"/>
        <v>0.0027934759139705122</v>
      </c>
      <c r="G82">
        <f t="shared" si="164"/>
        <v>0.0086198558431025644</v>
      </c>
      <c r="H82">
        <f t="shared" si="164"/>
        <v>0.0030814482781967973</v>
      </c>
      <c r="I82" s="37">
        <f t="shared" si="164"/>
        <v>0.394115927368831</v>
      </c>
      <c r="J82">
        <f t="shared" si="164"/>
        <v>0.037110750806287784</v>
      </c>
      <c r="K82">
        <f t="shared" si="164"/>
        <v>0.022884294791514131</v>
      </c>
      <c r="L82">
        <f t="shared" si="164"/>
        <v>0.091033910309956362</v>
      </c>
      <c r="M82">
        <f t="shared" si="164"/>
        <v>0.014413929301868567</v>
      </c>
      <c r="N82" s="37">
        <f t="shared" si="164"/>
        <v>0.16223688342373271</v>
      </c>
      <c r="O82">
        <f t="shared" si="164"/>
        <v>0.01533174795606591</v>
      </c>
      <c r="P82">
        <f t="shared" si="164"/>
        <v>0.0094196169118608165</v>
      </c>
      <c r="Q82">
        <f t="shared" si="164"/>
        <v>0.034960388029466327</v>
      </c>
      <c r="R82">
        <f t="shared" si="164"/>
        <v>0.0073807174418510663</v>
      </c>
    </row>
    <row r="83">
      <c r="B83" t="s">
        <v>552</v>
      </c>
      <c r="C83" s="6"/>
      <c r="D83">
        <f t="shared" si="163"/>
        <v>0.13091561106781477</v>
      </c>
      <c r="E83">
        <f t="shared" si="163"/>
        <v>0.011882213621608248</v>
      </c>
      <c r="F83">
        <f t="shared" si="163"/>
        <v>0.0077064065379996794</v>
      </c>
      <c r="G83">
        <f t="shared" si="163"/>
        <v>0.021827860305950571</v>
      </c>
      <c r="H83">
        <f t="shared" si="163"/>
        <v>0.0079382377129259066</v>
      </c>
      <c r="I83" s="37">
        <f t="shared" si="163"/>
        <v>1.0272967963959014</v>
      </c>
      <c r="J83">
        <f t="shared" si="163"/>
        <v>0.095263098929566359</v>
      </c>
      <c r="K83">
        <f t="shared" si="163"/>
        <v>0.063131268867170215</v>
      </c>
      <c r="L83">
        <f t="shared" si="163"/>
        <v>0.23018075744307775</v>
      </c>
      <c r="M83">
        <f t="shared" si="163"/>
        <v>0.037132278995283964</v>
      </c>
      <c r="N83" s="37">
        <f t="shared" si="163"/>
        <v>0.4228842810569366</v>
      </c>
      <c r="O83">
        <f t="shared" si="163"/>
        <v>0.039356515041307591</v>
      </c>
      <c r="P83">
        <f t="shared" si="163"/>
        <v>0.02598604734409133</v>
      </c>
      <c r="Q83">
        <f t="shared" si="163"/>
        <v>0.088529376829386622</v>
      </c>
      <c r="R83">
        <f t="shared" si="163"/>
        <v>0.01901375076126146</v>
      </c>
    </row>
    <row r="84">
      <c r="B84" t="s">
        <v>553</v>
      </c>
      <c r="C84" s="6"/>
      <c r="D84">
        <f t="shared" si="163"/>
        <v>0.35019255120924714</v>
      </c>
      <c r="E84">
        <f t="shared" si="163"/>
        <v>0.030524407185370975</v>
      </c>
      <c r="F84">
        <f t="shared" si="163"/>
        <v>0.025377020123807447</v>
      </c>
      <c r="G84">
        <f t="shared" si="163"/>
        <v>0.054190256559493916</v>
      </c>
      <c r="H84">
        <f t="shared" si="163"/>
        <v>0.020581087009509554</v>
      </c>
      <c r="I84" s="37">
        <f t="shared" si="163"/>
        <v>2.7479662894642454</v>
      </c>
      <c r="J84">
        <f t="shared" si="163"/>
        <v>0.24472288700300154</v>
      </c>
      <c r="K84">
        <f t="shared" si="163"/>
        <v>0.2078898216158116</v>
      </c>
      <c r="L84">
        <f t="shared" si="163"/>
        <v>0.56856755138717829</v>
      </c>
      <c r="M84">
        <f t="shared" si="163"/>
        <v>0.096271073316301956</v>
      </c>
      <c r="N84" s="37">
        <f t="shared" si="163"/>
        <v>1.1311937823282605</v>
      </c>
      <c r="O84">
        <f t="shared" si="163"/>
        <v>0.10110357621692466</v>
      </c>
      <c r="P84">
        <f t="shared" si="163"/>
        <v>0.085571458388229424</v>
      </c>
      <c r="Q84">
        <f t="shared" si="163"/>
        <v>0.21978469608075765</v>
      </c>
      <c r="R84">
        <f t="shared" si="163"/>
        <v>0.049296036846749325</v>
      </c>
    </row>
    <row r="85">
      <c r="C85" s="6"/>
    </row>
    <row r="86">
      <c r="A86" t="s">
        <v>694</v>
      </c>
      <c r="B86" t="s">
        <v>678</v>
      </c>
      <c r="C86" s="6" t="s">
        <v>695</v>
      </c>
    </row>
    <row r="87">
      <c r="A87" t="s">
        <v>696</v>
      </c>
      <c r="B87" t="s">
        <v>550</v>
      </c>
      <c r="C87" s="6"/>
      <c r="D87">
        <f t="shared" ref="D87:R87" si="165">D81/D60</f>
        <v>0</v>
      </c>
      <c r="E87">
        <f t="shared" si="165"/>
        <v>0</v>
      </c>
      <c r="F87">
        <f t="shared" si="165"/>
        <v>0</v>
      </c>
      <c r="G87">
        <f t="shared" si="165"/>
        <v>0</v>
      </c>
      <c r="H87">
        <f t="shared" si="165"/>
        <v>0</v>
      </c>
      <c r="I87" s="37">
        <f t="shared" si="165"/>
        <v>0</v>
      </c>
      <c r="J87">
        <f t="shared" si="165"/>
        <v>0</v>
      </c>
      <c r="K87">
        <f t="shared" si="165"/>
        <v>0</v>
      </c>
      <c r="L87">
        <f t="shared" si="165"/>
        <v>0</v>
      </c>
      <c r="M87">
        <f t="shared" si="165"/>
        <v>0</v>
      </c>
      <c r="N87" s="37">
        <f t="shared" si="165"/>
        <v>0</v>
      </c>
      <c r="O87">
        <f t="shared" si="165"/>
        <v>0</v>
      </c>
      <c r="P87">
        <f t="shared" si="165"/>
        <v>0</v>
      </c>
      <c r="Q87">
        <f t="shared" si="165"/>
        <v>0</v>
      </c>
      <c r="R87">
        <f t="shared" si="165"/>
        <v>0</v>
      </c>
    </row>
    <row r="88">
      <c r="B88" t="s">
        <v>551</v>
      </c>
      <c r="C88" s="6"/>
      <c r="D88">
        <f t="shared" ref="D88:R88" si="166">D82/D6</f>
        <v>0.0015068991089870027</v>
      </c>
      <c r="E88">
        <f t="shared" si="166"/>
        <v>0.00089016199446474416</v>
      </c>
      <c r="F88">
        <f t="shared" si="166"/>
        <v>0.0013605951085224654</v>
      </c>
      <c r="G88">
        <f t="shared" si="166"/>
        <v>0.00062062962070338467</v>
      </c>
      <c r="H88">
        <f t="shared" si="166"/>
        <v>0.0014990829461497932</v>
      </c>
      <c r="I88" s="37">
        <f t="shared" si="166"/>
        <v>0.01182466028709364</v>
      </c>
      <c r="J88">
        <f t="shared" si="166"/>
        <v>0.0071366828473630349</v>
      </c>
      <c r="K88">
        <f t="shared" si="166"/>
        <v>0.011146063368437882</v>
      </c>
      <c r="L88">
        <f t="shared" si="166"/>
        <v>0.0065544415423168575</v>
      </c>
      <c r="M88">
        <f t="shared" si="166"/>
        <v>0.0070121818225306531</v>
      </c>
      <c r="N88" s="37">
        <f t="shared" si="166"/>
        <v>0.0048675932620381853</v>
      </c>
      <c r="O88">
        <f t="shared" si="166"/>
        <v>0.0029484130684742133</v>
      </c>
      <c r="P88">
        <f t="shared" si="166"/>
        <v>0.004587934562219606</v>
      </c>
      <c r="Q88">
        <f t="shared" si="166"/>
        <v>0.0025171479381215756</v>
      </c>
      <c r="R88">
        <f t="shared" si="166"/>
        <v>0.0035906192960356536</v>
      </c>
    </row>
    <row r="89">
      <c r="B89" t="s">
        <v>552</v>
      </c>
      <c r="C89" s="6"/>
      <c r="D89">
        <f t="shared" ref="D89:R89" si="167">D83/D6</f>
        <v>0.0039278611181462579</v>
      </c>
      <c r="E89">
        <f t="shared" si="167"/>
        <v>0.0022850410810785092</v>
      </c>
      <c r="F89">
        <f t="shared" si="167"/>
        <v>0.0037534954167493108</v>
      </c>
      <c r="G89">
        <f t="shared" si="167"/>
        <v>0.0015716059420284412</v>
      </c>
      <c r="H89">
        <f t="shared" si="167"/>
        <v>0.0038618453738558461</v>
      </c>
      <c r="I89" s="37">
        <f t="shared" si="167"/>
        <v>0.030821986090486093</v>
      </c>
      <c r="J89">
        <f t="shared" si="167"/>
        <v>0.018319826717224298</v>
      </c>
      <c r="K89">
        <f t="shared" si="167"/>
        <v>0.030748822707191276</v>
      </c>
      <c r="L89">
        <f t="shared" si="167"/>
        <v>0.016573014535901598</v>
      </c>
      <c r="M89">
        <f t="shared" si="167"/>
        <v>0.018064351943651656</v>
      </c>
      <c r="N89" s="37">
        <f t="shared" si="167"/>
        <v>0.012687797211429241</v>
      </c>
      <c r="O89">
        <f t="shared" si="167"/>
        <v>0.0075685605848668444</v>
      </c>
      <c r="P89">
        <f t="shared" si="167"/>
        <v>0.012656808218528669</v>
      </c>
      <c r="Q89">
        <f t="shared" si="167"/>
        <v>0.0063741151317158367</v>
      </c>
      <c r="R89">
        <f t="shared" si="167"/>
        <v>0.0092499328027758447</v>
      </c>
    </row>
    <row r="90">
      <c r="B90" t="s">
        <v>553</v>
      </c>
      <c r="C90" s="6"/>
      <c r="D90">
        <f t="shared" ref="D90:R90" si="168">D84/D6</f>
        <v>0.010506827218999315</v>
      </c>
      <c r="E90">
        <f t="shared" si="168"/>
        <v>0.0058700783048790334</v>
      </c>
      <c r="F90">
        <f t="shared" si="168"/>
        <v>0.012360174389423089</v>
      </c>
      <c r="G90">
        <f t="shared" si="168"/>
        <v>0.003901698472283562</v>
      </c>
      <c r="H90">
        <f t="shared" si="168"/>
        <v>0.010012420707328971</v>
      </c>
      <c r="I90" s="37">
        <f t="shared" si="168"/>
        <v>0.082447233407268089</v>
      </c>
      <c r="J90">
        <f t="shared" si="168"/>
        <v>0.047062093654423369</v>
      </c>
      <c r="K90">
        <f t="shared" si="168"/>
        <v>0.10125516851156459</v>
      </c>
      <c r="L90">
        <f t="shared" si="168"/>
        <v>0.040936863699876834</v>
      </c>
      <c r="M90">
        <f t="shared" si="168"/>
        <v>0.046834576207930675</v>
      </c>
      <c r="N90" s="37">
        <f t="shared" si="168"/>
        <v>0.033939207390586874</v>
      </c>
      <c r="O90">
        <f t="shared" si="168"/>
        <v>0.019442995426331666</v>
      </c>
      <c r="P90">
        <f t="shared" si="168"/>
        <v>0.041678579410650202</v>
      </c>
      <c r="Q90">
        <f t="shared" si="168"/>
        <v>0.015824498117814549</v>
      </c>
      <c r="R90">
        <f t="shared" si="168"/>
        <v>0.023981855763283454</v>
      </c>
    </row>
    <row r="91">
      <c r="C91" s="6"/>
    </row>
    <row r="92">
      <c r="A92" t="s">
        <v>697</v>
      </c>
      <c r="B92" t="s">
        <v>678</v>
      </c>
      <c r="C92" s="6" t="s">
        <v>698</v>
      </c>
      <c r="F92" t="s">
        <v>191</v>
      </c>
      <c r="K92" t="s">
        <v>191</v>
      </c>
      <c r="P92" t="s">
        <v>191</v>
      </c>
    </row>
    <row r="93">
      <c r="B93" t="s">
        <v>550</v>
      </c>
      <c r="C93" s="6"/>
      <c r="F93">
        <v>0</v>
      </c>
      <c r="K93">
        <v>0</v>
      </c>
      <c r="P93">
        <v>0</v>
      </c>
    </row>
    <row r="94">
      <c r="A94" t="s">
        <v>699</v>
      </c>
      <c r="B94" t="s">
        <v>551</v>
      </c>
      <c r="C94" s="6"/>
      <c r="F94">
        <f t="shared" ref="F94:F96" si="169">((F65/2))/F35</f>
        <v>0.022099197544360384</v>
      </c>
      <c r="K94">
        <f t="shared" ref="K94:K96" si="170">((K65/2))/K35</f>
        <v>0.022099197544360384</v>
      </c>
      <c r="P94">
        <f t="shared" ref="P94:P96" si="171">((P65/2))/P35</f>
        <v>0.022099197544360384</v>
      </c>
    </row>
    <row r="95">
      <c r="B95" t="s">
        <v>552</v>
      </c>
      <c r="C95" s="6"/>
      <c r="F95">
        <f t="shared" si="169"/>
        <v>0.056568223547215933</v>
      </c>
      <c r="K95">
        <f t="shared" si="170"/>
        <v>0.056568223547215933</v>
      </c>
      <c r="P95">
        <f t="shared" si="171"/>
        <v>0.056568223547215933</v>
      </c>
    </row>
    <row r="96">
      <c r="B96" t="s">
        <v>553</v>
      </c>
      <c r="C96" s="6"/>
      <c r="F96">
        <f t="shared" si="169"/>
        <v>0.1479077434099407</v>
      </c>
      <c r="K96">
        <f t="shared" si="170"/>
        <v>0.1479077434099407</v>
      </c>
      <c r="P96">
        <f t="shared" si="171"/>
        <v>0.1479077434099407</v>
      </c>
    </row>
    <row r="97">
      <c r="C97" s="6"/>
    </row>
    <row r="98">
      <c r="A98" t="s">
        <v>700</v>
      </c>
      <c r="B98" t="s">
        <v>678</v>
      </c>
      <c r="C98" s="6" t="s">
        <v>701</v>
      </c>
    </row>
    <row r="99">
      <c r="B99" t="s">
        <v>550</v>
      </c>
      <c r="C99" s="6"/>
      <c r="D99">
        <v>0</v>
      </c>
      <c r="E99">
        <v>0</v>
      </c>
      <c r="F99">
        <v>0</v>
      </c>
      <c r="G99">
        <v>0</v>
      </c>
      <c r="H99">
        <v>0</v>
      </c>
      <c r="I99" s="37">
        <v>0</v>
      </c>
      <c r="J99">
        <v>0</v>
      </c>
      <c r="K99">
        <v>0</v>
      </c>
      <c r="L99">
        <v>0</v>
      </c>
      <c r="M99">
        <v>0</v>
      </c>
      <c r="N99" s="37">
        <v>0</v>
      </c>
      <c r="O99">
        <v>0</v>
      </c>
      <c r="P99">
        <v>0</v>
      </c>
      <c r="Q99">
        <v>0</v>
      </c>
      <c r="R99">
        <v>0</v>
      </c>
    </row>
    <row r="100">
      <c r="B100" t="s">
        <v>551</v>
      </c>
      <c r="C100" s="6"/>
      <c r="D100">
        <f>D11*(1-(1-D14/100)^(D53/2))</f>
        <v>62233.08923136576</v>
      </c>
      <c r="E100">
        <f>E11*(1-(1-E14/100)^(E53/2))</f>
        <v>22738.712386238902</v>
      </c>
      <c r="F100">
        <v>0</v>
      </c>
      <c r="G100">
        <f>G11*(1-(1-G14/100)^(G53/2))</f>
        <v>277839.98506077268</v>
      </c>
      <c r="H100">
        <v>0</v>
      </c>
      <c r="I100" s="37">
        <f>I11*(1-(1-I14/100)^(I53/2))</f>
        <v>247330.88384495978</v>
      </c>
      <c r="J100">
        <f>J11*(1-(1-J14/100)^(J53/2))</f>
        <v>136373.57608474846</v>
      </c>
      <c r="K100">
        <v>0</v>
      </c>
      <c r="L100">
        <f>L11*(1-(1-L14/100)^(L53/2))</f>
        <v>1036980.0809845531</v>
      </c>
      <c r="M100">
        <v>0</v>
      </c>
      <c r="N100" s="37">
        <f>N11*(1-(1-N14/100)^(N53/2))</f>
        <v>158508.74300095096</v>
      </c>
      <c r="O100">
        <f>O11*(1-(1-O14/100)^(O53/2))</f>
        <v>79568.371148679871</v>
      </c>
      <c r="P100">
        <v>0</v>
      </c>
      <c r="Q100">
        <f>Q11*(1-(1-Q14/100)^(Q53/2))</f>
        <v>549196.00407728855</v>
      </c>
      <c r="R100">
        <v>0</v>
      </c>
    </row>
    <row r="101">
      <c r="B101" t="s">
        <v>552</v>
      </c>
      <c r="C101" s="6"/>
      <c r="D101">
        <f>D11*(1-(1-D14/100)^(D54/2))</f>
        <v>136564.29983070787</v>
      </c>
      <c r="E101">
        <f>E11*(1-(1-E14/100)^(E54/2))</f>
        <v>50050.522477524595</v>
      </c>
      <c r="F101">
        <v>0</v>
      </c>
      <c r="G101">
        <f>G11*(1-(1-G14/100)^(G54/2))</f>
        <v>610080.04415537429</v>
      </c>
      <c r="H101">
        <v>0</v>
      </c>
      <c r="I101" s="37">
        <f>I11*(1-(1-I14/100)^(I54/2))</f>
        <v>537604.20806511631</v>
      </c>
      <c r="J101">
        <f>J11*(1-(1-J14/100)^(J54/2))</f>
        <v>299982.79053517064</v>
      </c>
      <c r="K101">
        <v>0</v>
      </c>
      <c r="L101">
        <f>L11*(1-(1-L14/100)^(L54/2))</f>
        <v>2261149.8250705372</v>
      </c>
      <c r="M101">
        <v>0</v>
      </c>
      <c r="N101" s="37">
        <f>N11*(1-(1-N14/100)^(N54/2))</f>
        <v>346117.78007426538</v>
      </c>
      <c r="O101">
        <f>O11*(1-(1-O14/100)^(O54/2))</f>
        <v>175083.3647770799</v>
      </c>
      <c r="P101">
        <v>0</v>
      </c>
      <c r="Q101">
        <f>Q11*(1-(1-Q14/100)^(Q54/2))</f>
        <v>1202921.0476226539</v>
      </c>
      <c r="R101">
        <v>0</v>
      </c>
    </row>
    <row r="102">
      <c r="B102" t="s">
        <v>553</v>
      </c>
      <c r="C102" s="6"/>
      <c r="D102">
        <f>D11*(1-(1-D14/100)^(D55/2))</f>
        <v>304703.83807945572</v>
      </c>
      <c r="E102">
        <f>E11*(1-(1-E14/100)^(E55/2))</f>
        <v>112454.53307032936</v>
      </c>
      <c r="F102">
        <v>0</v>
      </c>
      <c r="G102">
        <f>G11*(1-(1-G14/100)^(G55/2))</f>
        <v>1363192.0121389702</v>
      </c>
      <c r="H102">
        <v>0</v>
      </c>
      <c r="I102" s="37">
        <f>I11*(1-(1-I14/100)^(I55/2))</f>
        <v>1173930.9720794233</v>
      </c>
      <c r="J102">
        <f>J11*(1-(1-J14/100)^(J55/2))</f>
        <v>673027.2676109582</v>
      </c>
      <c r="K102">
        <v>0</v>
      </c>
      <c r="L102">
        <f>L11*(1-(1-L14/100)^(L55/2))</f>
        <v>4972932.4837904172</v>
      </c>
      <c r="M102">
        <v>0</v>
      </c>
      <c r="N102" s="37">
        <f>N11*(1-(1-N14/100)^(N55/2))</f>
        <v>763645.57318576938</v>
      </c>
      <c r="O102">
        <f>O11*(1-(1-O14/100)^(O55/2))</f>
        <v>393094.65206953627</v>
      </c>
      <c r="P102">
        <v>0</v>
      </c>
      <c r="Q102">
        <f>Q11*(1-(1-Q14/100)^(Q55/2))</f>
        <v>2672659.76234884</v>
      </c>
      <c r="R102">
        <v>0</v>
      </c>
    </row>
    <row r="103">
      <c r="A103" t="s">
        <v>702</v>
      </c>
      <c r="C103" s="6"/>
      <c r="D103" s="52" t="s">
        <v>703</v>
      </c>
      <c r="E103" s="52" t="s">
        <v>703</v>
      </c>
      <c r="F103" s="52" t="s">
        <v>703</v>
      </c>
      <c r="G103" s="52" t="s">
        <v>703</v>
      </c>
      <c r="H103" s="52" t="s">
        <v>703</v>
      </c>
      <c r="I103" s="53" t="s">
        <v>703</v>
      </c>
      <c r="J103" s="52" t="s">
        <v>703</v>
      </c>
      <c r="K103" s="52" t="s">
        <v>703</v>
      </c>
      <c r="L103" s="20" t="s">
        <v>76</v>
      </c>
      <c r="M103" s="52" t="s">
        <v>703</v>
      </c>
      <c r="N103" s="53" t="s">
        <v>703</v>
      </c>
      <c r="O103" s="52" t="s">
        <v>703</v>
      </c>
      <c r="P103" s="52" t="s">
        <v>703</v>
      </c>
      <c r="Q103" s="52" t="s">
        <v>703</v>
      </c>
      <c r="R103" s="52" t="s">
        <v>703</v>
      </c>
    </row>
    <row r="104">
      <c r="C104" s="6"/>
    </row>
    <row r="105">
      <c r="A105" s="30" t="s">
        <v>704</v>
      </c>
      <c r="B105" s="30" t="s">
        <v>678</v>
      </c>
      <c r="C105" s="54" t="s">
        <v>705</v>
      </c>
      <c r="D105" s="30"/>
      <c r="E105" s="30"/>
      <c r="F105" s="30"/>
      <c r="G105" s="30"/>
      <c r="H105" s="30"/>
      <c r="I105" s="39"/>
      <c r="J105" s="30"/>
      <c r="K105" s="30"/>
      <c r="L105" s="30"/>
      <c r="M105" s="30"/>
      <c r="N105" s="39"/>
      <c r="O105" s="30"/>
      <c r="P105" s="30"/>
      <c r="Q105" s="30"/>
      <c r="R105" s="30"/>
    </row>
    <row r="106">
      <c r="A106" s="30"/>
      <c r="B106" s="30" t="s">
        <v>550</v>
      </c>
      <c r="C106" s="54"/>
      <c r="D106" s="30">
        <f t="shared" ref="D106:R106" si="172">D34</f>
        <v>11760000</v>
      </c>
      <c r="E106" s="30">
        <f t="shared" si="172"/>
        <v>107200000</v>
      </c>
      <c r="F106" s="30">
        <f t="shared" si="172"/>
        <v>140800000</v>
      </c>
      <c r="G106" s="30">
        <f t="shared" si="172"/>
        <v>65600000</v>
      </c>
      <c r="H106" s="30">
        <f t="shared" si="172"/>
        <v>159956100</v>
      </c>
      <c r="I106" s="39">
        <f t="shared" si="172"/>
        <v>11760000</v>
      </c>
      <c r="J106" s="30">
        <f t="shared" si="172"/>
        <v>107200000</v>
      </c>
      <c r="K106" s="30">
        <f t="shared" si="172"/>
        <v>140800000</v>
      </c>
      <c r="L106" s="30">
        <f t="shared" si="172"/>
        <v>65600000</v>
      </c>
      <c r="M106" s="30">
        <f t="shared" si="172"/>
        <v>159956100</v>
      </c>
      <c r="N106" s="39">
        <f t="shared" si="172"/>
        <v>11760000</v>
      </c>
      <c r="O106" s="30">
        <f t="shared" si="172"/>
        <v>107200000</v>
      </c>
      <c r="P106" s="30">
        <f t="shared" si="172"/>
        <v>140800000</v>
      </c>
      <c r="Q106" s="30">
        <f t="shared" si="172"/>
        <v>65600000</v>
      </c>
      <c r="R106" s="30">
        <f t="shared" si="172"/>
        <v>159956100</v>
      </c>
    </row>
    <row r="107">
      <c r="A107" s="30"/>
      <c r="B107" s="30" t="s">
        <v>551</v>
      </c>
      <c r="C107" s="54"/>
      <c r="D107" s="30">
        <f>D11-D65</f>
        <v>11388155.295529554</v>
      </c>
      <c r="E107" s="30">
        <f t="shared" ref="E107:E109" si="173">E35-E65</f>
        <v>104816618.46153846</v>
      </c>
      <c r="F107" s="30">
        <f t="shared" ref="F107:F109" si="174">F35-(F65)</f>
        <v>130539559.99236287</v>
      </c>
      <c r="G107" s="30">
        <f t="shared" ref="G107:H109" si="175">G35-G65</f>
        <v>64707661.952</v>
      </c>
      <c r="H107" s="30">
        <f t="shared" si="175"/>
        <v>156046323.62544698</v>
      </c>
      <c r="I107" s="39">
        <f>I11-I65</f>
        <v>11388155.295529554</v>
      </c>
      <c r="J107" s="30">
        <f t="shared" ref="J107:J109" si="176">J35-J65</f>
        <v>104816618.46153846</v>
      </c>
      <c r="K107" s="30">
        <f t="shared" ref="K107:K109" si="177">K35-(K65)</f>
        <v>130539559.99236287</v>
      </c>
      <c r="L107" s="30">
        <f t="shared" ref="L107:L109" si="178">L35-L100</f>
        <v>64563019.919015445</v>
      </c>
      <c r="M107" s="30">
        <f t="shared" ref="M107:M109" si="179">M35-M65</f>
        <v>156046323.62544698</v>
      </c>
      <c r="N107" s="39">
        <f>N11-N65</f>
        <v>11388155.295529554</v>
      </c>
      <c r="O107" s="30">
        <f t="shared" ref="O107:O109" si="180">O35-O65</f>
        <v>104816618.46153846</v>
      </c>
      <c r="P107" s="30">
        <f t="shared" ref="P107:P109" si="181">P35-(P65)</f>
        <v>130539559.99236287</v>
      </c>
      <c r="Q107" s="30">
        <f t="shared" ref="Q107:R109" si="182">Q35-Q65</f>
        <v>64707661.952</v>
      </c>
      <c r="R107" s="30">
        <f t="shared" si="182"/>
        <v>156046323.62544698</v>
      </c>
    </row>
    <row r="108">
      <c r="A108" s="30"/>
      <c r="B108" s="30" t="s">
        <v>552</v>
      </c>
      <c r="C108" s="54"/>
      <c r="D108" s="30">
        <f>D11-D66</f>
        <v>10837611.761176117</v>
      </c>
      <c r="E108" s="30">
        <f t="shared" si="173"/>
        <v>101287846.15384616</v>
      </c>
      <c r="F108" s="30">
        <f t="shared" si="174"/>
        <v>117378164.95415774</v>
      </c>
      <c r="G108" s="30">
        <f t="shared" si="175"/>
        <v>63386489.600000001</v>
      </c>
      <c r="H108" s="30">
        <f t="shared" si="175"/>
        <v>150257611.08523908</v>
      </c>
      <c r="I108" s="39">
        <f>I11-I66</f>
        <v>10837611.761176117</v>
      </c>
      <c r="J108" s="30">
        <f t="shared" si="176"/>
        <v>101287846.15384616</v>
      </c>
      <c r="K108" s="30">
        <f t="shared" si="177"/>
        <v>117378164.95415774</v>
      </c>
      <c r="L108" s="30">
        <f t="shared" si="178"/>
        <v>63338850.174929462</v>
      </c>
      <c r="M108" s="30">
        <f t="shared" si="179"/>
        <v>150257611.08523908</v>
      </c>
      <c r="N108" s="39">
        <f>N11-N66</f>
        <v>10837611.761176117</v>
      </c>
      <c r="O108" s="30">
        <f t="shared" si="180"/>
        <v>101287846.15384616</v>
      </c>
      <c r="P108" s="30">
        <f t="shared" si="181"/>
        <v>117378164.95415774</v>
      </c>
      <c r="Q108" s="30">
        <f t="shared" si="182"/>
        <v>63386489.600000001</v>
      </c>
      <c r="R108" s="30">
        <f t="shared" si="182"/>
        <v>150257611.08523908</v>
      </c>
    </row>
    <row r="109">
      <c r="A109" s="30"/>
      <c r="B109" s="30" t="s">
        <v>553</v>
      </c>
      <c r="C109" s="54"/>
      <c r="D109" s="30">
        <f>D11-D67</f>
        <v>9579163.0363036301</v>
      </c>
      <c r="E109" s="30">
        <f t="shared" si="173"/>
        <v>93221673.84615384</v>
      </c>
      <c r="F109" s="30">
        <f t="shared" si="174"/>
        <v>84276802.537396595</v>
      </c>
      <c r="G109" s="30">
        <f t="shared" si="175"/>
        <v>60366514.688000001</v>
      </c>
      <c r="H109" s="30">
        <f t="shared" si="175"/>
        <v>137025600.42611226</v>
      </c>
      <c r="I109" s="39">
        <f>I11-I67</f>
        <v>9579163.0363036301</v>
      </c>
      <c r="J109" s="30">
        <f t="shared" si="176"/>
        <v>93221673.84615384</v>
      </c>
      <c r="K109" s="30">
        <f t="shared" si="177"/>
        <v>84276802.537396595</v>
      </c>
      <c r="L109" s="30">
        <f t="shared" si="178"/>
        <v>60627067.51620958</v>
      </c>
      <c r="M109" s="30">
        <f t="shared" si="179"/>
        <v>137025600.42611226</v>
      </c>
      <c r="N109" s="39">
        <f>N11-N67</f>
        <v>9579163.0363036301</v>
      </c>
      <c r="O109" s="30">
        <f t="shared" si="180"/>
        <v>93221673.84615384</v>
      </c>
      <c r="P109" s="30">
        <f t="shared" si="181"/>
        <v>84276802.537396595</v>
      </c>
      <c r="Q109" s="30">
        <f t="shared" si="182"/>
        <v>60366514.688000001</v>
      </c>
      <c r="R109" s="30">
        <f t="shared" si="182"/>
        <v>137025600.42611226</v>
      </c>
    </row>
    <row r="110">
      <c r="C110" s="6"/>
    </row>
    <row r="111">
      <c r="A111" s="30" t="s">
        <v>706</v>
      </c>
      <c r="B111" s="30" t="s">
        <v>678</v>
      </c>
      <c r="C111" s="54" t="s">
        <v>707</v>
      </c>
      <c r="D111" s="30"/>
      <c r="E111" s="30"/>
      <c r="F111" s="30"/>
      <c r="G111" s="30"/>
      <c r="H111" s="30"/>
      <c r="I111" s="39"/>
      <c r="J111" s="30"/>
      <c r="K111" s="30"/>
      <c r="L111" s="30"/>
      <c r="M111" s="30"/>
      <c r="N111" s="39"/>
      <c r="O111" s="30"/>
      <c r="P111" s="30"/>
      <c r="Q111" s="30"/>
      <c r="R111" s="30"/>
    </row>
    <row r="112">
      <c r="A112" s="30" t="s">
        <v>708</v>
      </c>
      <c r="B112" s="30" t="s">
        <v>550</v>
      </c>
      <c r="C112" s="54"/>
      <c r="D112" s="30"/>
      <c r="E112" s="30"/>
      <c r="F112" s="30"/>
      <c r="G112" s="30"/>
      <c r="H112" s="30"/>
      <c r="I112" s="39"/>
      <c r="J112" s="30"/>
      <c r="K112" s="30"/>
      <c r="L112" s="30"/>
      <c r="M112" s="30"/>
      <c r="N112" s="39"/>
      <c r="O112" s="30"/>
      <c r="P112" s="30"/>
      <c r="Q112" s="30"/>
      <c r="R112" s="30"/>
    </row>
    <row r="113">
      <c r="A113" s="30"/>
      <c r="B113" s="30" t="s">
        <v>551</v>
      </c>
      <c r="C113" s="54"/>
      <c r="D113" s="30">
        <f>(0.0016*T35+0.2036)/(1000*assumptions!F6)</f>
        <v>0.0054904612765957449</v>
      </c>
      <c r="E113" s="30">
        <f>(0.0006*T35+0.2782)/(1000*assumptions!F6)</f>
        <v>0.0022736570212765956</v>
      </c>
      <c r="F113" s="30">
        <f>(0.001*T35+0.1826)/(1000*assumptions!F6)</f>
        <v>0.0034904212765957446</v>
      </c>
      <c r="G113" s="30">
        <f>(0.0003*T35+0.599)/(1000*assumptions!F6)</f>
        <v>0.0016260838297872341</v>
      </c>
      <c r="H113" s="30">
        <f>((H18+H19)*H53)/(H35*H6)</f>
        <v>0.001045165659289761</v>
      </c>
      <c r="I113" s="39">
        <f>(0.0016*T35+0.2036)/(1000*assumptions!F6)</f>
        <v>0.0054904612765957449</v>
      </c>
      <c r="J113" s="30">
        <f>(0.0006*T35+0.2782)/(1000*assumptions!F6)</f>
        <v>0.0022736570212765956</v>
      </c>
      <c r="K113" s="30">
        <f>(0.001*T35+0.1826)/(1000*assumptions!F6)</f>
        <v>0.0034904212765957446</v>
      </c>
      <c r="L113" s="30">
        <f>(0.0003*T35+0.599)/(1000*assumptions!F6)</f>
        <v>0.0016260838297872341</v>
      </c>
      <c r="M113" s="30">
        <f>((M18+M19)*M53)/(M35*M6)</f>
        <v>0.001045165659289761</v>
      </c>
      <c r="N113" s="39">
        <f>(0.0016*T35+0.2036)/(1000*assumptions!F6)</f>
        <v>0.0054904612765957449</v>
      </c>
      <c r="O113" s="30">
        <f>(0.0006*T35+0.2782)/(1000*assumptions!F6)</f>
        <v>0.0022736570212765956</v>
      </c>
      <c r="P113" s="30">
        <f>(0.001*T35+0.1826)/(1000*assumptions!F6)</f>
        <v>0.0034904212765957446</v>
      </c>
      <c r="Q113" s="30">
        <f>(0.0003*T35+0.599)/(1000*assumptions!F6)</f>
        <v>0.0016260838297872341</v>
      </c>
      <c r="R113" s="30">
        <f>((R18+R19)*R53)/(R35*R6)</f>
        <v>0.001045165659289761</v>
      </c>
    </row>
    <row r="114">
      <c r="A114" s="30"/>
      <c r="B114" s="30" t="s">
        <v>552</v>
      </c>
      <c r="C114" s="54"/>
      <c r="D114" s="30">
        <f>(0.0016*T36+0.2036)/(1000*assumptions!F6)</f>
        <v>0.013298808510638298</v>
      </c>
      <c r="E114" s="30">
        <f>(0.0006*T36+0.2782)/(1000*assumptions!F6)</f>
        <v>0.0052017872340425521</v>
      </c>
      <c r="F114" s="30">
        <f>(0.001*T36+0.1826)/(1000*assumptions!F6)</f>
        <v>0.0083706382978723411</v>
      </c>
      <c r="G114" s="30">
        <f>(0.0003*T36+0.599)/(1000*assumptions!F6)</f>
        <v>0.0030901489361702121</v>
      </c>
      <c r="H114" s="30">
        <f>((H18+H19)*H54)/(H36*H6)</f>
        <v>0.0023332062455381046</v>
      </c>
      <c r="I114" s="39">
        <f>(0.0016*T36+0.2036)/(1000*assumptions!F6)</f>
        <v>0.013298808510638298</v>
      </c>
      <c r="J114" s="30">
        <f>(0.0006*T36+0.2782)/(1000*assumptions!F6)</f>
        <v>0.0052017872340425521</v>
      </c>
      <c r="K114" s="30">
        <f>(0.001*T36+0.1826)/(1000*assumptions!F6)</f>
        <v>0.0083706382978723411</v>
      </c>
      <c r="L114" s="30">
        <f>(0.0003*T36+0.599)/(1000*assumptions!F6)</f>
        <v>0.0030901489361702121</v>
      </c>
      <c r="M114" s="30">
        <f>((M18+M19)*M54)/(M36*M6)</f>
        <v>0.0023332062455381046</v>
      </c>
      <c r="N114" s="39">
        <f>(0.0016*T36+0.2036)/(1000*assumptions!F6)</f>
        <v>0.013298808510638298</v>
      </c>
      <c r="O114" s="30">
        <f>(0.0006*T36+0.2782)/(1000*assumptions!F6)</f>
        <v>0.0052017872340425521</v>
      </c>
      <c r="P114" s="30">
        <f>(0.001*T36+0.1826)/(1000*assumptions!F6)</f>
        <v>0.0083706382978723411</v>
      </c>
      <c r="Q114" s="30">
        <f>(0.0003*T36+0.599)/(1000*assumptions!F6)</f>
        <v>0.0030901489361702121</v>
      </c>
      <c r="R114" s="30">
        <f>((R18+R19)*R54)/(R36*R6)</f>
        <v>0.0023332062455381046</v>
      </c>
    </row>
    <row r="115">
      <c r="A115" s="30"/>
      <c r="B115" s="30" t="s">
        <v>553</v>
      </c>
      <c r="C115" s="54"/>
      <c r="D115" s="30">
        <f>(0.0016*T37+0.2036)/(1000*assumptions!F6)</f>
        <v>0.031147360000000002</v>
      </c>
      <c r="E115" s="30">
        <f>(0.0006*T37+0.2782)/(1000*assumptions!F6)</f>
        <v>0.011894994042553191</v>
      </c>
      <c r="F115" s="30">
        <f>(0.001*T37+0.1826)/(1000*assumptions!F6)</f>
        <v>0.019525982978723405</v>
      </c>
      <c r="G115" s="30">
        <f>(0.0003*T37+0.599)/(1000*assumptions!F6)</f>
        <v>0.0064367523404255311</v>
      </c>
      <c r="H115" s="30">
        <f>((H18+H19)*H55)/(H37*H6)</f>
        <v>0.0052774475856019387</v>
      </c>
      <c r="I115" s="39">
        <f>(0.0016*T37+0.2036)/(1000*assumptions!F6)</f>
        <v>0.031147360000000002</v>
      </c>
      <c r="J115" s="30">
        <f>(0.0006*T37+0.2782)/(1000*assumptions!F6)</f>
        <v>0.011894994042553191</v>
      </c>
      <c r="K115" s="30">
        <f>(0.001*T37+0.1826)/(1000*assumptions!F6)</f>
        <v>0.019525982978723405</v>
      </c>
      <c r="L115" s="30">
        <f>(0.0003*T37+0.599)/(1000*assumptions!F6)</f>
        <v>0.0064367523404255311</v>
      </c>
      <c r="M115" s="30">
        <f>((M18+M19)*M55)/(M37*M6)</f>
        <v>0.0052774475856019387</v>
      </c>
      <c r="N115" s="39">
        <f>(0.0016*T37+0.2036)/(1000*assumptions!F6)</f>
        <v>0.031147360000000002</v>
      </c>
      <c r="O115" s="30">
        <f>(0.0006*T37+0.2782)/(1000*assumptions!F6)</f>
        <v>0.011894994042553191</v>
      </c>
      <c r="P115" s="30">
        <f>(0.001*T37+0.1826)/(1000*assumptions!F6)</f>
        <v>0.019525982978723405</v>
      </c>
      <c r="Q115" s="30">
        <f>(0.0003*T37+0.599)/(1000*assumptions!F6)</f>
        <v>0.0064367523404255311</v>
      </c>
      <c r="R115" s="30">
        <f>((R18+R19)*R55)/(R37*R6)</f>
        <v>0.0052774475856019387</v>
      </c>
    </row>
    <row r="117">
      <c r="A117" s="30" t="s">
        <v>709</v>
      </c>
      <c r="B117" s="30" t="s">
        <v>678</v>
      </c>
      <c r="C117" s="54" t="s">
        <v>707</v>
      </c>
      <c r="D117" s="30"/>
      <c r="E117" s="30"/>
      <c r="F117" s="30"/>
      <c r="G117" s="30"/>
      <c r="H117" s="30"/>
      <c r="I117" s="39"/>
      <c r="J117" s="30"/>
      <c r="K117" s="30"/>
      <c r="L117" s="30"/>
      <c r="M117" s="30"/>
      <c r="N117" s="39"/>
      <c r="O117" s="30"/>
      <c r="P117" s="30"/>
      <c r="Q117" s="30"/>
      <c r="R117" s="30"/>
    </row>
    <row r="118">
      <c r="A118" s="30"/>
      <c r="B118" s="30" t="s">
        <v>550</v>
      </c>
      <c r="C118" s="54"/>
      <c r="D118" s="30">
        <f t="shared" ref="D118:R118" si="183">0+D70*D40</f>
        <v>0</v>
      </c>
      <c r="E118" s="30">
        <f t="shared" si="183"/>
        <v>0</v>
      </c>
      <c r="F118" s="30">
        <f t="shared" si="183"/>
        <v>0</v>
      </c>
      <c r="G118" s="30">
        <f t="shared" si="183"/>
        <v>0</v>
      </c>
      <c r="H118" s="30">
        <f t="shared" si="183"/>
        <v>0</v>
      </c>
      <c r="I118" s="39">
        <f t="shared" si="183"/>
        <v>0</v>
      </c>
      <c r="J118" s="30">
        <f t="shared" si="183"/>
        <v>0</v>
      </c>
      <c r="K118" s="30">
        <f t="shared" si="183"/>
        <v>0</v>
      </c>
      <c r="L118" s="30">
        <f t="shared" si="183"/>
        <v>0</v>
      </c>
      <c r="M118" s="30">
        <f t="shared" si="183"/>
        <v>0</v>
      </c>
      <c r="N118" s="39">
        <f t="shared" si="183"/>
        <v>0</v>
      </c>
      <c r="O118" s="30">
        <f t="shared" si="183"/>
        <v>0</v>
      </c>
      <c r="P118" s="30">
        <f t="shared" si="183"/>
        <v>0</v>
      </c>
      <c r="Q118" s="30">
        <f t="shared" si="183"/>
        <v>0</v>
      </c>
      <c r="R118" s="30">
        <f t="shared" si="183"/>
        <v>0</v>
      </c>
    </row>
    <row r="119">
      <c r="A119" s="30"/>
      <c r="B119" s="30" t="s">
        <v>551</v>
      </c>
      <c r="C119" s="54"/>
      <c r="D119" s="30">
        <f>D113*D41*D6+D71*D65</f>
        <v>2655968.6009043301</v>
      </c>
      <c r="E119" s="30">
        <f>E113*E41*E6+E71*E65</f>
        <v>1724428.2154024648</v>
      </c>
      <c r="F119" s="30">
        <f>F113*F41*F6+F71*F65</f>
        <v>1300142.3706545755</v>
      </c>
      <c r="G119" s="30">
        <f>G113*G41*G6+G71*G65</f>
        <v>2019160.7563522009</v>
      </c>
      <c r="H119" s="30">
        <f t="shared" ref="H119:H121" si="184">(H18+H19)*H53+H71*H65</f>
        <v>824497.7330554073</v>
      </c>
      <c r="I119" s="39">
        <f>I113*I41*I6+I71*I65</f>
        <v>6572252.4866311466</v>
      </c>
      <c r="J119" s="30">
        <f>J113*J41*J6+J71*J65</f>
        <v>5129072.0187439416</v>
      </c>
      <c r="K119" s="30">
        <f>K113*K41*K6+K71*K65</f>
        <v>3922789.0268153772</v>
      </c>
      <c r="L119" s="30">
        <f>L113*L41*L6+L71*L65</f>
        <v>7335547.5353773301</v>
      </c>
      <c r="M119" s="30">
        <f t="shared" ref="M119:M121" si="185">(M18+M19)*M53+M71*M65</f>
        <v>2592889.7343545291</v>
      </c>
      <c r="N119" s="39">
        <f>N113*N41*N6+N71*N65</f>
        <v>3931577.9244054453</v>
      </c>
      <c r="O119" s="30">
        <f>O113*O41*O6+O71*O65</f>
        <v>2846270.586519477</v>
      </c>
      <c r="P119" s="30">
        <f>P113*P41*P6+P71*P65</f>
        <v>2165115.9009665321</v>
      </c>
      <c r="Q119" s="30">
        <f>Q113*Q41*Q6+Q71*Q65</f>
        <v>3723595.0087032029</v>
      </c>
      <c r="R119" s="30">
        <f>(R18+R19)*R53+R71*R65</f>
        <v>1495382.8803199059</v>
      </c>
    </row>
    <row r="120">
      <c r="A120" s="30"/>
      <c r="B120" s="30" t="s">
        <v>552</v>
      </c>
      <c r="C120" s="54"/>
      <c r="D120" s="30">
        <f>D114*D42*D6+D72*D66</f>
        <v>6222576.2593024466</v>
      </c>
      <c r="E120" s="30">
        <f>E114*E42*E6+E72*E66</f>
        <v>3943288.515723655</v>
      </c>
      <c r="F120" s="30">
        <f>F114*F42*F6+F72*F66</f>
        <v>2921824.0461141369</v>
      </c>
      <c r="G120" s="30">
        <f>G114*G42*G6+G72*G66</f>
        <v>4104059.4042317807</v>
      </c>
      <c r="H120" s="30">
        <f t="shared" si="184"/>
        <v>1430990.1322386088</v>
      </c>
      <c r="I120" s="39">
        <f>I114*I42*I6+I72*I66</f>
        <v>15937207.535911107</v>
      </c>
      <c r="J120" s="30">
        <f>J114*J42*J6+J72*J66</f>
        <v>12388758.798967607</v>
      </c>
      <c r="K120" s="30">
        <f>K114*K42*K6+K72*K66</f>
        <v>9427492.679149</v>
      </c>
      <c r="L120" s="30">
        <f>L114*L42*L6+L72*L66</f>
        <v>17297807.848926418</v>
      </c>
      <c r="M120" s="30">
        <f t="shared" si="185"/>
        <v>5817617.0332495803</v>
      </c>
      <c r="N120" s="39">
        <f>N114*N42*N6+N72*N66</f>
        <v>9386819.351071503</v>
      </c>
      <c r="O120" s="30">
        <f>O114*O42*O6+O72*O66</f>
        <v>6726101.3311065594</v>
      </c>
      <c r="P120" s="30">
        <f>P114*P42*P6+P72*P66</f>
        <v>5067454.7399543151</v>
      </c>
      <c r="Q120" s="30">
        <f>Q114*Q42*Q6+Q72*Q66</f>
        <v>8332034.3876487883</v>
      </c>
      <c r="R120" s="30">
        <f>(R18+R19)*R54+R72*R66</f>
        <v>3624115.8308617901</v>
      </c>
    </row>
    <row r="121">
      <c r="A121" s="30"/>
      <c r="B121" s="30" t="s">
        <v>553</v>
      </c>
      <c r="C121" s="54"/>
      <c r="D121" s="30">
        <f>D115*D43*D6+D73*D67</f>
        <v>13299078.309681924</v>
      </c>
      <c r="E121" s="30">
        <f>E115*E43*E6+E73*E67</f>
        <v>8611666.8571733981</v>
      </c>
      <c r="F121" s="30">
        <f>F115*F43*F6+F73*F67</f>
        <v>5517295.7056711167</v>
      </c>
      <c r="G121" s="30">
        <f>G115*G43*G6+G73*G67</f>
        <v>8668003.3727301247</v>
      </c>
      <c r="H121" s="30">
        <f t="shared" si="184"/>
        <v>2821732.2450795933</v>
      </c>
      <c r="I121" s="39">
        <f>I115*I43*I6+I73*I67</f>
        <v>36267743.872593775</v>
      </c>
      <c r="J121" s="30">
        <f>J115*J43*J6+J73*J67</f>
        <v>28579607.681074522</v>
      </c>
      <c r="K121" s="30">
        <f>K115*K43*K6+K73*K67</f>
        <v>20898891.037559815</v>
      </c>
      <c r="L121" s="30">
        <f>L115*L43*L6+L73*L67</f>
        <v>39890603.030033343</v>
      </c>
      <c r="M121" s="30">
        <f t="shared" si="185"/>
        <v>13193198.065012038</v>
      </c>
      <c r="N121" s="39">
        <f>N115*N43*N6+N73*N67</f>
        <v>20780416.434124805</v>
      </c>
      <c r="O121" s="30">
        <f>O115*O43*O6+O73*O67</f>
        <v>15191175.132965457</v>
      </c>
      <c r="P121" s="30">
        <f>P115*P43*P6+P73*P67</f>
        <v>10590290.493131317</v>
      </c>
      <c r="Q121" s="30">
        <f>Q115*Q43*Q6+Q73*Q67</f>
        <v>18664362.538341619</v>
      </c>
      <c r="R121" s="30">
        <f>(R18+R19)*R55+R73*R67</f>
        <v>8490036.6891452577</v>
      </c>
    </row>
    <row r="123" ht="15.75">
      <c r="A123" s="55" t="s">
        <v>710</v>
      </c>
      <c r="B123" s="55" t="s">
        <v>678</v>
      </c>
      <c r="C123" s="56" t="s">
        <v>711</v>
      </c>
      <c r="D123" s="37" t="s">
        <v>646</v>
      </c>
      <c r="E123" t="s">
        <v>647</v>
      </c>
      <c r="F123" t="s">
        <v>648</v>
      </c>
      <c r="G123" t="s">
        <v>649</v>
      </c>
      <c r="H123" t="s">
        <v>558</v>
      </c>
      <c r="I123" s="37" t="s">
        <v>646</v>
      </c>
      <c r="J123" t="s">
        <v>647</v>
      </c>
      <c r="K123" t="s">
        <v>648</v>
      </c>
      <c r="L123" t="s">
        <v>649</v>
      </c>
      <c r="M123" t="s">
        <v>558</v>
      </c>
      <c r="N123" s="37" t="s">
        <v>712</v>
      </c>
      <c r="O123" t="s">
        <v>713</v>
      </c>
      <c r="P123" t="s">
        <v>191</v>
      </c>
      <c r="Q123" t="s">
        <v>714</v>
      </c>
      <c r="R123" t="s">
        <v>715</v>
      </c>
    </row>
    <row r="124">
      <c r="A124" s="55" t="s">
        <v>716</v>
      </c>
      <c r="B124" s="55" t="s">
        <v>550</v>
      </c>
      <c r="C124" s="56"/>
      <c r="D124" s="55"/>
      <c r="E124" s="55"/>
      <c r="F124" s="55"/>
      <c r="G124" s="55"/>
      <c r="H124" s="55"/>
      <c r="I124" s="57"/>
      <c r="J124" s="55"/>
      <c r="K124" s="55"/>
      <c r="L124" s="55"/>
      <c r="M124" s="55"/>
    </row>
    <row r="125">
      <c r="A125" s="55"/>
      <c r="B125" s="55" t="s">
        <v>551</v>
      </c>
      <c r="C125" s="56"/>
      <c r="D125" s="55">
        <f t="shared" ref="D125:D127" si="186">D88/T35</f>
        <v>4.8634813270705314e-07</v>
      </c>
      <c r="E125" s="55">
        <f t="shared" ref="E125:E127" si="187">E88/T35</f>
        <v>2.8729768385472485e-07</v>
      </c>
      <c r="F125" s="55">
        <f t="shared" ref="F125:F127" si="188">F88/T35</f>
        <v>4.3912886168277562e-07</v>
      </c>
      <c r="G125" s="55">
        <f t="shared" ref="G125:G127" si="189">G88/T35</f>
        <v>2.0030674604001058e-07</v>
      </c>
      <c r="H125" s="55">
        <f t="shared" ref="H125:H127" si="190">H88/T35</f>
        <v>4.838254845893788e-07</v>
      </c>
      <c r="I125" s="57">
        <f t="shared" ref="I125:I127" si="191">I88/T35</f>
        <v>3.816381213729181e-06</v>
      </c>
      <c r="J125" s="55">
        <f t="shared" ref="J125:J127" si="192">J88/T35</f>
        <v>2.3033475538191487e-06</v>
      </c>
      <c r="K125" s="55">
        <f t="shared" ref="K125:K127" si="193">K88/T35</f>
        <v>3.5973656590177243e-06</v>
      </c>
      <c r="L125" s="55">
        <f t="shared" ref="L125:L127" si="194">L88/T35</f>
        <v>2.1154305461009042e-06</v>
      </c>
      <c r="M125" s="55">
        <f t="shared" ref="M125:M127" si="195">M88/T35</f>
        <v>2.263165141747747e-06</v>
      </c>
      <c r="N125" s="57">
        <f t="shared" ref="N125:N127" si="196">N88/T35</f>
        <v>1.5710042428528131e-06</v>
      </c>
      <c r="O125" s="55">
        <f t="shared" ref="O125:O127" si="197">O88/T35</f>
        <v>9.5159336265416458e-07</v>
      </c>
      <c r="P125" s="55">
        <f t="shared" ref="P125:P127" si="198">P88/T35</f>
        <v>1.4807450571907547e-06</v>
      </c>
      <c r="Q125" s="55">
        <f t="shared" ref="Q125:Q127" si="199">Q88/T35</f>
        <v>8.1240355917112452e-07</v>
      </c>
      <c r="R125" s="55">
        <f t="shared" ref="R125:R127" si="200">R88/T35</f>
        <v>1.158863907659206e-06</v>
      </c>
    </row>
    <row r="126">
      <c r="A126" s="55"/>
      <c r="B126" s="55" t="s">
        <v>552</v>
      </c>
      <c r="C126" s="56"/>
      <c r="D126" s="55">
        <f t="shared" si="186"/>
        <v>5.1105429729452467e-07</v>
      </c>
      <c r="E126" s="55">
        <f t="shared" si="187"/>
        <v>2.9730686214558136e-07</v>
      </c>
      <c r="F126" s="55">
        <f t="shared" si="188"/>
        <v>4.8836756313582335e-07</v>
      </c>
      <c r="G126" s="55">
        <f t="shared" si="189"/>
        <v>2.0448176403607186e-07</v>
      </c>
      <c r="H126" s="55">
        <f t="shared" si="190"/>
        <v>5.0246498397770513e-07</v>
      </c>
      <c r="I126" s="57">
        <f t="shared" si="191"/>
        <v>4.0102508639941309e-06</v>
      </c>
      <c r="J126" s="55">
        <f t="shared" si="192"/>
        <v>2.3835939937578777e-06</v>
      </c>
      <c r="K126" s="55">
        <f t="shared" si="193"/>
        <v>4.0007315708437994e-06</v>
      </c>
      <c r="L126" s="55">
        <f t="shared" si="194"/>
        <v>2.1563161331158237e-06</v>
      </c>
      <c r="M126" s="55">
        <f t="shared" si="195"/>
        <v>2.3503541522875504e-06</v>
      </c>
      <c r="N126" s="57">
        <f t="shared" si="196"/>
        <v>1.6508102229344037e-06</v>
      </c>
      <c r="O126" s="55">
        <f t="shared" si="197"/>
        <v>9.8474597112426087e-07</v>
      </c>
      <c r="P126" s="55">
        <f t="shared" si="198"/>
        <v>1.6467782428021376e-06</v>
      </c>
      <c r="Q126" s="55">
        <f t="shared" si="199"/>
        <v>8.2933658587470878e-07</v>
      </c>
      <c r="R126" s="55">
        <f t="shared" si="200"/>
        <v>1.2035094333414667e-06</v>
      </c>
    </row>
    <row r="127">
      <c r="A127" s="55"/>
      <c r="B127" s="55" t="s">
        <v>553</v>
      </c>
      <c r="C127" s="56"/>
      <c r="D127" s="55">
        <f t="shared" si="186"/>
        <v>5.7819331834819199e-07</v>
      </c>
      <c r="E127" s="55">
        <f t="shared" si="187"/>
        <v>3.2303187092715809e-07</v>
      </c>
      <c r="F127" s="55">
        <f t="shared" si="188"/>
        <v>6.8018347467062684e-07</v>
      </c>
      <c r="G127" s="55">
        <f t="shared" si="189"/>
        <v>2.1471143855914309e-07</v>
      </c>
      <c r="H127" s="55">
        <f t="shared" si="190"/>
        <v>5.5098600489026143e-07</v>
      </c>
      <c r="I127" s="57">
        <f t="shared" si="191"/>
        <v>4.5370917860126799e-06</v>
      </c>
      <c r="J127" s="55">
        <f t="shared" si="192"/>
        <v>2.589838733548342e-06</v>
      </c>
      <c r="K127" s="55">
        <f t="shared" si="193"/>
        <v>5.5720971384911376e-06</v>
      </c>
      <c r="L127" s="55">
        <f t="shared" si="194"/>
        <v>2.2527658038002589e-06</v>
      </c>
      <c r="M127" s="55">
        <f t="shared" si="195"/>
        <v>2.5773183918097972e-06</v>
      </c>
      <c r="N127" s="57">
        <f t="shared" si="196"/>
        <v>1.867683034492678e-06</v>
      </c>
      <c r="O127" s="55">
        <f t="shared" si="197"/>
        <v>1.069952880147401e-06</v>
      </c>
      <c r="P127" s="55">
        <f t="shared" si="198"/>
        <v>2.293582604071567e-06</v>
      </c>
      <c r="Q127" s="55">
        <f t="shared" si="199"/>
        <v>8.7082607215514246e-07</v>
      </c>
      <c r="R127" s="55">
        <f t="shared" si="200"/>
        <v>1.319727494789926e-06</v>
      </c>
    </row>
    <row r="129" ht="15.75">
      <c r="A129" s="55" t="s">
        <v>717</v>
      </c>
      <c r="B129" s="55" t="s">
        <v>678</v>
      </c>
      <c r="C129" s="55" t="s">
        <v>711</v>
      </c>
      <c r="D129" s="37" t="s">
        <v>646</v>
      </c>
      <c r="E129" t="s">
        <v>647</v>
      </c>
      <c r="F129" t="s">
        <v>648</v>
      </c>
      <c r="G129" t="s">
        <v>649</v>
      </c>
      <c r="H129" t="s">
        <v>558</v>
      </c>
      <c r="I129" s="37" t="s">
        <v>646</v>
      </c>
      <c r="J129" t="s">
        <v>647</v>
      </c>
      <c r="K129" t="s">
        <v>648</v>
      </c>
      <c r="L129" t="s">
        <v>649</v>
      </c>
      <c r="M129" t="s">
        <v>558</v>
      </c>
      <c r="N129" s="37" t="s">
        <v>712</v>
      </c>
      <c r="O129" t="s">
        <v>713</v>
      </c>
      <c r="P129" t="s">
        <v>191</v>
      </c>
      <c r="Q129" t="s">
        <v>714</v>
      </c>
      <c r="R129" t="s">
        <v>715</v>
      </c>
    </row>
    <row r="130">
      <c r="A130" s="55" t="s">
        <v>716</v>
      </c>
      <c r="B130" s="55" t="s">
        <v>550</v>
      </c>
      <c r="C130" s="55"/>
      <c r="D130" s="55"/>
      <c r="E130" s="55"/>
      <c r="F130" s="55"/>
      <c r="G130" s="55"/>
      <c r="H130" s="55"/>
      <c r="I130" s="57"/>
      <c r="J130" s="55"/>
      <c r="K130" s="55"/>
      <c r="L130" s="55"/>
      <c r="M130" s="55"/>
    </row>
    <row r="131">
      <c r="A131" s="55"/>
      <c r="B131" s="55" t="s">
        <v>551</v>
      </c>
      <c r="C131" s="55"/>
      <c r="D131" s="55">
        <f t="shared" ref="D131:D133" si="201">D113/T35</f>
        <v>1.7720334252289716e-06</v>
      </c>
      <c r="E131" s="55">
        <f t="shared" ref="E131:E133" si="202">E113/T35</f>
        <v>7.3381744014535119e-07</v>
      </c>
      <c r="F131" s="55">
        <f t="shared" ref="F131:F133" si="203">F113/T35</f>
        <v>1.1265252332483468e-06</v>
      </c>
      <c r="G131" s="55">
        <f t="shared" ref="G131:G133" si="204">G113/T35</f>
        <v>5.2481472019303984e-07</v>
      </c>
      <c r="H131" s="55">
        <f t="shared" ref="H131:H133" si="205">H113/T35</f>
        <v>3.3732475102916507e-07</v>
      </c>
      <c r="I131" s="57">
        <f t="shared" ref="I131:I133" si="206">I113/T35</f>
        <v>1.7720334252289716e-06</v>
      </c>
      <c r="J131" s="55">
        <f t="shared" ref="J131:J133" si="207">J113/T35</f>
        <v>7.3381744014535119e-07</v>
      </c>
      <c r="K131" s="55">
        <f t="shared" ref="K131:K133" si="208">K113/T35</f>
        <v>1.1265252332483468e-06</v>
      </c>
      <c r="L131" s="55">
        <f t="shared" ref="L131:L133" si="209">L113/T35</f>
        <v>5.2481472019303984e-07</v>
      </c>
      <c r="M131" s="55">
        <f t="shared" ref="M131:M133" si="210">M113/T35</f>
        <v>3.3732475102916507e-07</v>
      </c>
      <c r="N131" s="55">
        <f t="shared" ref="N131:N133" si="211">N113/T35</f>
        <v>1.7720334252289716e-06</v>
      </c>
      <c r="O131" s="55">
        <f t="shared" ref="O131:O133" si="212">O113/T35</f>
        <v>7.3381744014535119e-07</v>
      </c>
      <c r="P131" s="55">
        <f t="shared" ref="P131:P133" si="213">P113/T35</f>
        <v>1.1265252332483468e-06</v>
      </c>
      <c r="Q131" s="55">
        <f t="shared" ref="Q131:Q133" si="214">Q113/T35</f>
        <v>5.2481472019303984e-07</v>
      </c>
      <c r="R131" s="55">
        <f t="shared" ref="R131:R133" si="215">R113/T35</f>
        <v>3.3732475102916507e-07</v>
      </c>
    </row>
    <row r="132">
      <c r="A132" s="55"/>
      <c r="B132" s="55" t="s">
        <v>552</v>
      </c>
      <c r="C132" s="55"/>
      <c r="D132" s="55">
        <f t="shared" si="201"/>
        <v>1.7303089477527776e-06</v>
      </c>
      <c r="E132" s="55">
        <f t="shared" si="202"/>
        <v>6.7680491738563999e-07</v>
      </c>
      <c r="F132" s="55">
        <f t="shared" si="203"/>
        <v>1.0891043610128212e-06</v>
      </c>
      <c r="G132" s="55">
        <f t="shared" si="204"/>
        <v>4.0205950404254757e-07</v>
      </c>
      <c r="H132" s="55">
        <f t="shared" si="205"/>
        <v>3.0357363521534575e-07</v>
      </c>
      <c r="I132" s="57">
        <f t="shared" si="206"/>
        <v>1.7303089477527776e-06</v>
      </c>
      <c r="J132" s="55">
        <f t="shared" si="207"/>
        <v>6.7680491738563999e-07</v>
      </c>
      <c r="K132" s="55">
        <f t="shared" si="208"/>
        <v>1.0891043610128212e-06</v>
      </c>
      <c r="L132" s="55">
        <f t="shared" si="209"/>
        <v>4.0205950404254757e-07</v>
      </c>
      <c r="M132" s="55">
        <f t="shared" si="210"/>
        <v>3.0357363521534575e-07</v>
      </c>
      <c r="N132" s="55">
        <f t="shared" si="211"/>
        <v>1.7303089477527776e-06</v>
      </c>
      <c r="O132" s="55">
        <f t="shared" si="212"/>
        <v>6.7680491738563999e-07</v>
      </c>
      <c r="P132" s="55">
        <f t="shared" si="213"/>
        <v>1.0891043610128212e-06</v>
      </c>
      <c r="Q132" s="55">
        <f t="shared" si="214"/>
        <v>4.0205950404254757e-07</v>
      </c>
      <c r="R132" s="55">
        <f t="shared" si="215"/>
        <v>3.0357363521534575e-07</v>
      </c>
    </row>
    <row r="133">
      <c r="A133" s="55"/>
      <c r="B133" s="55" t="s">
        <v>553</v>
      </c>
      <c r="C133" s="55"/>
      <c r="D133" s="55">
        <f t="shared" si="201"/>
        <v>1.7140469773425057e-06</v>
      </c>
      <c r="E133" s="55">
        <f t="shared" si="202"/>
        <v>6.5458448433977741e-07</v>
      </c>
      <c r="F133" s="55">
        <f t="shared" si="203"/>
        <v>1.0745197058216832e-06</v>
      </c>
      <c r="G133" s="55">
        <f t="shared" si="204"/>
        <v>3.5421608422057859e-07</v>
      </c>
      <c r="H133" s="55">
        <f t="shared" si="205"/>
        <v>2.9041925486412032e-07</v>
      </c>
      <c r="I133" s="57">
        <f t="shared" si="206"/>
        <v>1.7140469773425057e-06</v>
      </c>
      <c r="J133" s="55">
        <f t="shared" si="207"/>
        <v>6.5458448433977741e-07</v>
      </c>
      <c r="K133" s="55">
        <f t="shared" si="208"/>
        <v>1.0745197058216832e-06</v>
      </c>
      <c r="L133" s="55">
        <f t="shared" si="209"/>
        <v>3.5421608422057859e-07</v>
      </c>
      <c r="M133" s="55">
        <f t="shared" si="210"/>
        <v>2.9041925486412032e-07</v>
      </c>
      <c r="N133" s="55">
        <f t="shared" si="211"/>
        <v>1.7140469773425057e-06</v>
      </c>
      <c r="O133" s="55">
        <f t="shared" si="212"/>
        <v>6.5458448433977741e-07</v>
      </c>
      <c r="P133" s="55">
        <f t="shared" si="213"/>
        <v>1.0745197058216832e-06</v>
      </c>
      <c r="Q133" s="55">
        <f t="shared" si="214"/>
        <v>3.5421608422057859e-07</v>
      </c>
      <c r="R133" s="55">
        <f t="shared" si="215"/>
        <v>2.9041925486412032e-07</v>
      </c>
    </row>
    <row r="135" ht="15.75">
      <c r="A135" s="55" t="s">
        <v>718</v>
      </c>
      <c r="B135" s="55" t="s">
        <v>678</v>
      </c>
      <c r="C135" s="55" t="s">
        <v>719</v>
      </c>
      <c r="D135" s="55"/>
      <c r="E135" s="55"/>
      <c r="F135" s="55"/>
      <c r="G135" s="55"/>
      <c r="H135" s="55"/>
      <c r="I135" s="57"/>
      <c r="J135" s="55"/>
      <c r="K135" s="55"/>
      <c r="L135" s="55"/>
      <c r="M135" s="55"/>
      <c r="N135" s="37" t="s">
        <v>712</v>
      </c>
      <c r="O135" t="s">
        <v>713</v>
      </c>
      <c r="P135" t="s">
        <v>191</v>
      </c>
      <c r="Q135" t="s">
        <v>714</v>
      </c>
      <c r="R135" t="s">
        <v>715</v>
      </c>
    </row>
    <row r="136">
      <c r="A136" s="55" t="s">
        <v>716</v>
      </c>
      <c r="B136" s="55" t="s">
        <v>550</v>
      </c>
      <c r="C136" s="55" t="s">
        <v>720</v>
      </c>
      <c r="D136" s="55"/>
      <c r="E136" s="55"/>
      <c r="F136" s="55"/>
      <c r="G136" s="55"/>
      <c r="H136" s="55"/>
      <c r="I136" s="57"/>
      <c r="J136" s="55"/>
      <c r="K136" s="55"/>
      <c r="L136" s="55"/>
      <c r="M136" s="55"/>
      <c r="N136" s="57"/>
      <c r="O136" s="55"/>
      <c r="P136" s="55"/>
      <c r="Q136" s="55"/>
      <c r="R136" s="55"/>
    </row>
    <row r="137">
      <c r="A137" s="55"/>
      <c r="B137" s="55" t="s">
        <v>551</v>
      </c>
      <c r="C137" s="55"/>
      <c r="D137" s="55">
        <f t="shared" ref="D137:D139" si="216">(D65/D107)/T35</f>
        <v>1.0538317935234954e-05</v>
      </c>
      <c r="E137" s="55">
        <f t="shared" ref="E137:E139" si="217">(E65/E107)/T35</f>
        <v>7.3388245158188513e-06</v>
      </c>
      <c r="F137" s="55">
        <f t="shared" ref="F137:F139" si="218">(F65/F107)/T35</f>
        <v>1.4924569784387212e-05</v>
      </c>
      <c r="G137" s="55">
        <f t="shared" ref="G137:G139" si="219">(G65/G107)/T35</f>
        <v>4.4507866813923474e-06</v>
      </c>
      <c r="H137" s="55">
        <f t="shared" ref="H137:H139" si="220">(H65/H107)/T35</f>
        <v>8.0865160585258703e-06</v>
      </c>
      <c r="I137" s="55">
        <f t="shared" ref="I137:I139" si="221">(I65/I107)/T35</f>
        <v>1.0538317935234954e-05</v>
      </c>
      <c r="J137" s="55">
        <f t="shared" ref="J137:J139" si="222">(J65/J107)/T35</f>
        <v>7.3388245158188513e-06</v>
      </c>
      <c r="K137" s="55">
        <f t="shared" ref="K137:K139" si="223">(K65/K107)/T35</f>
        <v>1.4924569784387212e-05</v>
      </c>
      <c r="L137" s="55">
        <f t="shared" ref="L137:L139" si="224">(L65/L107)/T35</f>
        <v>4.4607578821630784e-06</v>
      </c>
      <c r="M137" s="55">
        <f t="shared" ref="M137:M139" si="225">(M65/M107)/T35</f>
        <v>8.0865160585258703e-06</v>
      </c>
      <c r="N137" s="55">
        <f t="shared" ref="N137:N139" si="226">(N65/N107)/T35</f>
        <v>1.0538317935234954e-05</v>
      </c>
      <c r="O137" s="55">
        <f t="shared" ref="O137:O139" si="227">(O65/O107)/T35</f>
        <v>7.3388245158188513e-06</v>
      </c>
      <c r="P137" s="55">
        <f t="shared" ref="P137:P139" si="228">(P65/P107)/T35</f>
        <v>1.4924569784387212e-05</v>
      </c>
      <c r="Q137" s="55">
        <f t="shared" ref="Q137:Q139" si="229">(Q65/Q107)/T35</f>
        <v>4.4507866813923474e-06</v>
      </c>
      <c r="R137" s="55">
        <f t="shared" ref="R137:R139" si="230">(R65/R107)/T35</f>
        <v>8.0865160585258703e-06</v>
      </c>
    </row>
    <row r="138">
      <c r="A138" s="55"/>
      <c r="B138" s="55" t="s">
        <v>552</v>
      </c>
      <c r="C138" s="55"/>
      <c r="D138" s="55">
        <f t="shared" si="216"/>
        <v>1.1073657540496366e-05</v>
      </c>
      <c r="E138" s="55">
        <f t="shared" si="217"/>
        <v>7.5945021879760796e-06</v>
      </c>
      <c r="F138" s="55">
        <f t="shared" si="218"/>
        <v>1.6598033999680539e-05</v>
      </c>
      <c r="G138" s="55">
        <f t="shared" si="219"/>
        <v>4.5435549723201578e-06</v>
      </c>
      <c r="H138" s="55">
        <f t="shared" si="220"/>
        <v>8.3980511386891389e-06</v>
      </c>
      <c r="I138" s="55">
        <f t="shared" si="221"/>
        <v>1.1073657540496366e-05</v>
      </c>
      <c r="J138" s="55">
        <f t="shared" si="222"/>
        <v>7.5945021879760796e-06</v>
      </c>
      <c r="K138" s="55">
        <f t="shared" si="223"/>
        <v>1.6598033999680539e-05</v>
      </c>
      <c r="L138" s="55">
        <f t="shared" si="224"/>
        <v>4.5469723432711606e-06</v>
      </c>
      <c r="M138" s="55">
        <f t="shared" si="225"/>
        <v>8.3980511386891389e-06</v>
      </c>
      <c r="N138" s="55">
        <f t="shared" si="226"/>
        <v>1.1073657540496366e-05</v>
      </c>
      <c r="O138" s="55">
        <f t="shared" si="227"/>
        <v>7.5945021879760796e-06</v>
      </c>
      <c r="P138" s="55">
        <f t="shared" si="228"/>
        <v>1.6598033999680539e-05</v>
      </c>
      <c r="Q138" s="55">
        <f t="shared" si="229"/>
        <v>4.5435549723201578e-06</v>
      </c>
      <c r="R138" s="55">
        <f t="shared" si="230"/>
        <v>8.3980511386891389e-06</v>
      </c>
    </row>
    <row r="139">
      <c r="A139" s="55"/>
      <c r="B139" s="55" t="s">
        <v>553</v>
      </c>
      <c r="C139" s="55"/>
      <c r="D139" s="55">
        <f t="shared" si="216"/>
        <v>1.2528443324880477e-05</v>
      </c>
      <c r="E139" s="55">
        <f t="shared" si="217"/>
        <v>8.2516300930216168e-06</v>
      </c>
      <c r="F139" s="55">
        <f t="shared" si="218"/>
        <v>2.3117236464502969e-05</v>
      </c>
      <c r="G139" s="55">
        <f t="shared" si="219"/>
        <v>4.7708568481799442e-06</v>
      </c>
      <c r="H139" s="55">
        <f t="shared" si="220"/>
        <v>9.2090171321784149e-06</v>
      </c>
      <c r="I139" s="55">
        <f t="shared" si="221"/>
        <v>1.2528443324880477e-05</v>
      </c>
      <c r="J139" s="55">
        <f t="shared" si="222"/>
        <v>8.2516300930216168e-06</v>
      </c>
      <c r="K139" s="55">
        <f t="shared" si="223"/>
        <v>2.3117236464502969e-05</v>
      </c>
      <c r="L139" s="55">
        <f t="shared" si="224"/>
        <v>4.75035346090257e-06</v>
      </c>
      <c r="M139" s="55">
        <f t="shared" si="225"/>
        <v>9.2090171321784149e-06</v>
      </c>
      <c r="N139" s="55">
        <f t="shared" si="226"/>
        <v>1.2528443324880477e-05</v>
      </c>
      <c r="O139" s="55">
        <f t="shared" si="227"/>
        <v>8.2516300930216168e-06</v>
      </c>
      <c r="P139" s="55">
        <f t="shared" si="228"/>
        <v>2.3117236464502969e-05</v>
      </c>
      <c r="Q139" s="55">
        <f t="shared" si="229"/>
        <v>4.7708568481799442e-06</v>
      </c>
      <c r="R139" s="55">
        <f t="shared" si="230"/>
        <v>9.2090171321784149e-06</v>
      </c>
    </row>
    <row r="140">
      <c r="N140" s="37" t="s">
        <v>721</v>
      </c>
    </row>
    <row r="141">
      <c r="D141" s="37">
        <v>1000000</v>
      </c>
      <c r="E141">
        <v>1000000</v>
      </c>
      <c r="F141">
        <v>1000000</v>
      </c>
      <c r="G141">
        <v>1000000</v>
      </c>
      <c r="H141">
        <v>1000000</v>
      </c>
      <c r="I141" s="37">
        <v>1000000</v>
      </c>
      <c r="J141">
        <v>1000000</v>
      </c>
      <c r="K141">
        <v>1000000</v>
      </c>
      <c r="L141">
        <v>1000000</v>
      </c>
      <c r="M141">
        <v>1000000</v>
      </c>
      <c r="N141" s="37">
        <v>1000000</v>
      </c>
      <c r="O141">
        <v>1000000</v>
      </c>
      <c r="P141">
        <v>1000000</v>
      </c>
      <c r="Q141">
        <v>1000000</v>
      </c>
      <c r="R141">
        <v>1000000</v>
      </c>
    </row>
    <row r="142">
      <c r="D142" s="37">
        <v>1000000</v>
      </c>
      <c r="E142">
        <v>1000000</v>
      </c>
      <c r="F142">
        <v>1000000</v>
      </c>
      <c r="G142">
        <v>1000000</v>
      </c>
      <c r="H142">
        <v>1000000</v>
      </c>
      <c r="I142" s="37">
        <v>1000000</v>
      </c>
      <c r="J142">
        <v>1000000</v>
      </c>
      <c r="K142">
        <v>1000000</v>
      </c>
      <c r="L142">
        <v>1000000</v>
      </c>
      <c r="M142">
        <v>1000000</v>
      </c>
      <c r="N142" s="37">
        <v>1000000</v>
      </c>
      <c r="O142">
        <v>1000000</v>
      </c>
      <c r="P142">
        <v>1000000</v>
      </c>
      <c r="Q142">
        <v>1000000</v>
      </c>
      <c r="R142">
        <v>1000000</v>
      </c>
    </row>
    <row r="143">
      <c r="D143" s="37">
        <v>1000000</v>
      </c>
      <c r="E143">
        <v>1000000</v>
      </c>
      <c r="F143">
        <v>1000000</v>
      </c>
      <c r="G143">
        <v>1000000</v>
      </c>
      <c r="H143">
        <v>1000000</v>
      </c>
      <c r="I143" s="37">
        <v>1000000</v>
      </c>
      <c r="J143">
        <v>1000000</v>
      </c>
      <c r="K143">
        <v>1000000</v>
      </c>
      <c r="L143">
        <v>1000000</v>
      </c>
      <c r="M143">
        <v>1000000</v>
      </c>
      <c r="N143" s="37">
        <v>1000000</v>
      </c>
      <c r="O143">
        <v>1000000</v>
      </c>
      <c r="P143">
        <v>1000000</v>
      </c>
      <c r="Q143">
        <v>1000000</v>
      </c>
      <c r="R143">
        <v>1000000</v>
      </c>
    </row>
    <row r="144">
      <c r="D144" s="37">
        <v>1000000</v>
      </c>
      <c r="E144">
        <v>1000000</v>
      </c>
      <c r="F144">
        <v>1000000</v>
      </c>
      <c r="G144">
        <v>1000000</v>
      </c>
      <c r="H144">
        <v>1000000</v>
      </c>
      <c r="I144" s="37">
        <v>1000000</v>
      </c>
      <c r="J144">
        <v>1000000</v>
      </c>
      <c r="K144">
        <v>1000000</v>
      </c>
      <c r="L144">
        <v>1000000</v>
      </c>
      <c r="M144">
        <v>1000000</v>
      </c>
      <c r="N144" s="37">
        <v>1000000</v>
      </c>
      <c r="O144">
        <v>1000000</v>
      </c>
      <c r="P144">
        <v>1000000</v>
      </c>
      <c r="Q144">
        <v>1000000</v>
      </c>
      <c r="R144">
        <v>1000000</v>
      </c>
    </row>
    <row r="146">
      <c r="B146" s="55" t="s">
        <v>551</v>
      </c>
      <c r="D146" s="37">
        <f t="shared" ref="D146:H148" si="231">D125*D142</f>
        <v>0.48634813270705313</v>
      </c>
      <c r="E146">
        <f t="shared" ref="E146:H146" si="232">E125*E142</f>
        <v>0.28729768385472487</v>
      </c>
      <c r="F146">
        <f t="shared" si="232"/>
        <v>0.4391288616827756</v>
      </c>
      <c r="G146">
        <f t="shared" si="232"/>
        <v>0.20030674604001059</v>
      </c>
      <c r="H146">
        <f t="shared" si="232"/>
        <v>0.4838254845893788</v>
      </c>
      <c r="I146" s="37">
        <f t="shared" ref="I146:M148" si="233">I125*I142</f>
        <v>3.8163812137291808</v>
      </c>
      <c r="J146">
        <f t="shared" ref="J146:M146" si="234">J125*J142</f>
        <v>2.3033475538191488</v>
      </c>
      <c r="K146">
        <f t="shared" si="234"/>
        <v>3.5973656590177243</v>
      </c>
      <c r="L146">
        <f t="shared" si="234"/>
        <v>2.1154305461009044</v>
      </c>
      <c r="M146">
        <f t="shared" si="234"/>
        <v>2.2631651417477472</v>
      </c>
      <c r="N146" s="37">
        <f t="shared" ref="N146:R148" si="235">N125*N142</f>
        <v>1.571004242852813</v>
      </c>
      <c r="O146">
        <f t="shared" ref="O146:R146" si="236">O125*O142</f>
        <v>0.95159336265416461</v>
      </c>
      <c r="P146">
        <f t="shared" si="236"/>
        <v>1.4807450571907548</v>
      </c>
      <c r="Q146">
        <f t="shared" si="236"/>
        <v>0.8124035591711245</v>
      </c>
      <c r="R146">
        <f t="shared" si="236"/>
        <v>1.158863907659206</v>
      </c>
    </row>
    <row r="147">
      <c r="B147" s="55" t="s">
        <v>552</v>
      </c>
      <c r="D147" s="37">
        <f t="shared" si="231"/>
        <v>0.51105429729452467</v>
      </c>
      <c r="E147">
        <f t="shared" si="231"/>
        <v>0.29730686214558139</v>
      </c>
      <c r="F147">
        <f t="shared" si="231"/>
        <v>0.48836756313582336</v>
      </c>
      <c r="G147">
        <f t="shared" si="231"/>
        <v>0.20448176403607185</v>
      </c>
      <c r="H147">
        <f t="shared" si="231"/>
        <v>0.50246498397770512</v>
      </c>
      <c r="I147" s="37">
        <f t="shared" si="233"/>
        <v>4.0102508639941306</v>
      </c>
      <c r="J147">
        <f t="shared" si="233"/>
        <v>2.3835939937578776</v>
      </c>
      <c r="K147">
        <f t="shared" si="233"/>
        <v>4.0007315708437998</v>
      </c>
      <c r="L147">
        <f t="shared" si="233"/>
        <v>2.1563161331158236</v>
      </c>
      <c r="M147">
        <f t="shared" si="233"/>
        <v>2.3503541522875504</v>
      </c>
      <c r="N147" s="37">
        <f t="shared" si="235"/>
        <v>1.6508102229344037</v>
      </c>
      <c r="O147">
        <f t="shared" si="235"/>
        <v>0.98474597112426088</v>
      </c>
      <c r="P147">
        <f t="shared" si="235"/>
        <v>1.6467782428021376</v>
      </c>
      <c r="Q147">
        <f t="shared" si="235"/>
        <v>0.82933658587470882</v>
      </c>
      <c r="R147">
        <f t="shared" si="235"/>
        <v>1.2035094333414667</v>
      </c>
    </row>
    <row r="148">
      <c r="B148" s="55" t="s">
        <v>553</v>
      </c>
      <c r="D148" s="37">
        <f t="shared" si="231"/>
        <v>0.57819331834819199</v>
      </c>
      <c r="E148">
        <f t="shared" si="231"/>
        <v>0.32303187092715807</v>
      </c>
      <c r="F148">
        <f t="shared" si="231"/>
        <v>0.6801834746706269</v>
      </c>
      <c r="G148">
        <f t="shared" si="231"/>
        <v>0.2147114385591431</v>
      </c>
      <c r="H148">
        <f t="shared" si="231"/>
        <v>0.55098600489026139</v>
      </c>
      <c r="I148" s="37">
        <f t="shared" si="233"/>
        <v>4.53709178601268</v>
      </c>
      <c r="J148">
        <f t="shared" si="233"/>
        <v>2.5898387335483419</v>
      </c>
      <c r="K148">
        <f t="shared" si="233"/>
        <v>5.572097138491138</v>
      </c>
      <c r="L148">
        <f t="shared" si="233"/>
        <v>2.2527658038002589</v>
      </c>
      <c r="M148">
        <f t="shared" si="233"/>
        <v>2.577318391809797</v>
      </c>
      <c r="N148" s="37">
        <f t="shared" si="235"/>
        <v>1.867683034492678</v>
      </c>
      <c r="O148">
        <f t="shared" si="235"/>
        <v>1.069952880147401</v>
      </c>
      <c r="P148">
        <f t="shared" si="235"/>
        <v>2.2935826040715672</v>
      </c>
      <c r="Q148">
        <f t="shared" si="235"/>
        <v>0.87082607215514252</v>
      </c>
      <c r="R148">
        <f t="shared" si="235"/>
        <v>1.319727494789926</v>
      </c>
    </row>
    <row r="150">
      <c r="B150" s="55" t="s">
        <v>551</v>
      </c>
      <c r="D150" s="37">
        <f t="shared" ref="D150:H152" si="237">D131*D142</f>
        <v>1.7720334252289716</v>
      </c>
      <c r="E150">
        <f t="shared" ref="E150:H150" si="238">E131*E142</f>
        <v>0.73381744014535122</v>
      </c>
      <c r="F150">
        <f t="shared" si="238"/>
        <v>1.1265252332483469</v>
      </c>
      <c r="G150">
        <f t="shared" si="238"/>
        <v>0.52481472019303987</v>
      </c>
      <c r="H150">
        <f t="shared" si="238"/>
        <v>0.33732475102916509</v>
      </c>
      <c r="I150" s="37">
        <f t="shared" ref="I150:M152" si="239">I131*I142</f>
        <v>1.7720334252289716</v>
      </c>
      <c r="J150">
        <f t="shared" ref="J150:M150" si="240">J131*J142</f>
        <v>0.73381744014535122</v>
      </c>
      <c r="K150">
        <f t="shared" si="240"/>
        <v>1.1265252332483469</v>
      </c>
      <c r="L150">
        <f t="shared" si="240"/>
        <v>0.52481472019303987</v>
      </c>
      <c r="M150">
        <f t="shared" si="240"/>
        <v>0.33732475102916509</v>
      </c>
      <c r="N150" s="37">
        <f t="shared" ref="N150:R152" si="241">N131*N142</f>
        <v>1.7720334252289716</v>
      </c>
      <c r="O150">
        <f t="shared" ref="O150:R150" si="242">O131*O142</f>
        <v>0.73381744014535122</v>
      </c>
      <c r="P150">
        <f t="shared" si="242"/>
        <v>1.1265252332483469</v>
      </c>
      <c r="Q150">
        <f t="shared" si="242"/>
        <v>0.52481472019303987</v>
      </c>
      <c r="R150">
        <f t="shared" si="242"/>
        <v>0.33732475102916509</v>
      </c>
    </row>
    <row r="151">
      <c r="B151" s="55" t="s">
        <v>552</v>
      </c>
      <c r="D151" s="37">
        <f t="shared" si="237"/>
        <v>1.7303089477527775</v>
      </c>
      <c r="E151">
        <f t="shared" si="237"/>
        <v>0.67680491738563997</v>
      </c>
      <c r="F151">
        <f t="shared" si="237"/>
        <v>1.0891043610128213</v>
      </c>
      <c r="G151">
        <f t="shared" si="237"/>
        <v>0.40205950404254759</v>
      </c>
      <c r="H151">
        <f t="shared" si="237"/>
        <v>0.30357363521534575</v>
      </c>
      <c r="I151" s="37">
        <f t="shared" si="239"/>
        <v>1.7303089477527775</v>
      </c>
      <c r="J151">
        <f t="shared" si="239"/>
        <v>0.67680491738563997</v>
      </c>
      <c r="K151">
        <f t="shared" si="239"/>
        <v>1.0891043610128213</v>
      </c>
      <c r="L151">
        <f t="shared" si="239"/>
        <v>0.40205950404254759</v>
      </c>
      <c r="M151">
        <f t="shared" si="239"/>
        <v>0.30357363521534575</v>
      </c>
      <c r="N151" s="37">
        <f t="shared" si="241"/>
        <v>1.7303089477527775</v>
      </c>
      <c r="O151">
        <f t="shared" si="241"/>
        <v>0.67680491738563997</v>
      </c>
      <c r="P151">
        <f t="shared" si="241"/>
        <v>1.0891043610128213</v>
      </c>
      <c r="Q151">
        <f t="shared" si="241"/>
        <v>0.40205950404254759</v>
      </c>
      <c r="R151">
        <f t="shared" si="241"/>
        <v>0.30357363521534575</v>
      </c>
    </row>
    <row r="152">
      <c r="B152" s="55" t="s">
        <v>553</v>
      </c>
      <c r="D152" s="37">
        <f t="shared" si="237"/>
        <v>1.7140469773425058</v>
      </c>
      <c r="E152">
        <f t="shared" si="237"/>
        <v>0.65458448433977745</v>
      </c>
      <c r="F152">
        <f t="shared" si="237"/>
        <v>1.0745197058216833</v>
      </c>
      <c r="G152">
        <f t="shared" si="237"/>
        <v>0.3542160842205786</v>
      </c>
      <c r="H152">
        <f t="shared" si="237"/>
        <v>0.29041925486412035</v>
      </c>
      <c r="I152" s="37">
        <f t="shared" si="239"/>
        <v>1.7140469773425058</v>
      </c>
      <c r="J152">
        <f t="shared" si="239"/>
        <v>0.65458448433977745</v>
      </c>
      <c r="K152">
        <f t="shared" si="239"/>
        <v>1.0745197058216833</v>
      </c>
      <c r="L152">
        <f t="shared" si="239"/>
        <v>0.3542160842205786</v>
      </c>
      <c r="M152">
        <f t="shared" si="239"/>
        <v>0.29041925486412035</v>
      </c>
      <c r="N152" s="37">
        <f t="shared" si="241"/>
        <v>1.7140469773425058</v>
      </c>
      <c r="O152">
        <f t="shared" si="241"/>
        <v>0.65458448433977745</v>
      </c>
      <c r="P152">
        <f t="shared" si="241"/>
        <v>1.0745197058216833</v>
      </c>
      <c r="Q152">
        <f t="shared" si="241"/>
        <v>0.3542160842205786</v>
      </c>
      <c r="R152">
        <f t="shared" si="241"/>
        <v>0.29041925486412035</v>
      </c>
    </row>
    <row r="154">
      <c r="B154" s="55" t="s">
        <v>551</v>
      </c>
      <c r="D154" s="37">
        <f t="shared" ref="D154:H156" si="243">D137*(D142/1000)</f>
        <v>0.010538317935234954</v>
      </c>
      <c r="E154">
        <f t="shared" ref="E154:H154" si="244">E137*(E142/1000)</f>
        <v>0.007338824515818851</v>
      </c>
      <c r="F154">
        <f t="shared" si="244"/>
        <v>0.014924569784387212</v>
      </c>
      <c r="G154">
        <f t="shared" si="244"/>
        <v>0.004450786681392347</v>
      </c>
      <c r="H154">
        <f t="shared" si="244"/>
        <v>0.0080865160585258701</v>
      </c>
      <c r="I154" s="37">
        <f t="shared" ref="I154:M156" si="245">I137*(I142/1000)</f>
        <v>0.010538317935234954</v>
      </c>
      <c r="J154">
        <f t="shared" ref="J154:M154" si="246">J137*(J142/1000)</f>
        <v>0.007338824515818851</v>
      </c>
      <c r="K154">
        <f t="shared" si="246"/>
        <v>0.014924569784387212</v>
      </c>
      <c r="L154">
        <f t="shared" si="246"/>
        <v>0.0044607578821630788</v>
      </c>
      <c r="M154">
        <f t="shared" si="246"/>
        <v>0.0080865160585258701</v>
      </c>
      <c r="N154" s="37">
        <f t="shared" ref="N154:R156" si="247">N137*(N142/1000)</f>
        <v>0.010538317935234954</v>
      </c>
      <c r="O154">
        <f t="shared" ref="O154:R154" si="248">O137*(O142/1000)</f>
        <v>0.007338824515818851</v>
      </c>
      <c r="P154">
        <f t="shared" si="248"/>
        <v>0.014924569784387212</v>
      </c>
      <c r="Q154">
        <f t="shared" si="248"/>
        <v>0.004450786681392347</v>
      </c>
      <c r="R154">
        <f t="shared" si="248"/>
        <v>0.0080865160585258701</v>
      </c>
    </row>
    <row r="155">
      <c r="B155" s="55" t="s">
        <v>552</v>
      </c>
      <c r="D155" s="37">
        <f t="shared" si="243"/>
        <v>0.011073657540496367</v>
      </c>
      <c r="E155">
        <f t="shared" si="243"/>
        <v>0.0075945021879760795</v>
      </c>
      <c r="F155">
        <f t="shared" si="243"/>
        <v>0.016598033999680538</v>
      </c>
      <c r="G155">
        <f t="shared" si="243"/>
        <v>0.0045435549723201575</v>
      </c>
      <c r="H155">
        <f t="shared" si="243"/>
        <v>0.0083980511386891384</v>
      </c>
      <c r="I155" s="37">
        <f t="shared" si="245"/>
        <v>0.011073657540496367</v>
      </c>
      <c r="J155">
        <f t="shared" si="245"/>
        <v>0.0075945021879760795</v>
      </c>
      <c r="K155">
        <f t="shared" si="245"/>
        <v>0.016598033999680538</v>
      </c>
      <c r="L155">
        <f t="shared" si="245"/>
        <v>0.0045469723432711604</v>
      </c>
      <c r="M155">
        <f t="shared" si="245"/>
        <v>0.0083980511386891384</v>
      </c>
      <c r="N155" s="37">
        <f t="shared" si="247"/>
        <v>0.011073657540496367</v>
      </c>
      <c r="O155">
        <f t="shared" si="247"/>
        <v>0.0075945021879760795</v>
      </c>
      <c r="P155">
        <f t="shared" si="247"/>
        <v>0.016598033999680538</v>
      </c>
      <c r="Q155">
        <f t="shared" si="247"/>
        <v>0.0045435549723201575</v>
      </c>
      <c r="R155">
        <f t="shared" si="247"/>
        <v>0.0083980511386891384</v>
      </c>
    </row>
    <row r="156">
      <c r="B156" s="55" t="s">
        <v>553</v>
      </c>
      <c r="D156" s="37">
        <f t="shared" si="243"/>
        <v>0.012528443324880477</v>
      </c>
      <c r="E156">
        <f t="shared" si="243"/>
        <v>0.0082516300930216176</v>
      </c>
      <c r="F156">
        <f t="shared" si="243"/>
        <v>0.02311723646450297</v>
      </c>
      <c r="G156">
        <f t="shared" si="243"/>
        <v>0.0047708568481799442</v>
      </c>
      <c r="H156">
        <f t="shared" si="243"/>
        <v>0.0092090171321784157</v>
      </c>
      <c r="I156" s="37">
        <f t="shared" si="245"/>
        <v>0.012528443324880477</v>
      </c>
      <c r="J156">
        <f t="shared" si="245"/>
        <v>0.0082516300930216176</v>
      </c>
      <c r="K156">
        <f t="shared" si="245"/>
        <v>0.02311723646450297</v>
      </c>
      <c r="L156">
        <f t="shared" si="245"/>
        <v>0.0047503534609025701</v>
      </c>
      <c r="M156">
        <f t="shared" si="245"/>
        <v>0.0092090171321784157</v>
      </c>
      <c r="N156" s="37">
        <f t="shared" si="247"/>
        <v>0.012528443324880477</v>
      </c>
      <c r="O156">
        <f t="shared" si="247"/>
        <v>0.0082516300930216176</v>
      </c>
      <c r="P156">
        <f t="shared" si="247"/>
        <v>0.02311723646450297</v>
      </c>
      <c r="Q156">
        <f t="shared" si="247"/>
        <v>0.0047708568481799442</v>
      </c>
      <c r="R156">
        <f t="shared" si="247"/>
        <v>0.0092090171321784157</v>
      </c>
    </row>
    <row r="158">
      <c r="D158" s="37">
        <f t="shared" ref="D158:H160" si="249">D146+D150</f>
        <v>2.2583815579360245</v>
      </c>
      <c r="E158" s="37">
        <f t="shared" ref="E158:H158" si="250">E146+E150</f>
        <v>1.021115124000076</v>
      </c>
      <c r="F158" s="37">
        <f t="shared" si="250"/>
        <v>1.5656540949311224</v>
      </c>
      <c r="G158" s="37">
        <f t="shared" si="250"/>
        <v>0.72512146623305052</v>
      </c>
      <c r="H158" s="37">
        <f t="shared" si="250"/>
        <v>0.82115023561854383</v>
      </c>
      <c r="I158" s="37">
        <f t="shared" ref="I158:M160" si="251">I146+I150</f>
        <v>5.5884146389581524</v>
      </c>
      <c r="J158" s="37">
        <f t="shared" ref="J158:M158" si="252">J146+J150</f>
        <v>3.0371649939644998</v>
      </c>
      <c r="K158" s="37">
        <f t="shared" si="252"/>
        <v>4.7238908922660716</v>
      </c>
      <c r="L158" s="37">
        <f t="shared" si="252"/>
        <v>2.6402452662939444</v>
      </c>
      <c r="M158" s="37">
        <f t="shared" si="252"/>
        <v>2.6004898927769124</v>
      </c>
      <c r="N158" s="37">
        <f t="shared" ref="N158:R160" si="253">N146+N150</f>
        <v>3.3430376680817844</v>
      </c>
      <c r="O158" s="37">
        <f t="shared" ref="O158:R158" si="254">O146+O150</f>
        <v>1.6854108027995158</v>
      </c>
      <c r="P158" s="37">
        <f t="shared" si="254"/>
        <v>2.6072702904391019</v>
      </c>
      <c r="Q158" s="37">
        <f t="shared" si="254"/>
        <v>1.3372182793641643</v>
      </c>
      <c r="R158" s="37">
        <f t="shared" si="254"/>
        <v>1.496188658688371</v>
      </c>
    </row>
    <row r="159">
      <c r="D159" s="37">
        <f t="shared" si="249"/>
        <v>2.2413632450473022</v>
      </c>
      <c r="E159" s="37">
        <f t="shared" si="249"/>
        <v>0.9741117795312213</v>
      </c>
      <c r="F159" s="37">
        <f t="shared" si="249"/>
        <v>1.5774719241486446</v>
      </c>
      <c r="G159" s="37">
        <f t="shared" si="249"/>
        <v>0.60654126807861941</v>
      </c>
      <c r="H159" s="37">
        <f t="shared" si="249"/>
        <v>0.80603861919305086</v>
      </c>
      <c r="I159" s="37">
        <f t="shared" si="251"/>
        <v>5.7405598117469081</v>
      </c>
      <c r="J159" s="37">
        <f t="shared" si="251"/>
        <v>3.0603989111435177</v>
      </c>
      <c r="K159" s="37">
        <f t="shared" si="251"/>
        <v>5.0898359318566211</v>
      </c>
      <c r="L159" s="37">
        <f t="shared" si="251"/>
        <v>2.5583756371583712</v>
      </c>
      <c r="M159" s="37">
        <f t="shared" si="251"/>
        <v>2.6539277875028962</v>
      </c>
      <c r="N159" s="37">
        <f t="shared" si="253"/>
        <v>3.3811191706871813</v>
      </c>
      <c r="O159" s="37">
        <f t="shared" si="253"/>
        <v>1.6615508885099008</v>
      </c>
      <c r="P159" s="37">
        <f t="shared" si="253"/>
        <v>2.7358826038149591</v>
      </c>
      <c r="Q159" s="37">
        <f t="shared" si="253"/>
        <v>1.2313960899172565</v>
      </c>
      <c r="R159" s="37">
        <f t="shared" si="253"/>
        <v>1.5070830685568124</v>
      </c>
    </row>
    <row r="160">
      <c r="D160" s="37">
        <f t="shared" si="249"/>
        <v>2.2922402956906978</v>
      </c>
      <c r="E160" s="37">
        <f t="shared" si="249"/>
        <v>0.97761635526693547</v>
      </c>
      <c r="F160" s="37">
        <f t="shared" si="249"/>
        <v>1.7547031804923101</v>
      </c>
      <c r="G160" s="37">
        <f t="shared" si="249"/>
        <v>0.56892752277972169</v>
      </c>
      <c r="H160" s="37">
        <f t="shared" si="249"/>
        <v>0.84140525975438174</v>
      </c>
      <c r="I160" s="37">
        <f t="shared" si="251"/>
        <v>6.2511387633551863</v>
      </c>
      <c r="J160" s="37">
        <f t="shared" si="251"/>
        <v>3.2444232178881194</v>
      </c>
      <c r="K160" s="37">
        <f t="shared" si="251"/>
        <v>6.6466168443128213</v>
      </c>
      <c r="L160" s="37">
        <f t="shared" si="251"/>
        <v>2.6069818880208375</v>
      </c>
      <c r="M160" s="37">
        <f t="shared" si="251"/>
        <v>2.8677376466739175</v>
      </c>
      <c r="N160" s="37">
        <f t="shared" si="253"/>
        <v>3.5817300118351838</v>
      </c>
      <c r="O160" s="37">
        <f t="shared" si="253"/>
        <v>1.7245373644871784</v>
      </c>
      <c r="P160" s="37">
        <f t="shared" si="253"/>
        <v>3.3681023098932505</v>
      </c>
      <c r="Q160" s="37">
        <f t="shared" si="253"/>
        <v>1.225042156375721</v>
      </c>
      <c r="R160" s="37">
        <f t="shared" si="253"/>
        <v>1.6101467496540462</v>
      </c>
    </row>
    <row r="162">
      <c r="N162" s="37">
        <f t="shared" ref="N162:N164" si="255">T35</f>
        <v>3098.3960000000002</v>
      </c>
      <c r="O162">
        <f t="shared" ref="O162:O164" si="256">T35</f>
        <v>3098.3960000000002</v>
      </c>
      <c r="P162">
        <f t="shared" ref="P162:P164" si="257">T35</f>
        <v>3098.3960000000002</v>
      </c>
      <c r="Q162">
        <f t="shared" ref="Q162:Q164" si="258">T35</f>
        <v>3098.3960000000002</v>
      </c>
      <c r="R162">
        <f t="shared" ref="R162:R164" si="259">T35</f>
        <v>3098.3960000000002</v>
      </c>
    </row>
    <row r="163">
      <c r="N163" s="37">
        <f t="shared" si="255"/>
        <v>7685.8000000000002</v>
      </c>
      <c r="O163">
        <f t="shared" si="256"/>
        <v>7685.8000000000002</v>
      </c>
      <c r="P163">
        <f t="shared" si="257"/>
        <v>7685.8000000000002</v>
      </c>
      <c r="Q163">
        <f t="shared" si="258"/>
        <v>7685.8000000000002</v>
      </c>
      <c r="R163">
        <f t="shared" si="259"/>
        <v>7685.8000000000002</v>
      </c>
    </row>
    <row r="164">
      <c r="N164" s="37">
        <f t="shared" si="255"/>
        <v>18171.824000000001</v>
      </c>
      <c r="O164">
        <f t="shared" si="256"/>
        <v>18171.824000000001</v>
      </c>
      <c r="P164">
        <f t="shared" si="257"/>
        <v>18171.824000000001</v>
      </c>
      <c r="Q164">
        <f t="shared" si="258"/>
        <v>18171.824000000001</v>
      </c>
      <c r="R164">
        <f t="shared" si="259"/>
        <v>18171.824000000001</v>
      </c>
    </row>
    <row r="165" ht="15.75">
      <c r="N165" s="37" t="s">
        <v>712</v>
      </c>
      <c r="O165" t="s">
        <v>713</v>
      </c>
      <c r="P165" t="s">
        <v>191</v>
      </c>
      <c r="Q165" t="s">
        <v>714</v>
      </c>
      <c r="R165" t="s">
        <v>715</v>
      </c>
    </row>
    <row r="166">
      <c r="M166">
        <v>0</v>
      </c>
      <c r="N166" s="37">
        <v>0</v>
      </c>
      <c r="O166">
        <v>0</v>
      </c>
      <c r="P166">
        <v>0</v>
      </c>
      <c r="Q166">
        <v>0</v>
      </c>
      <c r="R166">
        <v>0</v>
      </c>
    </row>
    <row r="167">
      <c r="L167" s="55" t="s">
        <v>551</v>
      </c>
      <c r="M167">
        <f t="shared" ref="M167:M169" si="260">N162</f>
        <v>3098.3960000000002</v>
      </c>
      <c r="N167" s="37">
        <f t="shared" ref="N167:R169" si="261">(N158*N162)/1000</f>
        <v>10.35805453863393</v>
      </c>
      <c r="O167" s="37">
        <f t="shared" si="261"/>
        <v>5.222070089750809</v>
      </c>
      <c r="P167" s="37">
        <f t="shared" si="261"/>
        <v>8.0783558388153516</v>
      </c>
      <c r="Q167" s="37">
        <f t="shared" si="261"/>
        <v>4.1432317679088095</v>
      </c>
      <c r="R167" s="37">
        <f t="shared" si="261"/>
        <v>4.6357849553254145</v>
      </c>
    </row>
    <row r="168">
      <c r="L168" s="55" t="s">
        <v>552</v>
      </c>
      <c r="M168">
        <f t="shared" si="260"/>
        <v>7685.8000000000002</v>
      </c>
      <c r="N168" s="37">
        <f t="shared" si="261"/>
        <v>25.986605722067541</v>
      </c>
      <c r="O168" s="37">
        <f t="shared" si="261"/>
        <v>12.770347818909396</v>
      </c>
      <c r="P168" s="37">
        <f t="shared" si="261"/>
        <v>21.027446516401014</v>
      </c>
      <c r="Q168" s="37">
        <f t="shared" si="261"/>
        <v>9.4642640678860506</v>
      </c>
      <c r="R168" s="37">
        <f t="shared" si="261"/>
        <v>11.583139048313949</v>
      </c>
    </row>
    <row r="169">
      <c r="L169" s="55" t="s">
        <v>553</v>
      </c>
      <c r="M169">
        <f t="shared" si="260"/>
        <v>18171.824000000001</v>
      </c>
      <c r="N169" s="37">
        <f t="shared" si="261"/>
        <v>65.086567390586879</v>
      </c>
      <c r="O169" s="37">
        <f t="shared" si="261"/>
        <v>31.337989468884857</v>
      </c>
      <c r="P169" s="37">
        <f t="shared" si="261"/>
        <v>61.204562389373613</v>
      </c>
      <c r="Q169" s="37">
        <f t="shared" si="261"/>
        <v>22.261250458240081</v>
      </c>
      <c r="R169" s="37">
        <f t="shared" si="261"/>
        <v>29.259303348885389</v>
      </c>
    </row>
  </sheetData>
  <mergeCells count="3">
    <mergeCell ref="D1:H1"/>
    <mergeCell ref="I1:M1"/>
    <mergeCell ref="N1:R1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topLeftCell="B1" activePane="topRight" state="frozen"/>
      <selection activeCell="S11" activeCellId="0" sqref="S11"/>
    </sheetView>
  </sheetViews>
  <sheetFormatPr baseColWidth="10" defaultRowHeight="14.25"/>
  <cols>
    <col customWidth="1" min="1" max="1" width="31"/>
    <col customWidth="1" min="2" max="2" width="17.6640625"/>
    <col customWidth="1" min="4" max="5" width="11.6640625"/>
    <col bestFit="1" customWidth="1" min="6" max="7" width="11.6640625"/>
    <col customWidth="1" min="8" max="8" width="12"/>
    <col bestFit="1" customWidth="1" min="9" max="9" width="11.6640625"/>
  </cols>
  <sheetData>
    <row r="1">
      <c r="C1" s="27" t="s">
        <v>517</v>
      </c>
      <c r="D1" s="27"/>
      <c r="E1" s="27"/>
      <c r="F1" s="27"/>
      <c r="G1" s="27"/>
      <c r="H1" s="27"/>
      <c r="I1" s="27"/>
      <c r="J1" s="32" t="s">
        <v>518</v>
      </c>
      <c r="K1" s="28"/>
      <c r="L1" s="28"/>
      <c r="M1" s="28"/>
      <c r="N1" s="28"/>
      <c r="O1" s="28"/>
      <c r="P1" s="33"/>
      <c r="Q1" s="29" t="s">
        <v>519</v>
      </c>
      <c r="R1" s="29"/>
      <c r="S1" s="29"/>
      <c r="T1" s="29"/>
      <c r="U1" s="29"/>
      <c r="V1" s="29"/>
      <c r="W1" s="29"/>
    </row>
    <row r="2">
      <c r="B2" t="s">
        <v>0</v>
      </c>
      <c r="C2" s="1" t="s">
        <v>147</v>
      </c>
      <c r="D2" s="1" t="s">
        <v>215</v>
      </c>
      <c r="E2" s="1" t="s">
        <v>722</v>
      </c>
      <c r="F2" s="1" t="s">
        <v>191</v>
      </c>
      <c r="G2" s="1" t="s">
        <v>255</v>
      </c>
      <c r="H2" s="1" t="s">
        <v>723</v>
      </c>
      <c r="I2" s="1" t="s">
        <v>523</v>
      </c>
      <c r="J2" s="34" t="s">
        <v>147</v>
      </c>
      <c r="K2" s="3" t="s">
        <v>215</v>
      </c>
      <c r="L2" s="3" t="s">
        <v>722</v>
      </c>
      <c r="M2" s="3" t="s">
        <v>191</v>
      </c>
      <c r="N2" s="3" t="s">
        <v>255</v>
      </c>
      <c r="O2" s="3" t="s">
        <v>723</v>
      </c>
      <c r="P2" s="35" t="s">
        <v>523</v>
      </c>
      <c r="Q2" s="42" t="s">
        <v>147</v>
      </c>
      <c r="R2" s="2" t="s">
        <v>215</v>
      </c>
      <c r="S2" s="2" t="s">
        <v>722</v>
      </c>
      <c r="T2" s="2" t="s">
        <v>191</v>
      </c>
      <c r="U2" s="2" t="s">
        <v>255</v>
      </c>
      <c r="V2" s="2" t="s">
        <v>723</v>
      </c>
      <c r="W2" s="58" t="s">
        <v>523</v>
      </c>
    </row>
    <row r="3">
      <c r="A3" t="s">
        <v>615</v>
      </c>
      <c r="C3" s="1" t="s">
        <v>526</v>
      </c>
      <c r="D3" s="1" t="s">
        <v>526</v>
      </c>
      <c r="E3" s="1" t="str">
        <f t="shared" ref="E3:E20" si="262">D3</f>
        <v>IRENA</v>
      </c>
      <c r="F3" s="1" t="s">
        <v>526</v>
      </c>
      <c r="G3" s="1"/>
      <c r="H3" s="1"/>
      <c r="I3" s="1"/>
      <c r="J3" s="34" t="s">
        <v>526</v>
      </c>
      <c r="K3" s="3" t="s">
        <v>526</v>
      </c>
      <c r="L3" s="3" t="str">
        <f>K3</f>
        <v>IRENA</v>
      </c>
      <c r="M3" s="3" t="s">
        <v>526</v>
      </c>
      <c r="N3" s="3"/>
      <c r="O3" s="3"/>
      <c r="P3" s="35"/>
      <c r="Q3" s="42" t="s">
        <v>526</v>
      </c>
      <c r="R3" s="2" t="s">
        <v>526</v>
      </c>
      <c r="S3" s="2" t="str">
        <f>R3</f>
        <v>IRENA</v>
      </c>
      <c r="T3" s="2" t="s">
        <v>526</v>
      </c>
      <c r="U3" s="2"/>
      <c r="V3" s="2"/>
      <c r="W3" s="58"/>
    </row>
    <row r="4">
      <c r="A4" t="s">
        <v>195</v>
      </c>
      <c r="B4" t="s">
        <v>196</v>
      </c>
      <c r="C4" s="1"/>
      <c r="D4" s="1"/>
      <c r="E4" s="1"/>
      <c r="F4" s="1">
        <f>values!C21</f>
        <v>0.061600000000000002</v>
      </c>
      <c r="G4" s="1"/>
      <c r="H4" s="1"/>
      <c r="I4" s="1"/>
      <c r="J4" s="34"/>
      <c r="K4" s="3"/>
      <c r="L4" s="3"/>
      <c r="M4" s="3">
        <f>values!E21</f>
        <v>0.061600000000000002</v>
      </c>
      <c r="N4" s="3"/>
      <c r="O4" s="3"/>
      <c r="P4" s="35"/>
      <c r="Q4" s="42"/>
      <c r="R4" s="2"/>
      <c r="S4" s="2"/>
      <c r="T4" s="2">
        <f>values!D21</f>
        <v>0.061600000000000002</v>
      </c>
      <c r="U4" s="2"/>
      <c r="V4" s="2"/>
      <c r="W4" s="58"/>
    </row>
    <row r="5">
      <c r="A5" t="s">
        <v>527</v>
      </c>
      <c r="B5" t="s">
        <v>528</v>
      </c>
      <c r="C5" s="1">
        <f>values!C2</f>
        <v>0</v>
      </c>
      <c r="D5" s="1">
        <f>values!C33</f>
        <v>0</v>
      </c>
      <c r="E5" s="1">
        <f t="shared" si="262"/>
        <v>0</v>
      </c>
      <c r="F5" s="1"/>
      <c r="G5" s="1"/>
      <c r="H5" s="1"/>
      <c r="I5" s="1"/>
      <c r="J5" s="34">
        <f>values!J2</f>
        <v>0</v>
      </c>
      <c r="K5" s="3">
        <f>values!J33</f>
        <v>0</v>
      </c>
      <c r="L5" s="3">
        <f t="shared" ref="L5:L15" si="263">K5</f>
        <v>0</v>
      </c>
      <c r="M5" s="3"/>
      <c r="N5" s="3"/>
      <c r="O5" s="3"/>
      <c r="P5" s="35"/>
      <c r="Q5" s="42">
        <f>values!Q2</f>
        <v>0</v>
      </c>
      <c r="R5" s="2">
        <f>values!Q33</f>
        <v>0</v>
      </c>
      <c r="S5" s="2">
        <f t="shared" ref="S5:S7" si="264">R5</f>
        <v>0</v>
      </c>
      <c r="T5" s="2"/>
      <c r="U5" s="2"/>
      <c r="V5" s="2"/>
      <c r="W5" s="58"/>
    </row>
    <row r="6">
      <c r="A6" t="s">
        <v>616</v>
      </c>
      <c r="B6" t="s">
        <v>606</v>
      </c>
      <c r="C6" s="1">
        <f>values!C3</f>
        <v>33.329999999999998</v>
      </c>
      <c r="D6" s="1">
        <f>values!C34</f>
        <v>5.2000000000000002</v>
      </c>
      <c r="E6" s="1">
        <f t="shared" si="262"/>
        <v>5.2000000000000002</v>
      </c>
      <c r="F6" s="1">
        <f>C6*F4</f>
        <v>2.0531280000000001</v>
      </c>
      <c r="G6" s="1">
        <f>values!C53</f>
        <v>13.888888888888889</v>
      </c>
      <c r="H6" s="1">
        <f t="shared" ref="H6:I20" si="265">G6</f>
        <v>13.888888888888889</v>
      </c>
      <c r="I6" s="1">
        <f>values!C85</f>
        <v>2.0555555555555558</v>
      </c>
      <c r="J6" s="34">
        <f>values!E3</f>
        <v>33.329999999999998</v>
      </c>
      <c r="K6" s="3">
        <f>values!E34</f>
        <v>5.2000000000000002</v>
      </c>
      <c r="L6" s="3">
        <f t="shared" si="263"/>
        <v>5.2000000000000002</v>
      </c>
      <c r="M6" s="3">
        <f>J6*M4</f>
        <v>2.0531280000000001</v>
      </c>
      <c r="N6" s="3">
        <f>values!E53</f>
        <v>13.888888888888889</v>
      </c>
      <c r="O6" s="3">
        <f t="shared" ref="O6:O12" si="266">N6</f>
        <v>13.888888888888889</v>
      </c>
      <c r="P6" s="35">
        <f>values!E85</f>
        <v>2.0555555555555558</v>
      </c>
      <c r="Q6" s="42">
        <f>values!D3</f>
        <v>33.329999999999998</v>
      </c>
      <c r="R6" s="2">
        <f>values!D34</f>
        <v>5.2000000000000002</v>
      </c>
      <c r="S6" s="2">
        <f t="shared" si="264"/>
        <v>5.2000000000000002</v>
      </c>
      <c r="T6" s="2">
        <f>Q6*T4</f>
        <v>2.0531280000000001</v>
      </c>
      <c r="U6" s="2">
        <f>values!D53</f>
        <v>13.888888888888889</v>
      </c>
      <c r="V6" s="2">
        <f t="shared" ref="V6:V12" si="267">U6</f>
        <v>13.888888888888889</v>
      </c>
      <c r="W6" s="58">
        <f>values!D85</f>
        <v>2.0555555555555558</v>
      </c>
    </row>
    <row r="7">
      <c r="A7" t="s">
        <v>531</v>
      </c>
      <c r="B7" t="s">
        <v>532</v>
      </c>
      <c r="C7" s="1">
        <f>assumptions!C18</f>
        <v>25</v>
      </c>
      <c r="D7" s="1">
        <f>assumptions!C18</f>
        <v>25</v>
      </c>
      <c r="E7" s="1">
        <f t="shared" si="262"/>
        <v>25</v>
      </c>
      <c r="F7" s="1">
        <f>assumptions!C18</f>
        <v>25</v>
      </c>
      <c r="G7" s="1">
        <f>assumptions!C18</f>
        <v>25</v>
      </c>
      <c r="H7" s="1">
        <f t="shared" si="265"/>
        <v>25</v>
      </c>
      <c r="I7" s="1">
        <f t="shared" si="265"/>
        <v>25</v>
      </c>
      <c r="J7" s="34">
        <f>assumptions!E18</f>
        <v>25</v>
      </c>
      <c r="K7" s="3">
        <f>assumptions!E18</f>
        <v>25</v>
      </c>
      <c r="L7" s="3">
        <f t="shared" si="263"/>
        <v>25</v>
      </c>
      <c r="M7" s="3">
        <f>assumptions!E18</f>
        <v>25</v>
      </c>
      <c r="N7" s="3">
        <f>assumptions!E18</f>
        <v>25</v>
      </c>
      <c r="O7" s="3">
        <f t="shared" si="266"/>
        <v>25</v>
      </c>
      <c r="P7" s="35">
        <f t="shared" ref="P7:P8" si="268">O7</f>
        <v>25</v>
      </c>
      <c r="Q7" s="42">
        <f>assumptions!D18</f>
        <v>25</v>
      </c>
      <c r="R7" s="2">
        <f>assumptions!D18</f>
        <v>25</v>
      </c>
      <c r="S7" s="2">
        <f t="shared" si="264"/>
        <v>25</v>
      </c>
      <c r="T7" s="2">
        <f>assumptions!D18</f>
        <v>25</v>
      </c>
      <c r="U7" s="2">
        <f>assumptions!D18</f>
        <v>25</v>
      </c>
      <c r="V7" s="2">
        <f t="shared" si="267"/>
        <v>25</v>
      </c>
      <c r="W7" s="58">
        <f t="shared" ref="W7:W8" si="269">V7</f>
        <v>25</v>
      </c>
    </row>
    <row r="8">
      <c r="A8" t="s">
        <v>538</v>
      </c>
      <c r="B8" t="s">
        <v>82</v>
      </c>
      <c r="C8" s="1">
        <f>(assumptions!C13*(1+assumptions!C13)^C7)/(((1+assumptions!C13)^C7)-1)</f>
        <v>0.093678779051968114</v>
      </c>
      <c r="D8" s="1">
        <f>(assumptions!C13*(1+assumptions!C13)^D7)/(((1+assumptions!C13)^D7)-1)</f>
        <v>0.093678779051968114</v>
      </c>
      <c r="E8" s="1">
        <f t="shared" si="262"/>
        <v>0.093678779051968114</v>
      </c>
      <c r="F8" s="1">
        <f>(assumptions!C13*(1+assumptions!C13)^F7)/(((1+assumptions!C13)^F7)-1)</f>
        <v>0.093678779051968114</v>
      </c>
      <c r="G8" s="1">
        <f>(assumptions!C13*(1+assumptions!C13)^G7)/(((1+assumptions!C13)^G7)-1)</f>
        <v>0.093678779051968114</v>
      </c>
      <c r="H8" s="1">
        <f t="shared" si="265"/>
        <v>0.093678779051968114</v>
      </c>
      <c r="I8" s="1">
        <f t="shared" si="265"/>
        <v>0.093678779051968114</v>
      </c>
      <c r="J8" s="34">
        <f>(assumptions!E13*(1+assumptions!E13)^J7)/(((1+assumptions!E13)^J7)-1)</f>
        <v>0.093678779051968114</v>
      </c>
      <c r="K8" s="3">
        <f>(assumptions!E13*(1+assumptions!E13)^K7)/(((1+assumptions!E13)^K7)-1)</f>
        <v>0.093678779051968114</v>
      </c>
      <c r="L8" s="3">
        <f>(assumptions!E13*(1+assumptions!E13)^L7)/(((1+assumptions!E13)^L7)-1)</f>
        <v>0.093678779051968114</v>
      </c>
      <c r="M8" s="3">
        <f>(assumptions!E13*(1+assumptions!E13)^M7)/(((1+assumptions!E13)^M7)-1)</f>
        <v>0.093678779051968114</v>
      </c>
      <c r="N8" s="3">
        <f>(assumptions!E13*(1+assumptions!E13)^N7)/(((1+assumptions!E13)^N7)-1)</f>
        <v>0.093678779051968114</v>
      </c>
      <c r="O8" s="3">
        <f t="shared" si="266"/>
        <v>0.093678779051968114</v>
      </c>
      <c r="P8" s="35">
        <f t="shared" si="268"/>
        <v>0.093678779051968114</v>
      </c>
      <c r="Q8" s="42">
        <f>(assumptions!E13*(1+assumptions!E13)^Q7)/(((1+assumptions!E13)^Q7)-1)</f>
        <v>0.093678779051968114</v>
      </c>
      <c r="R8" s="2">
        <f>(assumptions!E13*(1+assumptions!E13)^R7)/(((1+assumptions!E13)^R7)-1)</f>
        <v>0.093678779051968114</v>
      </c>
      <c r="S8" s="2">
        <f>(assumptions!E13*(1+assumptions!E13)^S7)/(((1+assumptions!E13)^S7)-1)</f>
        <v>0.093678779051968114</v>
      </c>
      <c r="T8" s="2">
        <f>(assumptions!E13*(1+assumptions!E13)^T7)/(((1+assumptions!E13)^T7)-1)</f>
        <v>0.093678779051968114</v>
      </c>
      <c r="U8" s="2">
        <f>(assumptions!E13*(1+assumptions!E13)^U7)/(((1+assumptions!E13)^U7)-1)</f>
        <v>0.093678779051968114</v>
      </c>
      <c r="V8" s="2">
        <f t="shared" si="267"/>
        <v>0.093678779051968114</v>
      </c>
      <c r="W8" s="58">
        <f t="shared" si="269"/>
        <v>0.093678779051968114</v>
      </c>
    </row>
    <row r="9">
      <c r="A9" t="s">
        <v>537</v>
      </c>
      <c r="B9" t="s">
        <v>82</v>
      </c>
      <c r="C9" s="1">
        <f>assumptions!C43/100</f>
        <v>0.02</v>
      </c>
      <c r="D9" s="1">
        <f>assumptions!G40/100</f>
        <v>0.025000000000000001</v>
      </c>
      <c r="E9" s="1">
        <f t="shared" si="262"/>
        <v>0.025000000000000001</v>
      </c>
      <c r="F9" s="1">
        <f>assumptions!C47/100</f>
        <v>0.0050000000000000001</v>
      </c>
      <c r="G9" s="1">
        <f>assumptions!C52/100</f>
        <v>0.02</v>
      </c>
      <c r="H9" s="1">
        <f t="shared" si="265"/>
        <v>0.02</v>
      </c>
      <c r="I9" s="1">
        <f>assumptions!C55/100</f>
        <v>0.01</v>
      </c>
      <c r="J9" s="34">
        <f>assumptions!E43/100</f>
        <v>0.040000000000000001</v>
      </c>
      <c r="K9" s="3">
        <f>assumptions!E40/100</f>
        <v>0.029999999999999999</v>
      </c>
      <c r="L9" s="3">
        <f t="shared" si="263"/>
        <v>0.029999999999999999</v>
      </c>
      <c r="M9" s="3">
        <f>assumptions!E47/100</f>
        <v>0.040000000000000001</v>
      </c>
      <c r="N9" s="3">
        <f>assumptions!E52/100</f>
        <v>0.040000000000000001</v>
      </c>
      <c r="O9" s="3">
        <f t="shared" si="266"/>
        <v>0.040000000000000001</v>
      </c>
      <c r="P9" s="35">
        <f>assumptions!E55/100</f>
        <v>0.01</v>
      </c>
      <c r="Q9" s="42">
        <f>assumptions!D43/100</f>
        <v>0.026666666666666665</v>
      </c>
      <c r="R9" s="2">
        <f>assumptions!D40/100</f>
        <v>0.025000000000000001</v>
      </c>
      <c r="S9" s="2">
        <f t="shared" ref="S9:S15" si="270">R9</f>
        <v>0.025000000000000001</v>
      </c>
      <c r="T9" s="2">
        <f>assumptions!D47/100</f>
        <v>0.020400000000000001</v>
      </c>
      <c r="U9" s="2">
        <f>assumptions!D52/100</f>
        <v>0.029999999999999999</v>
      </c>
      <c r="V9" s="2">
        <f t="shared" si="267"/>
        <v>0.029999999999999999</v>
      </c>
      <c r="W9" s="58">
        <f>assumptions!D55/100</f>
        <v>0.01</v>
      </c>
    </row>
    <row r="10">
      <c r="A10" t="s">
        <v>617</v>
      </c>
      <c r="B10" t="s">
        <v>71</v>
      </c>
      <c r="C10" s="1">
        <v>365</v>
      </c>
      <c r="D10" s="1">
        <v>365</v>
      </c>
      <c r="E10" s="1">
        <f t="shared" si="262"/>
        <v>365</v>
      </c>
      <c r="F10" s="1">
        <v>365</v>
      </c>
      <c r="G10" s="1">
        <v>365</v>
      </c>
      <c r="H10" s="1">
        <f t="shared" si="265"/>
        <v>365</v>
      </c>
      <c r="I10" s="1">
        <f t="shared" si="265"/>
        <v>365</v>
      </c>
      <c r="J10" s="34">
        <v>365</v>
      </c>
      <c r="K10" s="3">
        <v>365</v>
      </c>
      <c r="L10" s="3">
        <f t="shared" si="263"/>
        <v>365</v>
      </c>
      <c r="M10" s="3">
        <v>365</v>
      </c>
      <c r="N10" s="3">
        <v>365</v>
      </c>
      <c r="O10" s="3">
        <f t="shared" si="266"/>
        <v>365</v>
      </c>
      <c r="P10" s="35">
        <f>O10</f>
        <v>365</v>
      </c>
      <c r="Q10" s="42">
        <v>365</v>
      </c>
      <c r="R10" s="2">
        <v>365</v>
      </c>
      <c r="S10" s="2">
        <f t="shared" si="270"/>
        <v>365</v>
      </c>
      <c r="T10" s="2">
        <v>365</v>
      </c>
      <c r="U10" s="2">
        <v>365</v>
      </c>
      <c r="V10" s="2">
        <f t="shared" si="267"/>
        <v>365</v>
      </c>
      <c r="W10" s="58">
        <f>V10</f>
        <v>365</v>
      </c>
    </row>
    <row r="11">
      <c r="A11" t="s">
        <v>618</v>
      </c>
      <c r="B11" t="s">
        <v>173</v>
      </c>
      <c r="C11" s="1">
        <f>values!C10</f>
        <v>0.048000000000000001</v>
      </c>
      <c r="D11" s="1">
        <f>values!C42</f>
        <v>0.01</v>
      </c>
      <c r="E11" s="1">
        <f t="shared" si="262"/>
        <v>0.01</v>
      </c>
      <c r="F11" s="1">
        <v>0</v>
      </c>
      <c r="G11" s="1">
        <f>values!C69</f>
        <v>0.012</v>
      </c>
      <c r="H11" s="1">
        <f t="shared" si="265"/>
        <v>0.012</v>
      </c>
      <c r="I11" s="1">
        <v>0</v>
      </c>
      <c r="J11" s="34">
        <f>values!E10</f>
        <v>0.40000000000000002</v>
      </c>
      <c r="K11" s="3">
        <f>values!E42</f>
        <v>0.12</v>
      </c>
      <c r="L11" s="3">
        <f t="shared" si="263"/>
        <v>0.12</v>
      </c>
      <c r="M11" s="3">
        <v>0</v>
      </c>
      <c r="N11" s="3">
        <f>values!E69</f>
        <v>0.14999999999999999</v>
      </c>
      <c r="O11" s="3">
        <f t="shared" si="266"/>
        <v>0.14999999999999999</v>
      </c>
      <c r="P11" s="35">
        <v>0</v>
      </c>
      <c r="Q11" s="42">
        <f>values!D10</f>
        <v>0.18705000000000002</v>
      </c>
      <c r="R11" s="2">
        <f>values!D42</f>
        <v>0.058124999999999996</v>
      </c>
      <c r="S11" s="2">
        <f t="shared" si="270"/>
        <v>0.058124999999999996</v>
      </c>
      <c r="T11" s="2">
        <v>0</v>
      </c>
      <c r="U11" s="2">
        <f>values!D69</f>
        <v>0.068142857142857144</v>
      </c>
      <c r="V11" s="2">
        <f t="shared" si="267"/>
        <v>0.068142857142857144</v>
      </c>
      <c r="W11" s="58">
        <v>0</v>
      </c>
    </row>
    <row r="12">
      <c r="A12" t="s">
        <v>619</v>
      </c>
      <c r="B12" t="s">
        <v>620</v>
      </c>
      <c r="C12" s="1">
        <f>values!C12</f>
        <v>1.8</v>
      </c>
      <c r="D12" s="1">
        <f>values!C43</f>
        <v>0.0378</v>
      </c>
      <c r="E12" s="1">
        <f t="shared" si="262"/>
        <v>0.0378</v>
      </c>
      <c r="F12" s="1">
        <v>0</v>
      </c>
      <c r="G12" s="1">
        <f>values!C71</f>
        <v>0.5</v>
      </c>
      <c r="H12" s="1">
        <f t="shared" si="265"/>
        <v>0.5</v>
      </c>
      <c r="I12" s="1">
        <v>0</v>
      </c>
      <c r="J12" s="34">
        <f>values!E12</f>
        <v>7.5999999999999996</v>
      </c>
      <c r="K12" s="3">
        <f>values!E43</f>
        <v>0.080000000000000002</v>
      </c>
      <c r="L12" s="3">
        <f t="shared" si="263"/>
        <v>0.080000000000000002</v>
      </c>
      <c r="M12" s="3">
        <v>0</v>
      </c>
      <c r="N12" s="3">
        <f>values!E71</f>
        <v>1.27</v>
      </c>
      <c r="O12" s="3">
        <f t="shared" si="266"/>
        <v>1.27</v>
      </c>
      <c r="P12" s="35">
        <v>0</v>
      </c>
      <c r="Q12" s="42">
        <f>values!D12</f>
        <v>5.2750000000000004</v>
      </c>
      <c r="R12" s="2">
        <f>values!D43</f>
        <v>0.058900000000000001</v>
      </c>
      <c r="S12" s="2">
        <f t="shared" si="270"/>
        <v>0.058900000000000001</v>
      </c>
      <c r="T12" s="2">
        <v>0</v>
      </c>
      <c r="U12" s="2">
        <f>values!D71</f>
        <v>0.81400000000000006</v>
      </c>
      <c r="V12" s="2">
        <f t="shared" si="267"/>
        <v>0.81400000000000006</v>
      </c>
      <c r="W12" s="58">
        <v>0</v>
      </c>
    </row>
    <row r="13">
      <c r="A13" t="s">
        <v>540</v>
      </c>
      <c r="B13" t="s">
        <v>621</v>
      </c>
      <c r="C13" s="1">
        <f>values!C11</f>
        <v>25</v>
      </c>
      <c r="D13" s="1">
        <f>values!C40</f>
        <v>0.56212000000000006</v>
      </c>
      <c r="E13" s="1">
        <f t="shared" si="262"/>
        <v>0.56212000000000006</v>
      </c>
      <c r="F13" s="1">
        <f>values!C24*values!C21</f>
        <v>0.3276268085106383</v>
      </c>
      <c r="G13" s="1">
        <f>values!C70</f>
        <v>1.1805555555555556</v>
      </c>
      <c r="H13" s="1">
        <f>G13</f>
        <v>1.1805555555555556</v>
      </c>
      <c r="I13" s="1">
        <f>values!C91</f>
        <v>0.00034200000000000002</v>
      </c>
      <c r="J13" s="34">
        <f>values!E11</f>
        <v>131.16666666666666</v>
      </c>
      <c r="K13" s="3">
        <f>values!E40</f>
        <v>1.6472560000000001</v>
      </c>
      <c r="L13" s="3">
        <f t="shared" si="263"/>
        <v>1.6472560000000001</v>
      </c>
      <c r="M13" s="3">
        <f>values!E24*values!E21</f>
        <v>0.97414371063829786</v>
      </c>
      <c r="N13" s="3">
        <f>values!E70</f>
        <v>40</v>
      </c>
      <c r="O13" s="3">
        <f t="shared" ref="O13:O15" si="271">N13</f>
        <v>40</v>
      </c>
      <c r="P13" s="35">
        <f>values!E91</f>
        <v>0.00034200000000000002</v>
      </c>
      <c r="Q13" s="42">
        <f>values!D11</f>
        <v>60.918192982456127</v>
      </c>
      <c r="R13" s="2">
        <f>values!D40</f>
        <v>0.96488228368794338</v>
      </c>
      <c r="S13" s="2">
        <f t="shared" si="270"/>
        <v>0.96488228368794338</v>
      </c>
      <c r="T13" s="2">
        <f>values!D24*values!D21</f>
        <v>0.6018111320170213</v>
      </c>
      <c r="U13" s="2">
        <f>values!D70</f>
        <v>14.092042198993417</v>
      </c>
      <c r="V13" s="2">
        <f t="shared" ref="V13:V15" si="272">U13</f>
        <v>14.092042198993417</v>
      </c>
      <c r="W13" s="58">
        <f>values!D91</f>
        <v>0.00034200000000000002</v>
      </c>
    </row>
    <row r="14">
      <c r="A14" t="s">
        <v>608</v>
      </c>
      <c r="B14" t="s">
        <v>622</v>
      </c>
      <c r="C14" s="1">
        <f>(C8*C13)/C10</f>
        <v>0.0064163547295868571</v>
      </c>
      <c r="D14" s="1">
        <f>(D8*D13)/D10</f>
        <v>0.00014427045282381458</v>
      </c>
      <c r="E14" s="1">
        <f t="shared" si="262"/>
        <v>0.00014427045282381458</v>
      </c>
      <c r="F14" s="1">
        <f>(F8*F13)/F10</f>
        <v>8.4086792893067264e-05</v>
      </c>
      <c r="G14" s="1">
        <f>(G8*G13)/G10</f>
        <v>0.00030299452889715714</v>
      </c>
      <c r="H14" s="1">
        <f t="shared" si="265"/>
        <v>0.00030299452889715714</v>
      </c>
      <c r="I14" s="1">
        <f>(I8*I13)/I10</f>
        <v>8.7775732700748212e-08</v>
      </c>
      <c r="J14" s="34">
        <f>(J8*J13)/J10</f>
        <v>0.033664474481232373</v>
      </c>
      <c r="K14" s="3">
        <f>(K8*K13)/K10</f>
        <v>0.00042277515305761315</v>
      </c>
      <c r="L14" s="3">
        <f t="shared" si="263"/>
        <v>0.00042277515305761315</v>
      </c>
      <c r="M14" s="3">
        <f>(M8*M13)/M10</f>
        <v>0.00025001806420205331</v>
      </c>
      <c r="N14" s="3">
        <f>(N8*N13)/N10</f>
        <v>0.010266167567338971</v>
      </c>
      <c r="O14" s="3">
        <f t="shared" si="271"/>
        <v>0.010266167567338971</v>
      </c>
      <c r="P14" s="35">
        <f>(P8*P13)/P10</f>
        <v>8.7775732700748212e-08</v>
      </c>
      <c r="Q14" s="42">
        <f>(Q8*Q13)/Q10</f>
        <v>0.015634909426434692</v>
      </c>
      <c r="R14" s="2">
        <f>(R8*R13)/R10</f>
        <v>0.00024764108017742812</v>
      </c>
      <c r="S14" s="2">
        <f t="shared" si="270"/>
        <v>0.00024764108017742812</v>
      </c>
      <c r="T14" s="2">
        <f>(T8*T13)/T10</f>
        <v>0.0001544573481294174</v>
      </c>
      <c r="U14" s="2">
        <f>(U8*U13)/U10</f>
        <v>0.0036167816645219591</v>
      </c>
      <c r="V14" s="2">
        <f t="shared" si="272"/>
        <v>0.0036167816645219591</v>
      </c>
      <c r="W14" s="58">
        <f>(W8*W13)/W10</f>
        <v>8.7775732700748212e-08</v>
      </c>
    </row>
    <row r="15">
      <c r="A15" t="s">
        <v>609</v>
      </c>
      <c r="B15" t="s">
        <v>622</v>
      </c>
      <c r="C15" s="1">
        <f>(C9*C13)/C10</f>
        <v>0.0013698630136986301</v>
      </c>
      <c r="D15" s="1">
        <f>(D9*D13)/D10</f>
        <v>3.8501369863013707e-05</v>
      </c>
      <c r="E15" s="1">
        <f t="shared" si="262"/>
        <v>3.8501369863013707e-05</v>
      </c>
      <c r="F15" s="1">
        <f>(F9*F13)/F10</f>
        <v>4.4880384727484695e-06</v>
      </c>
      <c r="G15" s="1">
        <f>(G9*G13)/G10</f>
        <v>6.4687975646879759e-05</v>
      </c>
      <c r="H15" s="1">
        <f t="shared" si="265"/>
        <v>6.4687975646879759e-05</v>
      </c>
      <c r="I15" s="1">
        <f>(I9*I13)/I10</f>
        <v>9.3698630136986303e-09</v>
      </c>
      <c r="J15" s="34">
        <f>(J9*J13)/J10</f>
        <v>0.014374429223744292</v>
      </c>
      <c r="K15" s="3">
        <f>(K9*K13)/K10</f>
        <v>0.00013539090410958902</v>
      </c>
      <c r="L15" s="3">
        <f t="shared" si="263"/>
        <v>0.00013539090410958902</v>
      </c>
      <c r="M15" s="3">
        <f>(M9*M13)/M10</f>
        <v>0.00010675547513844361</v>
      </c>
      <c r="N15" s="3">
        <f>(N9*N13)/N10</f>
        <v>0.004383561643835617</v>
      </c>
      <c r="O15" s="3">
        <f t="shared" si="271"/>
        <v>0.004383561643835617</v>
      </c>
      <c r="P15" s="35">
        <f>(P9*P13)/P10</f>
        <v>9.3698630136986303e-09</v>
      </c>
      <c r="Q15" s="42">
        <f>(Q9*Q13)/Q10</f>
        <v>0.0044506442361611775</v>
      </c>
      <c r="R15" s="2">
        <f>(R9*R13)/R10</f>
        <v>6.6087827649859135e-05</v>
      </c>
      <c r="S15" s="2">
        <f t="shared" si="270"/>
        <v>6.6087827649859135e-05</v>
      </c>
      <c r="T15" s="2">
        <f>(T9*T13)/T10</f>
        <v>3.3635471488074615e-05</v>
      </c>
      <c r="U15" s="2">
        <f>(U9*U13)/U10</f>
        <v>0.0011582500437528835</v>
      </c>
      <c r="V15" s="2">
        <f t="shared" si="272"/>
        <v>0.0011582500437528835</v>
      </c>
      <c r="W15" s="58">
        <f>(W9*W13)/W10</f>
        <v>9.3698630136986303e-09</v>
      </c>
    </row>
    <row r="16">
      <c r="A16" t="s">
        <v>724</v>
      </c>
      <c r="B16" t="s">
        <v>622</v>
      </c>
      <c r="C16" s="1">
        <f>C11*(C12/100)*C22</f>
        <v>6.048000000000001e-05</v>
      </c>
      <c r="D16" s="1">
        <f t="shared" ref="D16:W16" si="273">D11*(D12/100)*D22</f>
        <v>2.6460000000000003e-07</v>
      </c>
      <c r="E16" s="1">
        <f t="shared" si="273"/>
        <v>2.6460000000000003e-07</v>
      </c>
      <c r="F16" s="1">
        <f t="shared" si="273"/>
        <v>0</v>
      </c>
      <c r="G16" s="1">
        <f t="shared" si="273"/>
        <v>4.2000000000000004e-06</v>
      </c>
      <c r="H16" s="1">
        <f t="shared" si="273"/>
        <v>4.2000000000000004e-06</v>
      </c>
      <c r="I16" s="1">
        <f t="shared" si="273"/>
        <v>0</v>
      </c>
      <c r="J16" s="1">
        <f t="shared" si="273"/>
        <v>0.0031693617021276597</v>
      </c>
      <c r="K16" s="1">
        <f t="shared" si="273"/>
        <v>1.0008510638297874e-05</v>
      </c>
      <c r="L16" s="1">
        <f t="shared" si="273"/>
        <v>1.0008510638297874e-05</v>
      </c>
      <c r="M16" s="1">
        <f t="shared" si="273"/>
        <v>0</v>
      </c>
      <c r="N16" s="1">
        <f t="shared" si="273"/>
        <v>0.0001986063829787234</v>
      </c>
      <c r="O16" s="1">
        <f t="shared" si="273"/>
        <v>0.0001986063829787234</v>
      </c>
      <c r="P16" s="1">
        <f t="shared" si="273"/>
        <v>0</v>
      </c>
      <c r="Q16" s="1">
        <f>Q11*(Q12/100)*Q22</f>
        <v>0.00085303091223404303</v>
      </c>
      <c r="R16" s="1">
        <f t="shared" si="273"/>
        <v>2.9598033244680854e-06</v>
      </c>
      <c r="S16" s="1">
        <f t="shared" si="273"/>
        <v>2.9598033244680854e-06</v>
      </c>
      <c r="T16" s="1">
        <f t="shared" si="273"/>
        <v>0</v>
      </c>
      <c r="U16" s="1">
        <f t="shared" si="273"/>
        <v>4.7954496656534972e-05</v>
      </c>
      <c r="V16" s="1">
        <f t="shared" si="273"/>
        <v>4.7954496656534972e-05</v>
      </c>
      <c r="W16" s="1">
        <f t="shared" si="273"/>
        <v>0</v>
      </c>
    </row>
    <row r="17">
      <c r="A17" t="s">
        <v>725</v>
      </c>
      <c r="B17" t="s">
        <v>622</v>
      </c>
      <c r="C17" s="1">
        <f t="shared" ref="C17:W17" si="274">C14+C15+C16</f>
        <v>0.0078466977432854867</v>
      </c>
      <c r="D17" s="1">
        <f t="shared" si="274"/>
        <v>0.00018303642268682827</v>
      </c>
      <c r="E17" s="1">
        <f t="shared" si="274"/>
        <v>0.00018303642268682827</v>
      </c>
      <c r="F17" s="1">
        <f t="shared" si="274"/>
        <v>8.8574831365815731e-05</v>
      </c>
      <c r="G17" s="1">
        <f t="shared" si="274"/>
        <v>0.0003718825045440369</v>
      </c>
      <c r="H17" s="1">
        <f t="shared" si="274"/>
        <v>0.0003718825045440369</v>
      </c>
      <c r="I17" s="1">
        <f t="shared" si="274"/>
        <v>9.7145595714446842e-08</v>
      </c>
      <c r="J17" s="1">
        <f t="shared" si="274"/>
        <v>0.051208265407104325</v>
      </c>
      <c r="K17" s="1">
        <f t="shared" si="274"/>
        <v>0.00056817456780550006</v>
      </c>
      <c r="L17" s="1">
        <f t="shared" si="274"/>
        <v>0.00056817456780550006</v>
      </c>
      <c r="M17" s="1">
        <f t="shared" si="274"/>
        <v>0.00035677353934049691</v>
      </c>
      <c r="N17" s="1">
        <f t="shared" si="274"/>
        <v>0.014848335594153312</v>
      </c>
      <c r="O17" s="1">
        <f t="shared" si="274"/>
        <v>0.014848335594153312</v>
      </c>
      <c r="P17" s="1">
        <f t="shared" si="274"/>
        <v>9.7145595714446842e-08</v>
      </c>
      <c r="Q17" s="1">
        <f t="shared" si="274"/>
        <v>0.020938584574829913</v>
      </c>
      <c r="R17" s="1">
        <f t="shared" si="274"/>
        <v>0.0003166887111517553</v>
      </c>
      <c r="S17" s="1">
        <f t="shared" si="274"/>
        <v>0.0003166887111517553</v>
      </c>
      <c r="T17" s="1">
        <f t="shared" si="274"/>
        <v>0.00018809281961749201</v>
      </c>
      <c r="U17" s="1">
        <f t="shared" si="274"/>
        <v>0.004822986204931377</v>
      </c>
      <c r="V17" s="1">
        <f t="shared" si="274"/>
        <v>0.004822986204931377</v>
      </c>
      <c r="W17" s="1">
        <f t="shared" si="274"/>
        <v>9.7145595714446842e-08</v>
      </c>
    </row>
    <row r="18">
      <c r="A18" t="s">
        <v>726</v>
      </c>
      <c r="B18" t="s">
        <v>727</v>
      </c>
      <c r="C18" s="1">
        <f>(C17/C6)*1000</f>
        <v>0.23542447474603923</v>
      </c>
      <c r="D18" s="1">
        <f t="shared" ref="D18:W18" si="275">(D17/D6)*1000</f>
        <v>0.035199312055159283</v>
      </c>
      <c r="E18" s="1">
        <f t="shared" si="275"/>
        <v>0.035199312055159283</v>
      </c>
      <c r="F18" s="1">
        <f t="shared" si="275"/>
        <v>0.043141407338371365</v>
      </c>
      <c r="G18" s="1">
        <f t="shared" si="275"/>
        <v>0.026775540327170656</v>
      </c>
      <c r="H18" s="1">
        <f t="shared" si="275"/>
        <v>0.026775540327170656</v>
      </c>
      <c r="I18" s="1">
        <f t="shared" si="275"/>
        <v>4.7260019536757918e-05</v>
      </c>
      <c r="J18" s="1">
        <f t="shared" si="275"/>
        <v>1.5364016023733671</v>
      </c>
      <c r="K18" s="1">
        <f t="shared" si="275"/>
        <v>0.10926433996259616</v>
      </c>
      <c r="L18" s="1">
        <f t="shared" si="275"/>
        <v>0.10926433996259616</v>
      </c>
      <c r="M18" s="1">
        <f t="shared" si="275"/>
        <v>0.17377072415382622</v>
      </c>
      <c r="N18" s="1">
        <f>(N17/N6)*1000</f>
        <v>1.0690801627790385</v>
      </c>
      <c r="O18" s="1">
        <f t="shared" si="275"/>
        <v>1.0690801627790385</v>
      </c>
      <c r="P18" s="1">
        <f t="shared" si="275"/>
        <v>4.7260019536757918e-05</v>
      </c>
      <c r="Q18" s="1">
        <f t="shared" si="275"/>
        <v>0.62822035928082542</v>
      </c>
      <c r="R18" s="1">
        <f t="shared" si="275"/>
        <v>0.060901675221491404</v>
      </c>
      <c r="S18" s="1">
        <f t="shared" si="275"/>
        <v>0.060901675221491404</v>
      </c>
      <c r="T18" s="1">
        <f t="shared" si="275"/>
        <v>0.091612807198329579</v>
      </c>
      <c r="U18" s="1">
        <f t="shared" si="275"/>
        <v>0.3472550067550591</v>
      </c>
      <c r="V18" s="1">
        <f t="shared" si="275"/>
        <v>0.3472550067550591</v>
      </c>
      <c r="W18" s="1">
        <f t="shared" si="275"/>
        <v>4.7260019536757918e-05</v>
      </c>
    </row>
    <row r="19">
      <c r="J19" s="37"/>
      <c r="P19" s="38"/>
    </row>
    <row r="20">
      <c r="A20" t="s">
        <v>623</v>
      </c>
      <c r="B20" t="s">
        <v>62</v>
      </c>
      <c r="C20" s="44">
        <f>assumptions!C16</f>
        <v>60</v>
      </c>
      <c r="D20">
        <f>C20</f>
        <v>60</v>
      </c>
      <c r="E20">
        <f t="shared" si="262"/>
        <v>60</v>
      </c>
      <c r="F20">
        <f>D20</f>
        <v>60</v>
      </c>
      <c r="G20">
        <f>E20</f>
        <v>60</v>
      </c>
      <c r="H20">
        <f t="shared" si="265"/>
        <v>60</v>
      </c>
      <c r="I20">
        <f>C20</f>
        <v>60</v>
      </c>
      <c r="J20" s="37">
        <f>C20</f>
        <v>60</v>
      </c>
      <c r="K20">
        <f>C20</f>
        <v>60</v>
      </c>
      <c r="L20">
        <f>C20</f>
        <v>60</v>
      </c>
      <c r="M20">
        <f>C20</f>
        <v>60</v>
      </c>
      <c r="N20">
        <f>C20</f>
        <v>60</v>
      </c>
      <c r="O20">
        <f>C20</f>
        <v>60</v>
      </c>
      <c r="P20" s="38">
        <f>C20</f>
        <v>60</v>
      </c>
      <c r="Q20">
        <f>C20</f>
        <v>60</v>
      </c>
      <c r="R20">
        <f>C20</f>
        <v>60</v>
      </c>
      <c r="S20">
        <f>C20</f>
        <v>60</v>
      </c>
      <c r="T20">
        <f>C20</f>
        <v>60</v>
      </c>
      <c r="U20">
        <f>C20</f>
        <v>60</v>
      </c>
      <c r="V20">
        <f>C20</f>
        <v>60</v>
      </c>
      <c r="W20">
        <f>C20</f>
        <v>60</v>
      </c>
    </row>
    <row r="21">
      <c r="J21" s="37"/>
      <c r="P21" s="38"/>
    </row>
    <row r="22">
      <c r="C22" s="59">
        <f>assumptions!C5</f>
        <v>0.070000000000000007</v>
      </c>
      <c r="D22">
        <f>assumptions!C5</f>
        <v>0.070000000000000007</v>
      </c>
      <c r="E22">
        <f>assumptions!C5</f>
        <v>0.070000000000000007</v>
      </c>
      <c r="G22">
        <f>assumptions!C5</f>
        <v>0.070000000000000007</v>
      </c>
      <c r="H22">
        <f>assumptions!C5</f>
        <v>0.070000000000000007</v>
      </c>
      <c r="J22" s="37">
        <f>assumptions!E5</f>
        <v>0.10425531914893618</v>
      </c>
      <c r="K22" s="37">
        <f>assumptions!E5</f>
        <v>0.10425531914893618</v>
      </c>
      <c r="L22" s="37">
        <f>assumptions!E5</f>
        <v>0.10425531914893618</v>
      </c>
      <c r="M22">
        <f>assumptions!E5</f>
        <v>0.10425531914893618</v>
      </c>
      <c r="N22">
        <f>assumptions!E5</f>
        <v>0.10425531914893618</v>
      </c>
      <c r="O22">
        <f>assumptions!E5</f>
        <v>0.10425531914893618</v>
      </c>
      <c r="P22" s="38">
        <f>assumptions!E5</f>
        <v>0.10425531914893618</v>
      </c>
      <c r="Q22">
        <f>assumptions!D5</f>
        <v>0.086453900709219877</v>
      </c>
      <c r="R22">
        <f>assumptions!D5</f>
        <v>0.086453900709219877</v>
      </c>
      <c r="S22">
        <f>assumptions!D5</f>
        <v>0.086453900709219877</v>
      </c>
      <c r="T22">
        <f>assumptions!D5</f>
        <v>0.086453900709219877</v>
      </c>
      <c r="U22">
        <f>assumptions!D5</f>
        <v>0.086453900709219877</v>
      </c>
      <c r="V22">
        <f>assumptions!D5</f>
        <v>0.086453900709219877</v>
      </c>
      <c r="W22">
        <f>assumptions!D5</f>
        <v>0.086453900709219877</v>
      </c>
    </row>
    <row r="23">
      <c r="A23" t="s">
        <v>728</v>
      </c>
      <c r="B23" t="s">
        <v>32</v>
      </c>
      <c r="C23" s="59">
        <f>assumptions!C5</f>
        <v>0.070000000000000007</v>
      </c>
      <c r="D23" s="59">
        <f>assumptions!C5</f>
        <v>0.070000000000000007</v>
      </c>
      <c r="E23" s="59">
        <f>assumptions!C5</f>
        <v>0.070000000000000007</v>
      </c>
      <c r="F23" s="59"/>
      <c r="G23" s="59">
        <f>assumptions!C5</f>
        <v>0.070000000000000007</v>
      </c>
      <c r="H23" s="59">
        <f t="shared" ref="H23:H31" si="276">G23</f>
        <v>0.070000000000000007</v>
      </c>
      <c r="I23" s="59"/>
      <c r="J23" s="37">
        <f>assumptions!E5</f>
        <v>0.10425531914893618</v>
      </c>
      <c r="K23">
        <f>assumptions!E5</f>
        <v>0.10425531914893618</v>
      </c>
      <c r="L23">
        <f>assumptions!E5</f>
        <v>0.10425531914893618</v>
      </c>
      <c r="M23">
        <f>assumptions!E5</f>
        <v>0.10425531914893618</v>
      </c>
      <c r="N23">
        <f>assumptions!E5</f>
        <v>0.10425531914893618</v>
      </c>
      <c r="O23">
        <f>assumptions!E5</f>
        <v>0.10425531914893618</v>
      </c>
      <c r="P23" s="38">
        <f>assumptions!E5</f>
        <v>0.10425531914893618</v>
      </c>
      <c r="Q23">
        <f>assumptions!D5</f>
        <v>0.086453900709219877</v>
      </c>
      <c r="R23">
        <f>assumptions!D5</f>
        <v>0.086453900709219877</v>
      </c>
      <c r="S23">
        <f>assumptions!D5</f>
        <v>0.086453900709219877</v>
      </c>
      <c r="T23">
        <f>assumptions!D5</f>
        <v>0.086453900709219877</v>
      </c>
      <c r="U23">
        <f>assumptions!D5</f>
        <v>0.086453900709219877</v>
      </c>
      <c r="V23">
        <f>assumptions!D5</f>
        <v>0.086453900709219877</v>
      </c>
      <c r="W23">
        <f>assumptions!D5</f>
        <v>0.086453900709219877</v>
      </c>
    </row>
    <row r="24">
      <c r="A24" t="s">
        <v>728</v>
      </c>
      <c r="B24" t="s">
        <v>32</v>
      </c>
      <c r="C24" s="59">
        <f>assumptions!C5</f>
        <v>0.070000000000000007</v>
      </c>
      <c r="D24" s="59">
        <f>assumptions!C5</f>
        <v>0.070000000000000007</v>
      </c>
      <c r="E24" s="59">
        <f>assumptions!C5</f>
        <v>0.070000000000000007</v>
      </c>
      <c r="F24" s="59"/>
      <c r="G24" s="59">
        <f>assumptions!C5</f>
        <v>0.070000000000000007</v>
      </c>
      <c r="H24" s="59">
        <f t="shared" si="276"/>
        <v>0.070000000000000007</v>
      </c>
      <c r="I24" s="59"/>
      <c r="J24" s="37">
        <f>assumptions!E5</f>
        <v>0.10425531914893618</v>
      </c>
      <c r="K24">
        <f>assumptions!E5</f>
        <v>0.10425531914893618</v>
      </c>
      <c r="L24">
        <f>assumptions!E5</f>
        <v>0.10425531914893618</v>
      </c>
      <c r="M24">
        <f>assumptions!E5</f>
        <v>0.10425531914893618</v>
      </c>
      <c r="N24">
        <f>assumptions!E5</f>
        <v>0.10425531914893618</v>
      </c>
      <c r="O24">
        <f>assumptions!E5</f>
        <v>0.10425531914893618</v>
      </c>
      <c r="P24" s="38">
        <f>assumptions!E5</f>
        <v>0.10425531914893618</v>
      </c>
      <c r="Q24">
        <f>assumptions!D5</f>
        <v>0.086453900709219877</v>
      </c>
      <c r="R24">
        <f>assumptions!D5</f>
        <v>0.086453900709219877</v>
      </c>
      <c r="S24">
        <f>assumptions!D5</f>
        <v>0.086453900709219877</v>
      </c>
      <c r="T24">
        <f>assumptions!D5</f>
        <v>0.086453900709219877</v>
      </c>
      <c r="U24">
        <f>assumptions!D5</f>
        <v>0.086453900709219877</v>
      </c>
      <c r="V24">
        <f>assumptions!D5</f>
        <v>0.086453900709219877</v>
      </c>
      <c r="W24">
        <f>assumptions!D5</f>
        <v>0.086453900709219877</v>
      </c>
    </row>
    <row r="25">
      <c r="A25" t="s">
        <v>728</v>
      </c>
      <c r="B25" t="s">
        <v>32</v>
      </c>
      <c r="C25" s="59">
        <f>assumptions!C5</f>
        <v>0.070000000000000007</v>
      </c>
      <c r="D25" s="59">
        <f>assumptions!C5</f>
        <v>0.070000000000000007</v>
      </c>
      <c r="E25" s="59">
        <f>assumptions!C5</f>
        <v>0.070000000000000007</v>
      </c>
      <c r="F25" s="59"/>
      <c r="G25" s="59">
        <f>assumptions!C5</f>
        <v>0.070000000000000007</v>
      </c>
      <c r="H25" s="59">
        <f t="shared" si="276"/>
        <v>0.070000000000000007</v>
      </c>
      <c r="I25" s="59"/>
      <c r="J25" s="37">
        <f>assumptions!E5</f>
        <v>0.10425531914893618</v>
      </c>
      <c r="K25">
        <f>assumptions!E5</f>
        <v>0.10425531914893618</v>
      </c>
      <c r="L25">
        <f>assumptions!E5</f>
        <v>0.10425531914893618</v>
      </c>
      <c r="M25">
        <f>assumptions!E5</f>
        <v>0.10425531914893618</v>
      </c>
      <c r="N25">
        <f>assumptions!E5</f>
        <v>0.10425531914893618</v>
      </c>
      <c r="O25">
        <f>assumptions!E5</f>
        <v>0.10425531914893618</v>
      </c>
      <c r="P25" s="38">
        <f>assumptions!E5</f>
        <v>0.10425531914893618</v>
      </c>
      <c r="Q25">
        <f>assumptions!D5</f>
        <v>0.086453900709219877</v>
      </c>
      <c r="R25">
        <f>assumptions!D5</f>
        <v>0.086453900709219877</v>
      </c>
      <c r="S25">
        <f>assumptions!D5</f>
        <v>0.086453900709219877</v>
      </c>
      <c r="T25">
        <f>assumptions!D5</f>
        <v>0.086453900709219877</v>
      </c>
      <c r="U25">
        <f>assumptions!D5</f>
        <v>0.086453900709219877</v>
      </c>
      <c r="V25">
        <f>assumptions!D5</f>
        <v>0.086453900709219877</v>
      </c>
      <c r="W25">
        <f>assumptions!D5</f>
        <v>0.086453900709219877</v>
      </c>
    </row>
    <row r="26">
      <c r="J26" s="37"/>
      <c r="P26" s="38"/>
    </row>
    <row r="27" ht="14.75" customHeight="1">
      <c r="A27" t="s">
        <v>704</v>
      </c>
      <c r="B27" t="s">
        <v>368</v>
      </c>
      <c r="J27" s="37"/>
      <c r="P27" s="38"/>
    </row>
    <row r="28" ht="14.75" customHeight="1">
      <c r="B28" t="s">
        <v>550</v>
      </c>
      <c r="C28">
        <f>Shipping!D106</f>
        <v>11760000</v>
      </c>
      <c r="D28">
        <f>Shipping!E106</f>
        <v>107200000</v>
      </c>
      <c r="E28">
        <f t="shared" ref="E28:E31" si="277">D28</f>
        <v>107200000</v>
      </c>
      <c r="F28">
        <f>Shipping!F106</f>
        <v>140800000</v>
      </c>
      <c r="G28">
        <f>Shipping!G106</f>
        <v>65600000</v>
      </c>
      <c r="H28">
        <f t="shared" si="276"/>
        <v>65600000</v>
      </c>
      <c r="I28">
        <f>Shipping!H106</f>
        <v>159956100</v>
      </c>
      <c r="J28" s="37">
        <f>Shipping!I106</f>
        <v>11760000</v>
      </c>
      <c r="K28">
        <f>Shipping!J106</f>
        <v>107200000</v>
      </c>
      <c r="L28">
        <f t="shared" ref="L28:L31" si="278">K28</f>
        <v>107200000</v>
      </c>
      <c r="M28">
        <f>Shipping!K106</f>
        <v>140800000</v>
      </c>
      <c r="N28">
        <f>Shipping!L106</f>
        <v>65600000</v>
      </c>
      <c r="O28">
        <f t="shared" ref="O28:O31" si="279">N28</f>
        <v>65600000</v>
      </c>
      <c r="P28" s="38">
        <f>Shipping!M106</f>
        <v>159956100</v>
      </c>
      <c r="Q28">
        <f>Shipping!N106</f>
        <v>11760000</v>
      </c>
      <c r="R28">
        <f>Shipping!O106</f>
        <v>107200000</v>
      </c>
      <c r="S28">
        <f t="shared" ref="S28:S31" si="280">R28</f>
        <v>107200000</v>
      </c>
      <c r="T28">
        <f>Shipping!P106</f>
        <v>140800000</v>
      </c>
      <c r="U28">
        <f>Shipping!Q106</f>
        <v>65600000</v>
      </c>
      <c r="V28">
        <f t="shared" ref="V28:V31" si="281">U28</f>
        <v>65600000</v>
      </c>
      <c r="W28">
        <f>Shipping!R106</f>
        <v>159956100</v>
      </c>
    </row>
    <row r="29">
      <c r="B29" t="s">
        <v>551</v>
      </c>
      <c r="C29">
        <f>Shipping!D107</f>
        <v>11388155.295529554</v>
      </c>
      <c r="D29">
        <f>Shipping!E107</f>
        <v>104816618.46153846</v>
      </c>
      <c r="E29">
        <f t="shared" si="277"/>
        <v>104816618.46153846</v>
      </c>
      <c r="F29">
        <f>Shipping!F107</f>
        <v>130539559.99236287</v>
      </c>
      <c r="G29">
        <f>Shipping!G107</f>
        <v>64707661.952</v>
      </c>
      <c r="H29">
        <f t="shared" si="276"/>
        <v>64707661.952</v>
      </c>
      <c r="I29">
        <f>Shipping!H107</f>
        <v>156046323.62544698</v>
      </c>
      <c r="J29" s="37">
        <f>Shipping!I107</f>
        <v>11388155.295529554</v>
      </c>
      <c r="K29">
        <f>Shipping!J107</f>
        <v>104816618.46153846</v>
      </c>
      <c r="L29">
        <f t="shared" si="278"/>
        <v>104816618.46153846</v>
      </c>
      <c r="M29">
        <f>Shipping!K107</f>
        <v>130539559.99236287</v>
      </c>
      <c r="N29">
        <f>Shipping!L107</f>
        <v>64563019.919015445</v>
      </c>
      <c r="O29">
        <f t="shared" si="279"/>
        <v>64563019.919015445</v>
      </c>
      <c r="P29" s="38">
        <f>Shipping!M107</f>
        <v>156046323.62544698</v>
      </c>
      <c r="Q29">
        <f>Shipping!N107</f>
        <v>11388155.295529554</v>
      </c>
      <c r="R29">
        <f>Shipping!O107</f>
        <v>104816618.46153846</v>
      </c>
      <c r="S29">
        <f t="shared" si="280"/>
        <v>104816618.46153846</v>
      </c>
      <c r="T29">
        <f>Shipping!P107</f>
        <v>130539559.99236287</v>
      </c>
      <c r="U29">
        <f>Shipping!Q107</f>
        <v>64707661.952</v>
      </c>
      <c r="V29">
        <f t="shared" si="281"/>
        <v>64707661.952</v>
      </c>
      <c r="W29">
        <f>Shipping!R107</f>
        <v>156046323.62544698</v>
      </c>
    </row>
    <row r="30">
      <c r="B30" t="s">
        <v>552</v>
      </c>
      <c r="C30">
        <f>Shipping!D108</f>
        <v>10837611.761176117</v>
      </c>
      <c r="D30">
        <f>Shipping!E108</f>
        <v>101287846.15384616</v>
      </c>
      <c r="E30">
        <f t="shared" si="277"/>
        <v>101287846.15384616</v>
      </c>
      <c r="F30">
        <f>Shipping!F108</f>
        <v>117378164.95415774</v>
      </c>
      <c r="G30">
        <f>Shipping!G108</f>
        <v>63386489.600000001</v>
      </c>
      <c r="H30">
        <f t="shared" si="276"/>
        <v>63386489.600000001</v>
      </c>
      <c r="I30">
        <f>Shipping!H108</f>
        <v>150257611.08523908</v>
      </c>
      <c r="J30" s="37">
        <f>Shipping!I108</f>
        <v>10837611.761176117</v>
      </c>
      <c r="K30">
        <f>Shipping!J108</f>
        <v>101287846.15384616</v>
      </c>
      <c r="L30">
        <f t="shared" si="278"/>
        <v>101287846.15384616</v>
      </c>
      <c r="M30">
        <f>Shipping!K108</f>
        <v>117378164.95415774</v>
      </c>
      <c r="N30">
        <f>Shipping!L108</f>
        <v>63338850.174929462</v>
      </c>
      <c r="O30">
        <f t="shared" si="279"/>
        <v>63338850.174929462</v>
      </c>
      <c r="P30" s="38">
        <f>Shipping!M108</f>
        <v>150257611.08523908</v>
      </c>
      <c r="Q30">
        <f>Shipping!N108</f>
        <v>10837611.761176117</v>
      </c>
      <c r="R30">
        <f>Shipping!O108</f>
        <v>101287846.15384616</v>
      </c>
      <c r="S30">
        <f t="shared" si="280"/>
        <v>101287846.15384616</v>
      </c>
      <c r="T30">
        <f>Shipping!P108</f>
        <v>117378164.95415774</v>
      </c>
      <c r="U30">
        <f>Shipping!Q108</f>
        <v>63386489.600000001</v>
      </c>
      <c r="V30">
        <f t="shared" si="281"/>
        <v>63386489.600000001</v>
      </c>
      <c r="W30">
        <f>Shipping!R108</f>
        <v>150257611.08523908</v>
      </c>
    </row>
    <row r="31">
      <c r="B31" t="s">
        <v>553</v>
      </c>
      <c r="C31">
        <f>Shipping!D109</f>
        <v>9579163.0363036301</v>
      </c>
      <c r="D31">
        <f>Shipping!E109</f>
        <v>93221673.84615384</v>
      </c>
      <c r="E31">
        <f t="shared" si="277"/>
        <v>93221673.84615384</v>
      </c>
      <c r="F31">
        <f>Shipping!F109</f>
        <v>84276802.537396595</v>
      </c>
      <c r="G31">
        <f>Shipping!G109</f>
        <v>60366514.688000001</v>
      </c>
      <c r="H31">
        <f t="shared" si="276"/>
        <v>60366514.688000001</v>
      </c>
      <c r="I31">
        <f>Shipping!H109</f>
        <v>137025600.42611226</v>
      </c>
      <c r="J31" s="37">
        <f>Shipping!I109</f>
        <v>9579163.0363036301</v>
      </c>
      <c r="K31">
        <f>Shipping!J109</f>
        <v>93221673.84615384</v>
      </c>
      <c r="L31">
        <f t="shared" si="278"/>
        <v>93221673.84615384</v>
      </c>
      <c r="M31">
        <f>Shipping!K109</f>
        <v>84276802.537396595</v>
      </c>
      <c r="N31">
        <f>Shipping!L109</f>
        <v>60627067.51620958</v>
      </c>
      <c r="O31">
        <f t="shared" si="279"/>
        <v>60627067.51620958</v>
      </c>
      <c r="P31" s="38">
        <f>Shipping!M109</f>
        <v>137025600.42611226</v>
      </c>
      <c r="Q31">
        <f>Shipping!N109</f>
        <v>9579163.0363036301</v>
      </c>
      <c r="R31">
        <f>Shipping!O109</f>
        <v>93221673.84615384</v>
      </c>
      <c r="S31">
        <f t="shared" si="280"/>
        <v>93221673.84615384</v>
      </c>
      <c r="T31">
        <f>Shipping!P109</f>
        <v>84276802.537396595</v>
      </c>
      <c r="U31">
        <f>Shipping!Q109</f>
        <v>60366514.688000001</v>
      </c>
      <c r="V31">
        <f t="shared" si="281"/>
        <v>60366514.688000001</v>
      </c>
      <c r="W31">
        <f>Shipping!R109</f>
        <v>137025600.42611226</v>
      </c>
    </row>
    <row r="32">
      <c r="J32" s="37"/>
      <c r="P32" s="38"/>
    </row>
    <row r="33">
      <c r="A33" t="s">
        <v>626</v>
      </c>
      <c r="B33" t="s">
        <v>368</v>
      </c>
      <c r="J33" s="37"/>
      <c r="P33" s="38"/>
    </row>
    <row r="34">
      <c r="B34" t="s">
        <v>550</v>
      </c>
      <c r="J34" s="37"/>
      <c r="P34" s="38"/>
    </row>
    <row r="35">
      <c r="B35" t="s">
        <v>551</v>
      </c>
      <c r="F35">
        <f>F29*F4</f>
        <v>8041236.8955295533</v>
      </c>
      <c r="J35" s="37"/>
      <c r="M35">
        <f>M29*M4</f>
        <v>8041236.8955295533</v>
      </c>
      <c r="P35" s="38"/>
      <c r="Q35" s="37"/>
      <c r="T35">
        <f>T29*T4</f>
        <v>8041236.8955295533</v>
      </c>
      <c r="W35" s="38"/>
    </row>
    <row r="36">
      <c r="B36" t="s">
        <v>552</v>
      </c>
      <c r="F36">
        <f>F30*F4</f>
        <v>7230494.961176117</v>
      </c>
      <c r="J36" s="37"/>
      <c r="M36">
        <f>M30*M4</f>
        <v>7230494.961176117</v>
      </c>
      <c r="P36" s="38"/>
      <c r="Q36" s="37"/>
      <c r="T36">
        <f>T30*T4</f>
        <v>7230494.961176117</v>
      </c>
      <c r="W36" s="38"/>
    </row>
    <row r="37">
      <c r="B37" t="s">
        <v>553</v>
      </c>
      <c r="F37">
        <f>F31*F4</f>
        <v>5191451.0363036301</v>
      </c>
      <c r="J37" s="37"/>
      <c r="M37">
        <f>M31*M4</f>
        <v>5191451.0363036301</v>
      </c>
      <c r="P37" s="38"/>
      <c r="Q37" s="37"/>
      <c r="T37">
        <f>T31*T4</f>
        <v>5191451.0363036301</v>
      </c>
      <c r="W37" s="38"/>
    </row>
    <row r="38">
      <c r="J38" s="37"/>
      <c r="P38" s="38"/>
      <c r="Q38" s="37"/>
      <c r="W38" s="38"/>
    </row>
    <row r="39">
      <c r="A39" t="s">
        <v>627</v>
      </c>
      <c r="B39" t="s">
        <v>368</v>
      </c>
      <c r="J39" s="37"/>
      <c r="P39" s="38"/>
    </row>
    <row r="40">
      <c r="B40" t="s">
        <v>550</v>
      </c>
      <c r="C40">
        <f t="shared" ref="C40:W40" si="282">C28*(1-(1-(C11/100))^(C20))</f>
        <v>333936.38036252576</v>
      </c>
      <c r="D40">
        <f t="shared" si="282"/>
        <v>641306.22316225397</v>
      </c>
      <c r="E40">
        <f t="shared" si="282"/>
        <v>641306.22316225397</v>
      </c>
      <c r="F40">
        <f t="shared" si="282"/>
        <v>0</v>
      </c>
      <c r="G40">
        <f t="shared" si="282"/>
        <v>470651.8596455041</v>
      </c>
      <c r="H40">
        <f t="shared" si="282"/>
        <v>470651.8596455041</v>
      </c>
      <c r="I40">
        <f t="shared" si="282"/>
        <v>0</v>
      </c>
      <c r="J40" s="37">
        <f t="shared" si="282"/>
        <v>2513707.5161740608</v>
      </c>
      <c r="K40">
        <f t="shared" si="282"/>
        <v>7451400.6521755122</v>
      </c>
      <c r="L40">
        <f t="shared" si="282"/>
        <v>7451400.6521755122</v>
      </c>
      <c r="M40">
        <f t="shared" si="282"/>
        <v>0</v>
      </c>
      <c r="N40">
        <f t="shared" si="282"/>
        <v>5650165.0480881566</v>
      </c>
      <c r="O40">
        <f t="shared" si="282"/>
        <v>5650165.0480881566</v>
      </c>
      <c r="P40" s="38">
        <f t="shared" si="282"/>
        <v>0</v>
      </c>
      <c r="Q40" s="37">
        <f t="shared" si="282"/>
        <v>1249562.1085311223</v>
      </c>
      <c r="R40">
        <f t="shared" si="282"/>
        <v>3675209.1483481461</v>
      </c>
      <c r="S40">
        <f t="shared" si="282"/>
        <v>3675209.1483481461</v>
      </c>
      <c r="T40">
        <f t="shared" si="282"/>
        <v>0</v>
      </c>
      <c r="U40">
        <f t="shared" si="282"/>
        <v>2628890.3023327095</v>
      </c>
      <c r="V40">
        <f t="shared" si="282"/>
        <v>2628890.3023327095</v>
      </c>
      <c r="W40" s="38">
        <f t="shared" si="282"/>
        <v>0</v>
      </c>
    </row>
    <row r="41">
      <c r="B41" t="s">
        <v>551</v>
      </c>
      <c r="C41">
        <f>C29*(1-(1-(C11/100))^(C20))</f>
        <v>323377.49646219972</v>
      </c>
      <c r="D41">
        <f>D29*(1-(1-(D11/100))^(D20))</f>
        <v>627048.03834149451</v>
      </c>
      <c r="E41">
        <f t="shared" ref="E41:E43" si="283">D41</f>
        <v>627048.03834149451</v>
      </c>
      <c r="F41">
        <f>F29*(1-(1-(F11/100))^(F20))</f>
        <v>0</v>
      </c>
      <c r="G41">
        <f>G29*(1-(1-(G11/100))^(G20))</f>
        <v>464249.71693630225</v>
      </c>
      <c r="H41">
        <f t="shared" ref="H41:H43" si="284">G41</f>
        <v>464249.71693630225</v>
      </c>
      <c r="I41">
        <f>I29*(1-(1-(I11/100))^(I20))</f>
        <v>0</v>
      </c>
      <c r="J41" s="37">
        <f>J29*(1-(1-(J11/100))^(J20))</f>
        <v>2434225.4729362307</v>
      </c>
      <c r="K41">
        <f>K29*(1-(1-(K11/100))^(K20))</f>
        <v>7285733.3877158538</v>
      </c>
      <c r="L41">
        <f t="shared" ref="L41:L43" si="285">K41</f>
        <v>7285733.3877158538</v>
      </c>
      <c r="M41">
        <f>M29*(1-(1-(M11/100))^(M20))</f>
        <v>0</v>
      </c>
      <c r="N41">
        <f>N29*(1-(1-(N11/100))^(N20))</f>
        <v>5560849.3680707393</v>
      </c>
      <c r="O41">
        <f t="shared" ref="O41:O43" si="286">N41</f>
        <v>5560849.3680707393</v>
      </c>
      <c r="P41" s="38">
        <f>P29*(1-(1-(P11/100))^(P20))</f>
        <v>0</v>
      </c>
      <c r="Q41" s="37">
        <f>Q29*(1-(1-(Q11/100))^(Q20))</f>
        <v>1210051.6448436885</v>
      </c>
      <c r="R41">
        <f>R29*(1-(1-(R11/100))^(R20))</f>
        <v>3593498.0883280165</v>
      </c>
      <c r="S41">
        <f t="shared" ref="S41:S43" si="287">R41</f>
        <v>3593498.0883280165</v>
      </c>
      <c r="T41">
        <f>T29*(1-(1-(T11/100))^(T20))</f>
        <v>0</v>
      </c>
      <c r="U41">
        <f>U29*(1-(1-(U11/100))^(U20))</f>
        <v>2593130.2590279886</v>
      </c>
      <c r="V41">
        <f t="shared" ref="V41:V43" si="288">U41</f>
        <v>2593130.2590279886</v>
      </c>
      <c r="W41" s="38">
        <f>W29*(1-(1-(W11/100))^(W20))</f>
        <v>0</v>
      </c>
    </row>
    <row r="42">
      <c r="B42" t="s">
        <v>552</v>
      </c>
      <c r="C42">
        <f>C30*(1-(1-(C11/100))^(C20))</f>
        <v>307744.2893963852</v>
      </c>
      <c r="D42">
        <f>D30*(1-(1-(D11/100))^(D20))</f>
        <v>605937.74318248616</v>
      </c>
      <c r="E42">
        <f t="shared" si="283"/>
        <v>605937.74318248616</v>
      </c>
      <c r="F42">
        <f>F30*(1-(1-(F11/100))^(F20))</f>
        <v>0</v>
      </c>
      <c r="G42">
        <f>G30*(1-(1-(G11/100))^(G20))</f>
        <v>454770.87205244519</v>
      </c>
      <c r="H42">
        <f t="shared" si="284"/>
        <v>454770.87205244519</v>
      </c>
      <c r="I42">
        <f>I30*(1-(1-(I11/100))^(I20))</f>
        <v>0</v>
      </c>
      <c r="J42" s="37">
        <f>J30*(1-(1-(J11/100))^(J20))</f>
        <v>2316546.440599048</v>
      </c>
      <c r="K42">
        <f>K30*(1-(1-(K11/100))^(K20))</f>
        <v>7040450.7732110275</v>
      </c>
      <c r="L42">
        <f t="shared" si="285"/>
        <v>7040450.7732110275</v>
      </c>
      <c r="M42">
        <f>M30*(1-(1-(M11/100))^(M20))</f>
        <v>0</v>
      </c>
      <c r="N42">
        <f>N30*(1-(1-(N11/100))^(N20))</f>
        <v>5455410.9366536411</v>
      </c>
      <c r="O42">
        <f t="shared" si="286"/>
        <v>5455410.9366536411</v>
      </c>
      <c r="P42" s="38">
        <f>P30*(1-(1-(P11/100))^(P20))</f>
        <v>0</v>
      </c>
      <c r="Q42" s="37">
        <f>Q30*(1-(1-(Q11/100))^(Q20))</f>
        <v>1151553.486712323</v>
      </c>
      <c r="R42">
        <f>R30*(1-(1-(R11/100))^(R20))</f>
        <v>3472518.8320997669</v>
      </c>
      <c r="S42">
        <f t="shared" si="287"/>
        <v>3472518.8320997669</v>
      </c>
      <c r="T42">
        <f>T30*(1-(1-(T11/100))^(T20))</f>
        <v>0</v>
      </c>
      <c r="U42">
        <f>U30*(1-(1-(U11/100))^(U20))</f>
        <v>2540184.8751273346</v>
      </c>
      <c r="V42">
        <f t="shared" si="288"/>
        <v>2540184.8751273346</v>
      </c>
      <c r="W42" s="38">
        <f>W30*(1-(1-(W11/100))^(W20))</f>
        <v>0</v>
      </c>
    </row>
    <row r="43">
      <c r="B43" t="s">
        <v>553</v>
      </c>
      <c r="C43">
        <f>C31*(1-(1-(C11/100))^(C20))</f>
        <v>272009.44143246056</v>
      </c>
      <c r="D43">
        <f>D31*(1-(1-(D11/100))^(D20))</f>
        <v>557683.20495466783</v>
      </c>
      <c r="E43">
        <f t="shared" si="283"/>
        <v>557683.20495466783</v>
      </c>
      <c r="F43">
        <f>F31*(1-(1-(F11/100))^(F20))</f>
        <v>0</v>
      </c>
      <c r="G43">
        <f>G31*(1-(1-(G11/100))^(G20))</f>
        <v>433103.84753391519</v>
      </c>
      <c r="H43">
        <f t="shared" si="284"/>
        <v>433103.84753391519</v>
      </c>
      <c r="I43">
        <f>I31*(1-(1-(I11/100))^(I20))</f>
        <v>0</v>
      </c>
      <c r="J43" s="37">
        <f>J31*(1-(1-(J11/100))^(J20))</f>
        <v>2047552.2213446575</v>
      </c>
      <c r="K43">
        <f>K31*(1-(1-(K11/100))^(K20))</f>
        <v>6479776.5046093613</v>
      </c>
      <c r="L43">
        <f t="shared" si="285"/>
        <v>6479776.5046093613</v>
      </c>
      <c r="M43">
        <f>M31*(1-(1-(M11/100))^(M20))</f>
        <v>0</v>
      </c>
      <c r="N43">
        <f>N31*(1-(1-(N11/100))^(N20))</f>
        <v>5221843.5647586612</v>
      </c>
      <c r="O43">
        <f t="shared" si="286"/>
        <v>5221843.5647586612</v>
      </c>
      <c r="P43" s="38">
        <f>P31*(1-(1-(P11/100))^(P20))</f>
        <v>0</v>
      </c>
      <c r="Q43" s="37">
        <f>Q31*(1-(1-(Q11/100))^(Q20))</f>
        <v>1017836.6634019518</v>
      </c>
      <c r="R43">
        <f>R31*(1-(1-(R11/100))^(R20))</f>
        <v>3195980.8632808928</v>
      </c>
      <c r="S43">
        <f t="shared" si="287"/>
        <v>3195980.8632808928</v>
      </c>
      <c r="T43">
        <f>T31*(1-(1-(T11/100))^(T20))</f>
        <v>0</v>
      </c>
      <c r="U43">
        <f>U31*(1-(1-(U11/100))^(U20))</f>
        <v>2419160.7476967727</v>
      </c>
      <c r="V43">
        <f t="shared" si="288"/>
        <v>2419160.7476967727</v>
      </c>
      <c r="W43" s="38">
        <f>W31*(1-(1-(W11/100))^(W20))</f>
        <v>0</v>
      </c>
    </row>
    <row r="44">
      <c r="J44" s="37"/>
      <c r="P44" s="38"/>
    </row>
    <row r="45">
      <c r="A45" s="30" t="s">
        <v>628</v>
      </c>
      <c r="B45" s="30" t="s">
        <v>629</v>
      </c>
      <c r="C45" s="30"/>
      <c r="D45" s="30"/>
      <c r="E45" s="30"/>
      <c r="F45" s="30"/>
      <c r="G45" s="30"/>
      <c r="H45" s="30"/>
      <c r="I45" s="30"/>
      <c r="J45" s="39"/>
      <c r="K45" s="30"/>
      <c r="L45" s="30"/>
      <c r="M45" s="30"/>
      <c r="N45" s="30"/>
      <c r="O45" s="30"/>
      <c r="P45" s="40"/>
      <c r="Q45" s="39"/>
      <c r="R45" s="30"/>
      <c r="S45" s="30"/>
      <c r="T45" s="30"/>
      <c r="U45" s="30"/>
      <c r="V45" s="30"/>
      <c r="W45" s="40"/>
    </row>
    <row r="46">
      <c r="A46" s="30"/>
      <c r="B46" s="30" t="s">
        <v>550</v>
      </c>
      <c r="C46" s="30">
        <f t="shared" ref="C46:W46" si="289">C40*C12</f>
        <v>601085.48465254635</v>
      </c>
      <c r="D46" s="30">
        <f t="shared" si="289"/>
        <v>24241.3752355332</v>
      </c>
      <c r="E46" s="30">
        <f t="shared" si="289"/>
        <v>24241.3752355332</v>
      </c>
      <c r="F46" s="30">
        <f t="shared" si="289"/>
        <v>0</v>
      </c>
      <c r="G46" s="30">
        <f t="shared" si="289"/>
        <v>235325.92982275205</v>
      </c>
      <c r="H46" s="30">
        <f t="shared" si="289"/>
        <v>235325.92982275205</v>
      </c>
      <c r="I46" s="30">
        <f t="shared" si="289"/>
        <v>0</v>
      </c>
      <c r="J46" s="39">
        <f t="shared" si="289"/>
        <v>19104177.12292286</v>
      </c>
      <c r="K46" s="30">
        <f t="shared" si="289"/>
        <v>596112.05217404093</v>
      </c>
      <c r="L46" s="30">
        <f t="shared" si="289"/>
        <v>596112.05217404093</v>
      </c>
      <c r="M46" s="30">
        <f t="shared" si="289"/>
        <v>0</v>
      </c>
      <c r="N46" s="30">
        <f t="shared" si="289"/>
        <v>7175709.6110719591</v>
      </c>
      <c r="O46" s="30">
        <f t="shared" si="289"/>
        <v>7175709.6110719591</v>
      </c>
      <c r="P46" s="40">
        <f t="shared" si="289"/>
        <v>0</v>
      </c>
      <c r="Q46" s="39">
        <f t="shared" si="289"/>
        <v>6591440.1225016704</v>
      </c>
      <c r="R46" s="30">
        <f t="shared" si="289"/>
        <v>216469.8188377058</v>
      </c>
      <c r="S46" s="30">
        <f t="shared" si="289"/>
        <v>216469.8188377058</v>
      </c>
      <c r="T46" s="30">
        <f t="shared" si="289"/>
        <v>0</v>
      </c>
      <c r="U46" s="30">
        <f t="shared" si="289"/>
        <v>2139916.7060988257</v>
      </c>
      <c r="V46" s="30">
        <f t="shared" si="289"/>
        <v>2139916.7060988257</v>
      </c>
      <c r="W46" s="40">
        <f t="shared" si="289"/>
        <v>0</v>
      </c>
    </row>
    <row r="47">
      <c r="A47" s="30"/>
      <c r="B47" s="30" t="s">
        <v>551</v>
      </c>
      <c r="C47" s="30">
        <f>C41*C12</f>
        <v>582079.49363195954</v>
      </c>
      <c r="D47" s="30">
        <f>D41*D12</f>
        <v>23702.415849308494</v>
      </c>
      <c r="E47" s="30">
        <f t="shared" ref="E47:E49" si="290">D47</f>
        <v>23702.415849308494</v>
      </c>
      <c r="F47" s="30">
        <f>F41*F12</f>
        <v>0</v>
      </c>
      <c r="G47" s="30">
        <f>G41*G12</f>
        <v>232124.85846815113</v>
      </c>
      <c r="H47" s="30">
        <f t="shared" ref="H47:H49" si="291">G47</f>
        <v>232124.85846815113</v>
      </c>
      <c r="I47" s="30">
        <f>I41*I12</f>
        <v>0</v>
      </c>
      <c r="J47" s="39">
        <f>J41*J12</f>
        <v>18500113.594315354</v>
      </c>
      <c r="K47" s="30">
        <f>K41*K12</f>
        <v>582858.67101726832</v>
      </c>
      <c r="L47" s="30">
        <f t="shared" ref="L47:L49" si="292">K47</f>
        <v>582858.67101726832</v>
      </c>
      <c r="M47" s="30">
        <f>M41*M12</f>
        <v>0</v>
      </c>
      <c r="N47" s="30">
        <f>N41*N12</f>
        <v>7062278.6974498387</v>
      </c>
      <c r="O47" s="30">
        <f t="shared" ref="O47:O49" si="293">N47</f>
        <v>7062278.6974498387</v>
      </c>
      <c r="P47" s="40">
        <f>P41*P12</f>
        <v>0</v>
      </c>
      <c r="Q47" s="39">
        <f>Q41*Q12</f>
        <v>6383022.4265504573</v>
      </c>
      <c r="R47" s="30">
        <f>R41*R12</f>
        <v>211657.03740252016</v>
      </c>
      <c r="S47" s="30">
        <f t="shared" ref="S47:S49" si="294">R47</f>
        <v>211657.03740252016</v>
      </c>
      <c r="T47" s="30">
        <f>T41*T12</f>
        <v>0</v>
      </c>
      <c r="U47" s="30">
        <f>U41*U12</f>
        <v>2110808.030848783</v>
      </c>
      <c r="V47" s="30">
        <f t="shared" ref="V47:V49" si="295">U47</f>
        <v>2110808.030848783</v>
      </c>
      <c r="W47" s="40">
        <f>W41*W12</f>
        <v>0</v>
      </c>
    </row>
    <row r="48">
      <c r="A48" s="30"/>
      <c r="B48" s="30" t="s">
        <v>552</v>
      </c>
      <c r="C48" s="30">
        <f>C42*C12</f>
        <v>553939.72091349342</v>
      </c>
      <c r="D48" s="30">
        <f>D42*D12</f>
        <v>22904.446692297977</v>
      </c>
      <c r="E48" s="30">
        <f t="shared" si="290"/>
        <v>22904.446692297977</v>
      </c>
      <c r="F48" s="30">
        <f>F42*F12</f>
        <v>0</v>
      </c>
      <c r="G48" s="30">
        <f>G42*G12</f>
        <v>227385.4360262226</v>
      </c>
      <c r="H48" s="30">
        <f t="shared" si="291"/>
        <v>227385.4360262226</v>
      </c>
      <c r="I48" s="30">
        <f>I42*I12</f>
        <v>0</v>
      </c>
      <c r="J48" s="39">
        <f>J42*J12</f>
        <v>17605752.948552765</v>
      </c>
      <c r="K48" s="30">
        <f>K42*K12</f>
        <v>563236.06185688218</v>
      </c>
      <c r="L48" s="30">
        <f t="shared" si="292"/>
        <v>563236.06185688218</v>
      </c>
      <c r="M48" s="30">
        <f>M42*M12</f>
        <v>0</v>
      </c>
      <c r="N48" s="30">
        <f>N42*N12</f>
        <v>6928371.8895501243</v>
      </c>
      <c r="O48" s="30">
        <f t="shared" si="293"/>
        <v>6928371.8895501243</v>
      </c>
      <c r="P48" s="40">
        <f>P42*P12</f>
        <v>0</v>
      </c>
      <c r="Q48" s="39">
        <f>Q42*Q12</f>
        <v>6074444.6424075048</v>
      </c>
      <c r="R48" s="30">
        <f>R42*R12</f>
        <v>204531.35921067628</v>
      </c>
      <c r="S48" s="30">
        <f t="shared" si="294"/>
        <v>204531.35921067628</v>
      </c>
      <c r="T48" s="30">
        <f>T42*T12</f>
        <v>0</v>
      </c>
      <c r="U48" s="30">
        <f>U42*U12</f>
        <v>2067710.4883536506</v>
      </c>
      <c r="V48" s="30">
        <f t="shared" si="295"/>
        <v>2067710.4883536506</v>
      </c>
      <c r="W48" s="40">
        <f>W42*W12</f>
        <v>0</v>
      </c>
    </row>
    <row r="49">
      <c r="A49" s="30"/>
      <c r="B49" s="30" t="s">
        <v>553</v>
      </c>
      <c r="C49" s="30">
        <f>C43*C12</f>
        <v>489616.99457842903</v>
      </c>
      <c r="D49" s="30">
        <f>D43*D12</f>
        <v>21080.425147286445</v>
      </c>
      <c r="E49" s="30">
        <f t="shared" si="290"/>
        <v>21080.425147286445</v>
      </c>
      <c r="F49" s="30">
        <f>F43*F12</f>
        <v>0</v>
      </c>
      <c r="G49" s="30">
        <f>G43*G12</f>
        <v>216551.9237669576</v>
      </c>
      <c r="H49" s="30">
        <f t="shared" si="291"/>
        <v>216551.9237669576</v>
      </c>
      <c r="I49" s="30">
        <f>I43*I12</f>
        <v>0</v>
      </c>
      <c r="J49" s="39">
        <f>J43*J12</f>
        <v>15561396.882219397</v>
      </c>
      <c r="K49" s="30">
        <f>K43*K12</f>
        <v>518382.1203687489</v>
      </c>
      <c r="L49" s="30">
        <f t="shared" si="292"/>
        <v>518382.1203687489</v>
      </c>
      <c r="M49" s="30">
        <f>M43*M12</f>
        <v>0</v>
      </c>
      <c r="N49" s="30">
        <f>N43*N12</f>
        <v>6631741.3272434995</v>
      </c>
      <c r="O49" s="30">
        <f t="shared" si="293"/>
        <v>6631741.3272434995</v>
      </c>
      <c r="P49" s="40">
        <f>P43*P12</f>
        <v>0</v>
      </c>
      <c r="Q49" s="39">
        <f>Q43*Q12</f>
        <v>5369088.3994452963</v>
      </c>
      <c r="R49" s="30">
        <f>R43*R12</f>
        <v>188243.2728472446</v>
      </c>
      <c r="S49" s="30">
        <f t="shared" si="294"/>
        <v>188243.2728472446</v>
      </c>
      <c r="T49" s="30">
        <f>T43*T12</f>
        <v>0</v>
      </c>
      <c r="U49" s="30">
        <f>U43*U12</f>
        <v>1969196.8486251731</v>
      </c>
      <c r="V49" s="30">
        <f t="shared" si="295"/>
        <v>1969196.8486251731</v>
      </c>
      <c r="W49" s="40">
        <f>W43*W12</f>
        <v>0</v>
      </c>
    </row>
    <row r="50">
      <c r="J50" s="37"/>
      <c r="P50" s="38"/>
    </row>
    <row r="51">
      <c r="A51" t="s">
        <v>630</v>
      </c>
      <c r="B51" t="s">
        <v>631</v>
      </c>
      <c r="J51" s="37"/>
      <c r="P51" s="38"/>
    </row>
    <row r="52">
      <c r="B52" t="s">
        <v>550</v>
      </c>
      <c r="C52">
        <f t="shared" ref="C52:C55" si="296">C46/C28</f>
        <v>0.051112711279978434</v>
      </c>
      <c r="D52">
        <f t="shared" ref="D52:I55" si="297">D46/D28</f>
        <v>0.00022613223167475</v>
      </c>
      <c r="E52">
        <f t="shared" si="297"/>
        <v>0.00022613223167475</v>
      </c>
      <c r="F52">
        <f t="shared" si="297"/>
        <v>0</v>
      </c>
      <c r="G52">
        <f t="shared" si="297"/>
        <v>0.0035872855155907324</v>
      </c>
      <c r="H52">
        <f t="shared" si="297"/>
        <v>0.0035872855155907324</v>
      </c>
      <c r="I52">
        <f t="shared" si="297"/>
        <v>0</v>
      </c>
      <c r="J52" s="37">
        <f t="shared" ref="J52:J55" si="298">J46/J28</f>
        <v>1.6245048573913996</v>
      </c>
      <c r="K52">
        <f t="shared" ref="K52:P55" si="299">K46/K28</f>
        <v>0.0055607467553548595</v>
      </c>
      <c r="L52">
        <f t="shared" si="299"/>
        <v>0.0055607467553548595</v>
      </c>
      <c r="M52">
        <f t="shared" si="299"/>
        <v>0</v>
      </c>
      <c r="N52">
        <f t="shared" si="299"/>
        <v>0.10938581724195059</v>
      </c>
      <c r="O52">
        <f t="shared" si="299"/>
        <v>0.10938581724195059</v>
      </c>
      <c r="P52" s="38">
        <f t="shared" si="299"/>
        <v>0</v>
      </c>
      <c r="Q52" s="37">
        <f t="shared" ref="Q52:Q55" si="300">Q46/Q28</f>
        <v>0.56049660905626453</v>
      </c>
      <c r="R52">
        <f t="shared" ref="R52:W55" si="301">R46/R28</f>
        <v>0.0020193080115457631</v>
      </c>
      <c r="S52">
        <f t="shared" si="301"/>
        <v>0.0020193080115457631</v>
      </c>
      <c r="T52">
        <f t="shared" si="301"/>
        <v>0</v>
      </c>
      <c r="U52">
        <f t="shared" si="301"/>
        <v>0.032620681495408928</v>
      </c>
      <c r="V52">
        <f t="shared" si="301"/>
        <v>0.032620681495408928</v>
      </c>
      <c r="W52" s="38">
        <f t="shared" si="301"/>
        <v>0</v>
      </c>
    </row>
    <row r="53">
      <c r="B53" t="s">
        <v>551</v>
      </c>
      <c r="C53">
        <f t="shared" si="296"/>
        <v>0.051112711279978434</v>
      </c>
      <c r="D53">
        <f t="shared" si="297"/>
        <v>0.00022613223167475</v>
      </c>
      <c r="E53">
        <f t="shared" ref="E53:E55" si="302">D53</f>
        <v>0.00022613223167475</v>
      </c>
      <c r="F53">
        <f t="shared" ref="F53:H55" si="303">F47/F29</f>
        <v>0</v>
      </c>
      <c r="G53">
        <f t="shared" si="303"/>
        <v>0.0035872855155907324</v>
      </c>
      <c r="H53">
        <f t="shared" si="303"/>
        <v>0.0035872855155907324</v>
      </c>
      <c r="I53" s="30">
        <v>0</v>
      </c>
      <c r="J53" s="37">
        <f t="shared" si="298"/>
        <v>1.6245048573914</v>
      </c>
      <c r="K53">
        <f t="shared" si="299"/>
        <v>0.0055607467553548603</v>
      </c>
      <c r="L53">
        <f t="shared" ref="L53:L55" si="304">K53</f>
        <v>0.0055607467553548603</v>
      </c>
      <c r="M53">
        <f t="shared" ref="M53:O55" si="305">M47/M29</f>
        <v>0</v>
      </c>
      <c r="N53">
        <f t="shared" si="305"/>
        <v>0.10938581724195058</v>
      </c>
      <c r="O53">
        <f t="shared" si="305"/>
        <v>0.10938581724195058</v>
      </c>
      <c r="P53" s="40">
        <v>0</v>
      </c>
      <c r="Q53" s="37">
        <f t="shared" si="300"/>
        <v>0.56049660905626453</v>
      </c>
      <c r="R53">
        <f t="shared" si="301"/>
        <v>0.0020193080115457631</v>
      </c>
      <c r="S53">
        <f t="shared" ref="S53:S55" si="306">R53</f>
        <v>0.0020193080115457631</v>
      </c>
      <c r="T53">
        <f t="shared" ref="T53:V55" si="307">T47/T29</f>
        <v>0</v>
      </c>
      <c r="U53">
        <f t="shared" si="307"/>
        <v>0.032620681495408935</v>
      </c>
      <c r="V53">
        <f t="shared" si="307"/>
        <v>0.032620681495408935</v>
      </c>
      <c r="W53" s="40">
        <v>0</v>
      </c>
    </row>
    <row r="54">
      <c r="B54" t="s">
        <v>552</v>
      </c>
      <c r="C54">
        <f t="shared" si="296"/>
        <v>0.051112711279978434</v>
      </c>
      <c r="D54">
        <f t="shared" si="297"/>
        <v>0.00022613223167475</v>
      </c>
      <c r="E54">
        <f t="shared" si="302"/>
        <v>0.00022613223167475</v>
      </c>
      <c r="F54">
        <f t="shared" si="303"/>
        <v>0</v>
      </c>
      <c r="G54">
        <f t="shared" si="303"/>
        <v>0.0035872855155907324</v>
      </c>
      <c r="H54">
        <f t="shared" si="303"/>
        <v>0.0035872855155907324</v>
      </c>
      <c r="I54" s="30">
        <v>0</v>
      </c>
      <c r="J54" s="37">
        <f t="shared" si="298"/>
        <v>1.6245048573913998</v>
      </c>
      <c r="K54">
        <f t="shared" si="299"/>
        <v>0.0055607467553548595</v>
      </c>
      <c r="L54">
        <f t="shared" si="304"/>
        <v>0.0055607467553548595</v>
      </c>
      <c r="M54">
        <f t="shared" si="305"/>
        <v>0</v>
      </c>
      <c r="N54">
        <f t="shared" si="305"/>
        <v>0.10938581724195059</v>
      </c>
      <c r="O54">
        <f t="shared" si="305"/>
        <v>0.10938581724195059</v>
      </c>
      <c r="P54" s="40">
        <v>0</v>
      </c>
      <c r="Q54" s="37">
        <f t="shared" si="300"/>
        <v>0.56049660905626453</v>
      </c>
      <c r="R54">
        <f t="shared" si="301"/>
        <v>0.0020193080115457635</v>
      </c>
      <c r="S54">
        <f t="shared" si="306"/>
        <v>0.0020193080115457635</v>
      </c>
      <c r="T54">
        <f t="shared" si="307"/>
        <v>0</v>
      </c>
      <c r="U54">
        <f t="shared" si="307"/>
        <v>0.032620681495408928</v>
      </c>
      <c r="V54">
        <f t="shared" si="307"/>
        <v>0.032620681495408928</v>
      </c>
      <c r="W54" s="40">
        <v>0</v>
      </c>
    </row>
    <row r="55">
      <c r="B55" t="s">
        <v>553</v>
      </c>
      <c r="C55">
        <f t="shared" si="296"/>
        <v>0.051112711279978434</v>
      </c>
      <c r="D55">
        <f t="shared" si="297"/>
        <v>0.00022613223167475003</v>
      </c>
      <c r="E55">
        <f t="shared" si="302"/>
        <v>0.00022613223167475003</v>
      </c>
      <c r="F55">
        <f t="shared" si="303"/>
        <v>0</v>
      </c>
      <c r="G55">
        <f t="shared" si="303"/>
        <v>0.0035872855155907324</v>
      </c>
      <c r="H55">
        <f t="shared" si="303"/>
        <v>0.0035872855155907324</v>
      </c>
      <c r="I55" s="30">
        <v>0</v>
      </c>
      <c r="J55" s="37">
        <f t="shared" si="298"/>
        <v>1.6245048573913998</v>
      </c>
      <c r="K55">
        <f t="shared" si="299"/>
        <v>0.0055607467553548595</v>
      </c>
      <c r="L55">
        <f t="shared" si="304"/>
        <v>0.0055607467553548595</v>
      </c>
      <c r="M55">
        <f t="shared" si="305"/>
        <v>0</v>
      </c>
      <c r="N55">
        <f t="shared" si="305"/>
        <v>0.10938581724195058</v>
      </c>
      <c r="O55">
        <f t="shared" si="305"/>
        <v>0.10938581724195058</v>
      </c>
      <c r="P55" s="40">
        <v>0</v>
      </c>
      <c r="Q55" s="37">
        <f t="shared" si="300"/>
        <v>0.56049660905626464</v>
      </c>
      <c r="R55">
        <f t="shared" si="301"/>
        <v>0.0020193080115457635</v>
      </c>
      <c r="S55">
        <f t="shared" si="306"/>
        <v>0.0020193080115457635</v>
      </c>
      <c r="T55">
        <f t="shared" si="307"/>
        <v>0</v>
      </c>
      <c r="U55">
        <f t="shared" si="307"/>
        <v>0.032620681495408935</v>
      </c>
      <c r="V55">
        <f t="shared" si="307"/>
        <v>0.032620681495408935</v>
      </c>
      <c r="W55" s="40">
        <v>0</v>
      </c>
    </row>
    <row r="56">
      <c r="J56" s="37"/>
      <c r="P56" s="38"/>
    </row>
    <row r="57">
      <c r="A57" t="s">
        <v>566</v>
      </c>
      <c r="B57" t="s">
        <v>543</v>
      </c>
      <c r="J57" s="37"/>
      <c r="P57" s="38"/>
    </row>
    <row r="58">
      <c r="B58" t="s">
        <v>550</v>
      </c>
      <c r="C58">
        <f t="shared" ref="C58:C61" si="308">C22*C52</f>
        <v>0.0035778897895984907</v>
      </c>
      <c r="D58">
        <f t="shared" ref="D58:I61" si="309">D22*D52</f>
        <v>1.5829256217232503e-05</v>
      </c>
      <c r="E58">
        <f t="shared" si="309"/>
        <v>1.5829256217232503e-05</v>
      </c>
      <c r="F58">
        <f t="shared" si="309"/>
        <v>0</v>
      </c>
      <c r="G58">
        <f t="shared" si="309"/>
        <v>0.00025110998609135127</v>
      </c>
      <c r="H58">
        <f t="shared" si="309"/>
        <v>0.00025110998609135127</v>
      </c>
      <c r="I58">
        <f t="shared" si="309"/>
        <v>0</v>
      </c>
      <c r="J58" s="37">
        <f t="shared" ref="J58:J61" si="310">J22*J52</f>
        <v>0.16936327236633741</v>
      </c>
      <c r="K58">
        <f t="shared" ref="K58:P61" si="311">K22*K52</f>
        <v>0.00057973742768593222</v>
      </c>
      <c r="L58">
        <f t="shared" si="311"/>
        <v>0.00057973742768593222</v>
      </c>
      <c r="M58">
        <f t="shared" si="311"/>
        <v>0</v>
      </c>
      <c r="N58">
        <f t="shared" si="311"/>
        <v>0.011404053286926766</v>
      </c>
      <c r="O58">
        <f t="shared" si="311"/>
        <v>0.011404053286926766</v>
      </c>
      <c r="P58" s="38">
        <f t="shared" si="311"/>
        <v>0</v>
      </c>
      <c r="Q58" s="37">
        <f t="shared" ref="Q58:Q61" si="312">Q22*Q52</f>
        <v>0.048457118187204724</v>
      </c>
      <c r="R58">
        <f t="shared" ref="R58:W61" si="313">R22*R52</f>
        <v>0.00017457705433150962</v>
      </c>
      <c r="S58">
        <f t="shared" si="313"/>
        <v>0.00017457705433150962</v>
      </c>
      <c r="T58">
        <f t="shared" si="313"/>
        <v>0</v>
      </c>
      <c r="U58">
        <f t="shared" si="313"/>
        <v>0.0028201851590711697</v>
      </c>
      <c r="V58">
        <f t="shared" si="313"/>
        <v>0.0028201851590711697</v>
      </c>
      <c r="W58" s="38">
        <f t="shared" si="313"/>
        <v>0</v>
      </c>
    </row>
    <row r="59">
      <c r="B59" t="s">
        <v>551</v>
      </c>
      <c r="C59">
        <f t="shared" si="308"/>
        <v>0.0035778897895984907</v>
      </c>
      <c r="D59">
        <f t="shared" si="309"/>
        <v>1.5829256217232503e-05</v>
      </c>
      <c r="E59">
        <f t="shared" si="309"/>
        <v>1.5829256217232503e-05</v>
      </c>
      <c r="F59">
        <f t="shared" si="309"/>
        <v>0</v>
      </c>
      <c r="G59">
        <f t="shared" si="309"/>
        <v>0.00025110998609135127</v>
      </c>
      <c r="H59">
        <f t="shared" si="309"/>
        <v>0.00025110998609135127</v>
      </c>
      <c r="I59">
        <f t="shared" si="309"/>
        <v>0</v>
      </c>
      <c r="J59" s="37">
        <f t="shared" si="310"/>
        <v>0.16936327236633747</v>
      </c>
      <c r="K59">
        <f t="shared" si="311"/>
        <v>0.00057973742768593233</v>
      </c>
      <c r="L59">
        <f t="shared" si="311"/>
        <v>0.00057973742768593233</v>
      </c>
      <c r="M59">
        <f t="shared" si="311"/>
        <v>0</v>
      </c>
      <c r="N59">
        <f t="shared" si="311"/>
        <v>0.011404053286926764</v>
      </c>
      <c r="O59">
        <f t="shared" si="311"/>
        <v>0.011404053286926764</v>
      </c>
      <c r="P59" s="38">
        <f t="shared" si="311"/>
        <v>0</v>
      </c>
      <c r="Q59" s="37">
        <f t="shared" si="312"/>
        <v>0.048457118187204724</v>
      </c>
      <c r="R59">
        <f t="shared" si="313"/>
        <v>0.00017457705433150962</v>
      </c>
      <c r="S59">
        <f t="shared" si="313"/>
        <v>0.00017457705433150962</v>
      </c>
      <c r="T59">
        <f t="shared" si="313"/>
        <v>0</v>
      </c>
      <c r="U59">
        <f t="shared" si="313"/>
        <v>0.0028201851590711701</v>
      </c>
      <c r="V59">
        <f t="shared" si="313"/>
        <v>0.0028201851590711701</v>
      </c>
      <c r="W59" s="38">
        <f t="shared" si="313"/>
        <v>0</v>
      </c>
    </row>
    <row r="60">
      <c r="B60" t="s">
        <v>552</v>
      </c>
      <c r="C60">
        <f t="shared" si="308"/>
        <v>0.0035778897895984907</v>
      </c>
      <c r="D60">
        <f t="shared" si="309"/>
        <v>1.5829256217232503e-05</v>
      </c>
      <c r="E60">
        <f t="shared" si="309"/>
        <v>1.5829256217232503e-05</v>
      </c>
      <c r="F60">
        <f t="shared" si="309"/>
        <v>0</v>
      </c>
      <c r="G60">
        <f t="shared" si="309"/>
        <v>0.00025110998609135127</v>
      </c>
      <c r="H60">
        <f t="shared" si="309"/>
        <v>0.00025110998609135127</v>
      </c>
      <c r="I60">
        <f t="shared" si="309"/>
        <v>0</v>
      </c>
      <c r="J60" s="37">
        <f t="shared" si="310"/>
        <v>0.16936327236633744</v>
      </c>
      <c r="K60">
        <f t="shared" si="311"/>
        <v>0.00057973742768593222</v>
      </c>
      <c r="L60">
        <f t="shared" si="311"/>
        <v>0.00057973742768593222</v>
      </c>
      <c r="M60">
        <f t="shared" si="311"/>
        <v>0</v>
      </c>
      <c r="N60">
        <f t="shared" si="311"/>
        <v>0.011404053286926766</v>
      </c>
      <c r="O60">
        <f t="shared" si="311"/>
        <v>0.011404053286926766</v>
      </c>
      <c r="P60" s="38">
        <f t="shared" si="311"/>
        <v>0</v>
      </c>
      <c r="Q60" s="37">
        <f t="shared" si="312"/>
        <v>0.048457118187204724</v>
      </c>
      <c r="R60">
        <f t="shared" si="313"/>
        <v>0.00017457705433150967</v>
      </c>
      <c r="S60">
        <f t="shared" si="313"/>
        <v>0.00017457705433150967</v>
      </c>
      <c r="T60">
        <f t="shared" si="313"/>
        <v>0</v>
      </c>
      <c r="U60">
        <f t="shared" si="313"/>
        <v>0.0028201851590711697</v>
      </c>
      <c r="V60">
        <f t="shared" si="313"/>
        <v>0.0028201851590711697</v>
      </c>
      <c r="W60" s="38">
        <f t="shared" si="313"/>
        <v>0</v>
      </c>
    </row>
    <row r="61">
      <c r="B61" t="s">
        <v>553</v>
      </c>
      <c r="C61">
        <f t="shared" si="308"/>
        <v>0.0035778897895984907</v>
      </c>
      <c r="D61">
        <f t="shared" si="309"/>
        <v>1.5829256217232503e-05</v>
      </c>
      <c r="E61">
        <f t="shared" si="309"/>
        <v>1.5829256217232503e-05</v>
      </c>
      <c r="F61">
        <f t="shared" si="309"/>
        <v>0</v>
      </c>
      <c r="G61">
        <f t="shared" si="309"/>
        <v>0.00025110998609135127</v>
      </c>
      <c r="H61">
        <f t="shared" si="309"/>
        <v>0.00025110998609135127</v>
      </c>
      <c r="I61">
        <f t="shared" si="309"/>
        <v>0</v>
      </c>
      <c r="J61" s="37">
        <f t="shared" si="310"/>
        <v>0.16936327236633744</v>
      </c>
      <c r="K61">
        <f t="shared" si="311"/>
        <v>0.00057973742768593222</v>
      </c>
      <c r="L61">
        <f t="shared" si="311"/>
        <v>0.00057973742768593222</v>
      </c>
      <c r="M61">
        <f t="shared" si="311"/>
        <v>0</v>
      </c>
      <c r="N61">
        <f t="shared" si="311"/>
        <v>0.011404053286926764</v>
      </c>
      <c r="O61">
        <f t="shared" si="311"/>
        <v>0.011404053286926764</v>
      </c>
      <c r="P61" s="38">
        <f t="shared" si="311"/>
        <v>0</v>
      </c>
      <c r="Q61" s="37">
        <f t="shared" si="312"/>
        <v>0.048457118187204731</v>
      </c>
      <c r="R61">
        <f t="shared" si="313"/>
        <v>0.00017457705433150967</v>
      </c>
      <c r="S61">
        <f t="shared" si="313"/>
        <v>0.00017457705433150967</v>
      </c>
      <c r="T61">
        <f t="shared" si="313"/>
        <v>0</v>
      </c>
      <c r="U61">
        <f t="shared" si="313"/>
        <v>0.0028201851590711701</v>
      </c>
      <c r="V61">
        <f t="shared" si="313"/>
        <v>0.0028201851590711701</v>
      </c>
      <c r="W61" s="38">
        <f t="shared" si="313"/>
        <v>0</v>
      </c>
    </row>
    <row r="62">
      <c r="J62" s="37"/>
      <c r="P62" s="38"/>
    </row>
    <row r="63">
      <c r="A63" t="s">
        <v>632</v>
      </c>
      <c r="B63" t="s">
        <v>633</v>
      </c>
      <c r="J63" s="37"/>
      <c r="P63" s="38"/>
    </row>
    <row r="64">
      <c r="B64" t="s">
        <v>550</v>
      </c>
      <c r="C64">
        <f t="shared" ref="C64:W64" si="314">(C14+C15)*C20+C58</f>
        <v>0.4707509543867277</v>
      </c>
      <c r="D64">
        <f t="shared" si="314"/>
        <v>0.010982138617426928</v>
      </c>
      <c r="E64">
        <f t="shared" si="314"/>
        <v>0.010982138617426928</v>
      </c>
      <c r="F64">
        <f t="shared" si="314"/>
        <v>0.0053144898819489439</v>
      </c>
      <c r="G64">
        <f t="shared" si="314"/>
        <v>0.022312060258733564</v>
      </c>
      <c r="H64">
        <f t="shared" si="314"/>
        <v>0.022312060258733564</v>
      </c>
      <c r="I64">
        <f t="shared" si="314"/>
        <v>5.8287357428668104e-06</v>
      </c>
      <c r="J64" s="37">
        <f t="shared" si="314"/>
        <v>3.0516974946649373</v>
      </c>
      <c r="K64">
        <f t="shared" si="314"/>
        <v>0.034069700857718065</v>
      </c>
      <c r="L64">
        <f t="shared" si="314"/>
        <v>0.034069700857718065</v>
      </c>
      <c r="M64">
        <f t="shared" si="314"/>
        <v>0.021406412360429814</v>
      </c>
      <c r="N64">
        <f t="shared" si="314"/>
        <v>0.89038780595740208</v>
      </c>
      <c r="O64">
        <f t="shared" si="314"/>
        <v>0.89038780595740208</v>
      </c>
      <c r="P64" s="38">
        <f t="shared" si="314"/>
        <v>5.8287357428668104e-06</v>
      </c>
      <c r="Q64" s="37">
        <f t="shared" si="314"/>
        <v>1.2535903379429569</v>
      </c>
      <c r="R64">
        <f t="shared" si="314"/>
        <v>0.018998311523968744</v>
      </c>
      <c r="S64">
        <f t="shared" si="314"/>
        <v>0.018998311523968744</v>
      </c>
      <c r="T64">
        <f t="shared" si="314"/>
        <v>0.011285569177049521</v>
      </c>
      <c r="U64">
        <f t="shared" si="314"/>
        <v>0.28932208765556172</v>
      </c>
      <c r="V64">
        <f t="shared" si="314"/>
        <v>0.28932208765556172</v>
      </c>
      <c r="W64" s="38">
        <f t="shared" si="314"/>
        <v>5.8287357428668104e-06</v>
      </c>
    </row>
    <row r="65">
      <c r="B65" t="s">
        <v>551</v>
      </c>
      <c r="C65">
        <f t="shared" ref="C65:W65" si="315">(C14+C15)*C20+C59</f>
        <v>0.4707509543867277</v>
      </c>
      <c r="D65">
        <f t="shared" si="315"/>
        <v>0.010982138617426928</v>
      </c>
      <c r="E65">
        <f t="shared" si="315"/>
        <v>0.010982138617426928</v>
      </c>
      <c r="F65">
        <f t="shared" si="315"/>
        <v>0.0053144898819489439</v>
      </c>
      <c r="G65">
        <f t="shared" si="315"/>
        <v>0.022312060258733564</v>
      </c>
      <c r="H65">
        <f t="shared" si="315"/>
        <v>0.022312060258733564</v>
      </c>
      <c r="I65">
        <f t="shared" si="315"/>
        <v>5.8287357428668104e-06</v>
      </c>
      <c r="J65" s="37">
        <f t="shared" si="315"/>
        <v>3.0516974946649378</v>
      </c>
      <c r="K65">
        <f t="shared" si="315"/>
        <v>0.034069700857718065</v>
      </c>
      <c r="L65">
        <f t="shared" si="315"/>
        <v>0.034069700857718065</v>
      </c>
      <c r="M65">
        <f t="shared" si="315"/>
        <v>0.021406412360429814</v>
      </c>
      <c r="N65">
        <f t="shared" si="315"/>
        <v>0.89038780595740208</v>
      </c>
      <c r="O65">
        <f t="shared" si="315"/>
        <v>0.89038780595740208</v>
      </c>
      <c r="P65" s="38">
        <f t="shared" si="315"/>
        <v>5.8287357428668104e-06</v>
      </c>
      <c r="Q65" s="37">
        <f t="shared" si="315"/>
        <v>1.2535903379429569</v>
      </c>
      <c r="R65">
        <f t="shared" si="315"/>
        <v>0.018998311523968744</v>
      </c>
      <c r="S65">
        <f t="shared" si="315"/>
        <v>0.018998311523968744</v>
      </c>
      <c r="T65">
        <f t="shared" si="315"/>
        <v>0.011285569177049521</v>
      </c>
      <c r="U65">
        <f t="shared" si="315"/>
        <v>0.28932208765556172</v>
      </c>
      <c r="V65">
        <f t="shared" si="315"/>
        <v>0.28932208765556172</v>
      </c>
      <c r="W65" s="38">
        <f t="shared" si="315"/>
        <v>5.8287357428668104e-06</v>
      </c>
    </row>
    <row r="66">
      <c r="B66" t="s">
        <v>552</v>
      </c>
      <c r="C66">
        <f t="shared" ref="C66:W66" si="316">(C14+C15)*C20+C60</f>
        <v>0.4707509543867277</v>
      </c>
      <c r="D66">
        <f t="shared" si="316"/>
        <v>0.010982138617426928</v>
      </c>
      <c r="E66">
        <f t="shared" si="316"/>
        <v>0.010982138617426928</v>
      </c>
      <c r="F66">
        <f t="shared" si="316"/>
        <v>0.0053144898819489439</v>
      </c>
      <c r="G66">
        <f t="shared" si="316"/>
        <v>0.022312060258733564</v>
      </c>
      <c r="H66">
        <f t="shared" si="316"/>
        <v>0.022312060258733564</v>
      </c>
      <c r="I66">
        <f t="shared" si="316"/>
        <v>5.8287357428668104e-06</v>
      </c>
      <c r="J66" s="37">
        <f t="shared" si="316"/>
        <v>3.0516974946649378</v>
      </c>
      <c r="K66">
        <f t="shared" si="316"/>
        <v>0.034069700857718065</v>
      </c>
      <c r="L66">
        <f t="shared" si="316"/>
        <v>0.034069700857718065</v>
      </c>
      <c r="M66">
        <f t="shared" si="316"/>
        <v>0.021406412360429814</v>
      </c>
      <c r="N66">
        <f t="shared" si="316"/>
        <v>0.89038780595740208</v>
      </c>
      <c r="O66">
        <f t="shared" si="316"/>
        <v>0.89038780595740208</v>
      </c>
      <c r="P66" s="38">
        <f t="shared" si="316"/>
        <v>5.8287357428668104e-06</v>
      </c>
      <c r="Q66" s="37">
        <f t="shared" si="316"/>
        <v>1.2535903379429569</v>
      </c>
      <c r="R66">
        <f t="shared" si="316"/>
        <v>0.018998311523968744</v>
      </c>
      <c r="S66">
        <f t="shared" si="316"/>
        <v>0.018998311523968744</v>
      </c>
      <c r="T66">
        <f t="shared" si="316"/>
        <v>0.011285569177049521</v>
      </c>
      <c r="U66">
        <f t="shared" si="316"/>
        <v>0.28932208765556172</v>
      </c>
      <c r="V66">
        <f t="shared" si="316"/>
        <v>0.28932208765556172</v>
      </c>
      <c r="W66" s="38">
        <f t="shared" si="316"/>
        <v>5.8287357428668104e-06</v>
      </c>
    </row>
    <row r="67">
      <c r="B67" t="s">
        <v>553</v>
      </c>
      <c r="C67">
        <f t="shared" ref="C67:W67" si="317">(C14+C15)*C20+C61</f>
        <v>0.4707509543867277</v>
      </c>
      <c r="D67">
        <f t="shared" si="317"/>
        <v>0.010982138617426928</v>
      </c>
      <c r="E67">
        <f t="shared" si="317"/>
        <v>0.010982138617426928</v>
      </c>
      <c r="F67">
        <f t="shared" si="317"/>
        <v>0.0053144898819489439</v>
      </c>
      <c r="G67">
        <f t="shared" si="317"/>
        <v>0.022312060258733564</v>
      </c>
      <c r="H67">
        <f t="shared" si="317"/>
        <v>0.022312060258733564</v>
      </c>
      <c r="I67">
        <f t="shared" si="317"/>
        <v>5.8287357428668104e-06</v>
      </c>
      <c r="J67" s="37">
        <f t="shared" si="317"/>
        <v>3.0516974946649378</v>
      </c>
      <c r="K67">
        <f t="shared" si="317"/>
        <v>0.034069700857718065</v>
      </c>
      <c r="L67">
        <f t="shared" si="317"/>
        <v>0.034069700857718065</v>
      </c>
      <c r="M67">
        <f t="shared" si="317"/>
        <v>0.021406412360429814</v>
      </c>
      <c r="N67">
        <f t="shared" si="317"/>
        <v>0.89038780595740208</v>
      </c>
      <c r="O67">
        <f t="shared" si="317"/>
        <v>0.89038780595740208</v>
      </c>
      <c r="P67" s="38">
        <f t="shared" si="317"/>
        <v>5.8287357428668104e-06</v>
      </c>
      <c r="Q67" s="37">
        <f t="shared" si="317"/>
        <v>1.2535903379429569</v>
      </c>
      <c r="R67">
        <f t="shared" si="317"/>
        <v>0.018998311523968744</v>
      </c>
      <c r="S67">
        <f t="shared" si="317"/>
        <v>0.018998311523968744</v>
      </c>
      <c r="T67">
        <f t="shared" si="317"/>
        <v>0.011285569177049521</v>
      </c>
      <c r="U67">
        <f t="shared" si="317"/>
        <v>0.28932208765556172</v>
      </c>
      <c r="V67">
        <f t="shared" si="317"/>
        <v>0.28932208765556172</v>
      </c>
      <c r="W67" s="38">
        <f t="shared" si="317"/>
        <v>5.8287357428668104e-06</v>
      </c>
    </row>
    <row r="68">
      <c r="J68" s="37"/>
      <c r="P68" s="38"/>
      <c r="Q68" s="37"/>
      <c r="W68" s="38"/>
    </row>
    <row r="69">
      <c r="A69" s="30" t="s">
        <v>634</v>
      </c>
      <c r="B69" s="30" t="s">
        <v>366</v>
      </c>
      <c r="C69" s="30"/>
      <c r="D69" s="30"/>
      <c r="E69" s="30"/>
      <c r="F69" s="30"/>
      <c r="G69" s="30"/>
      <c r="H69" s="30"/>
      <c r="I69" s="30"/>
      <c r="J69" s="39"/>
      <c r="K69" s="30"/>
      <c r="L69" s="30"/>
      <c r="M69" s="30"/>
      <c r="N69" s="30"/>
      <c r="O69" s="30"/>
      <c r="P69" s="40"/>
      <c r="Q69" s="39"/>
      <c r="R69" s="30"/>
      <c r="S69" s="30"/>
      <c r="T69" s="30"/>
      <c r="U69" s="30"/>
      <c r="V69" s="30"/>
      <c r="W69" s="40"/>
    </row>
    <row r="70">
      <c r="A70" s="30"/>
      <c r="B70" s="30" t="s">
        <v>550</v>
      </c>
      <c r="C70" s="30">
        <f t="shared" ref="C70:C73" si="318">C64*C28</f>
        <v>5536031.2235879181</v>
      </c>
      <c r="D70" s="30">
        <f t="shared" ref="D70:I73" si="319">D64*D28</f>
        <v>1177285.2597881667</v>
      </c>
      <c r="E70" s="30">
        <f t="shared" si="319"/>
        <v>1177285.2597881667</v>
      </c>
      <c r="F70" s="30">
        <f t="shared" si="319"/>
        <v>748280.17537841131</v>
      </c>
      <c r="G70" s="30">
        <f t="shared" si="319"/>
        <v>1463671.1529729217</v>
      </c>
      <c r="H70" s="30">
        <f t="shared" si="319"/>
        <v>1463671.1529729217</v>
      </c>
      <c r="I70" s="60">
        <f t="shared" si="319"/>
        <v>932.34183735957777</v>
      </c>
      <c r="J70" s="39">
        <f t="shared" ref="J70:J73" si="320">J64*J28</f>
        <v>35887962.537259661</v>
      </c>
      <c r="K70" s="30">
        <f t="shared" ref="K70:P73" si="321">K64*K28</f>
        <v>3652271.9319473766</v>
      </c>
      <c r="L70" s="30">
        <f t="shared" si="321"/>
        <v>3652271.9319473766</v>
      </c>
      <c r="M70" s="30">
        <f t="shared" si="321"/>
        <v>3014022.860348518</v>
      </c>
      <c r="N70" s="30">
        <f t="shared" si="321"/>
        <v>58409440.070805579</v>
      </c>
      <c r="O70" s="30">
        <f t="shared" si="321"/>
        <v>58409440.070805579</v>
      </c>
      <c r="P70" s="61">
        <f t="shared" si="321"/>
        <v>932.34183735957777</v>
      </c>
      <c r="Q70" s="39">
        <f t="shared" ref="Q70:Q73" si="322">Q64*Q28</f>
        <v>14742222.374209173</v>
      </c>
      <c r="R70" s="30">
        <f t="shared" ref="R70:W73" si="323">R64*R28</f>
        <v>2036618.9953694493</v>
      </c>
      <c r="S70" s="30">
        <f t="shared" si="323"/>
        <v>2036618.9953694493</v>
      </c>
      <c r="T70" s="30">
        <f t="shared" si="323"/>
        <v>1589008.1401285727</v>
      </c>
      <c r="U70" s="30">
        <f t="shared" si="323"/>
        <v>18979528.950204849</v>
      </c>
      <c r="V70" s="30">
        <f t="shared" si="323"/>
        <v>18979528.950204849</v>
      </c>
      <c r="W70" s="61">
        <f t="shared" si="323"/>
        <v>932.34183735957777</v>
      </c>
    </row>
    <row r="71">
      <c r="A71" s="30"/>
      <c r="B71" s="30" t="s">
        <v>551</v>
      </c>
      <c r="C71" s="30">
        <f t="shared" si="318"/>
        <v>5360984.9740748042</v>
      </c>
      <c r="D71" s="30">
        <f t="shared" si="319"/>
        <v>1151110.6333545658</v>
      </c>
      <c r="E71" s="30">
        <f t="shared" si="319"/>
        <v>1151110.6333545658</v>
      </c>
      <c r="F71" s="30">
        <f t="shared" si="319"/>
        <v>693751.17077347962</v>
      </c>
      <c r="G71" s="30">
        <f t="shared" si="319"/>
        <v>1443761.2526747852</v>
      </c>
      <c r="H71" s="30">
        <f t="shared" si="319"/>
        <v>1443761.2526747852</v>
      </c>
      <c r="I71" s="60">
        <f t="shared" si="319"/>
        <v>909.5527840586044</v>
      </c>
      <c r="J71" s="39">
        <f t="shared" si="320"/>
        <v>34753204.984222785</v>
      </c>
      <c r="K71" s="30">
        <f t="shared" si="321"/>
        <v>3571070.8359021842</v>
      </c>
      <c r="L71" s="30">
        <f t="shared" si="321"/>
        <v>3571070.8359021842</v>
      </c>
      <c r="M71" s="30">
        <f t="shared" si="321"/>
        <v>2794383.6505455859</v>
      </c>
      <c r="N71" s="30">
        <f t="shared" si="321"/>
        <v>57486125.651676208</v>
      </c>
      <c r="O71" s="30">
        <f t="shared" si="321"/>
        <v>57486125.651676208</v>
      </c>
      <c r="P71" s="61">
        <f t="shared" si="321"/>
        <v>909.5527840586044</v>
      </c>
      <c r="Q71" s="39">
        <f t="shared" si="322"/>
        <v>14276081.445469767</v>
      </c>
      <c r="R71" s="30">
        <f t="shared" si="323"/>
        <v>1991338.7704212812</v>
      </c>
      <c r="S71" s="30">
        <f t="shared" si="323"/>
        <v>1991338.7704212812</v>
      </c>
      <c r="T71" s="30">
        <f t="shared" si="323"/>
        <v>1473213.2346354173</v>
      </c>
      <c r="U71" s="30">
        <f t="shared" si="323"/>
        <v>18721355.843263</v>
      </c>
      <c r="V71" s="30">
        <f t="shared" si="323"/>
        <v>18721355.843263</v>
      </c>
      <c r="W71" s="61">
        <f t="shared" si="323"/>
        <v>909.5527840586044</v>
      </c>
    </row>
    <row r="72">
      <c r="A72" s="30"/>
      <c r="B72" s="30" t="s">
        <v>552</v>
      </c>
      <c r="C72" s="30">
        <f t="shared" si="318"/>
        <v>5101816.0798464818</v>
      </c>
      <c r="D72" s="30">
        <f t="shared" si="319"/>
        <v>1112357.1667221515</v>
      </c>
      <c r="E72" s="30">
        <f t="shared" si="319"/>
        <v>1112357.1667221515</v>
      </c>
      <c r="F72" s="30">
        <f t="shared" si="319"/>
        <v>623805.07001060538</v>
      </c>
      <c r="G72" s="30">
        <f t="shared" si="319"/>
        <v>1414283.1755447884</v>
      </c>
      <c r="H72" s="30">
        <f t="shared" si="319"/>
        <v>1414283.1755447884</v>
      </c>
      <c r="I72" s="60">
        <f t="shared" si="319"/>
        <v>875.81190837031329</v>
      </c>
      <c r="J72" s="39">
        <f t="shared" si="320"/>
        <v>33073112.65973242</v>
      </c>
      <c r="K72" s="30">
        <f t="shared" si="321"/>
        <v>3450846.6189841079</v>
      </c>
      <c r="L72" s="30">
        <f t="shared" si="321"/>
        <v>3450846.6189841079</v>
      </c>
      <c r="M72" s="30">
        <f t="shared" si="321"/>
        <v>2512645.4011192517</v>
      </c>
      <c r="N72" s="30">
        <f t="shared" si="321"/>
        <v>56396139.83912006</v>
      </c>
      <c r="O72" s="30">
        <f t="shared" si="321"/>
        <v>56396139.83912006</v>
      </c>
      <c r="P72" s="61">
        <f t="shared" si="321"/>
        <v>875.81190837031329</v>
      </c>
      <c r="Q72" s="39">
        <f t="shared" si="322"/>
        <v>13585925.390187332</v>
      </c>
      <c r="R72" s="30">
        <f t="shared" si="323"/>
        <v>1924298.0548225888</v>
      </c>
      <c r="S72" s="30">
        <f t="shared" si="323"/>
        <v>1924298.0548225888</v>
      </c>
      <c r="T72" s="30">
        <f t="shared" si="323"/>
        <v>1324679.400465277</v>
      </c>
      <c r="U72" s="30">
        <f t="shared" si="323"/>
        <v>18339111.500229552</v>
      </c>
      <c r="V72" s="30">
        <f t="shared" si="323"/>
        <v>18339111.500229552</v>
      </c>
      <c r="W72" s="61">
        <f t="shared" si="323"/>
        <v>875.81190837031329</v>
      </c>
    </row>
    <row r="73">
      <c r="A73" s="30"/>
      <c r="B73" s="30" t="s">
        <v>553</v>
      </c>
      <c r="C73" s="30">
        <f t="shared" si="318"/>
        <v>4509400.1415659981</v>
      </c>
      <c r="D73" s="30">
        <f t="shared" si="319"/>
        <v>1023773.344327024</v>
      </c>
      <c r="E73" s="30">
        <f t="shared" si="319"/>
        <v>1023773.344327024</v>
      </c>
      <c r="F73" s="30">
        <f t="shared" si="319"/>
        <v>447888.2143680033</v>
      </c>
      <c r="G73" s="30">
        <f t="shared" si="319"/>
        <v>1346901.3133283807</v>
      </c>
      <c r="H73" s="30">
        <f t="shared" si="319"/>
        <v>1346901.3133283807</v>
      </c>
      <c r="I73" s="60">
        <f t="shared" si="319"/>
        <v>798.68601489146624</v>
      </c>
      <c r="J73" s="39">
        <f t="shared" si="320"/>
        <v>29232707.838874765</v>
      </c>
      <c r="K73" s="30">
        <f t="shared" si="321"/>
        <v>3176034.5413942211</v>
      </c>
      <c r="L73" s="30">
        <f t="shared" si="321"/>
        <v>3176034.5413942211</v>
      </c>
      <c r="M73" s="30">
        <f t="shared" si="321"/>
        <v>1804063.9875340292</v>
      </c>
      <c r="N73" s="30">
        <f t="shared" si="321"/>
        <v>53981601.627389133</v>
      </c>
      <c r="O73" s="30">
        <f t="shared" si="321"/>
        <v>53981601.627389133</v>
      </c>
      <c r="P73" s="61">
        <f t="shared" si="321"/>
        <v>798.68601489146624</v>
      </c>
      <c r="Q73" s="39">
        <f t="shared" si="322"/>
        <v>12008346.227890549</v>
      </c>
      <c r="R73" s="30">
        <f t="shared" si="323"/>
        <v>1771054.4005150401</v>
      </c>
      <c r="S73" s="30">
        <f t="shared" si="323"/>
        <v>1771054.4005150401</v>
      </c>
      <c r="T73" s="30">
        <f t="shared" si="323"/>
        <v>951111.68505633192</v>
      </c>
      <c r="U73" s="30">
        <f t="shared" si="323"/>
        <v>17465366.05402229</v>
      </c>
      <c r="V73" s="30">
        <f t="shared" si="323"/>
        <v>17465366.05402229</v>
      </c>
      <c r="W73" s="61">
        <f t="shared" si="323"/>
        <v>798.68601489146624</v>
      </c>
    </row>
    <row r="74">
      <c r="J74" s="37"/>
      <c r="P74" s="38"/>
      <c r="Q74" s="37"/>
      <c r="W74" s="38"/>
    </row>
    <row r="75">
      <c r="A75" s="30" t="s">
        <v>729</v>
      </c>
      <c r="B75" s="30" t="s">
        <v>32</v>
      </c>
      <c r="C75" s="30"/>
      <c r="D75" s="30"/>
      <c r="E75" s="30"/>
      <c r="F75" s="30"/>
      <c r="G75" s="30"/>
      <c r="H75" s="30"/>
      <c r="I75" s="30"/>
      <c r="J75" s="39"/>
      <c r="K75" s="30"/>
      <c r="L75" s="30"/>
      <c r="M75" s="30"/>
      <c r="N75" s="30"/>
      <c r="O75" s="30"/>
      <c r="P75" s="40"/>
      <c r="Q75" s="39"/>
      <c r="R75" s="30"/>
      <c r="S75" s="30"/>
      <c r="T75" s="30"/>
      <c r="U75" s="30"/>
      <c r="V75" s="30"/>
      <c r="W75" s="40"/>
    </row>
    <row r="76">
      <c r="A76" s="30"/>
      <c r="B76" s="30" t="s">
        <v>550</v>
      </c>
      <c r="C76" s="30">
        <f t="shared" ref="C76:W76" si="324">C64/C6</f>
        <v>0.014123941025704403</v>
      </c>
      <c r="D76" s="30">
        <f t="shared" si="324"/>
        <v>0.0021119497341205631</v>
      </c>
      <c r="E76" s="30">
        <f t="shared" si="324"/>
        <v>0.0021119497341205631</v>
      </c>
      <c r="F76" s="30">
        <f t="shared" si="324"/>
        <v>0.0025884844403022819</v>
      </c>
      <c r="G76" s="30">
        <f t="shared" si="324"/>
        <v>0.0016064683386288166</v>
      </c>
      <c r="H76" s="30">
        <f t="shared" si="324"/>
        <v>0.0016064683386288166</v>
      </c>
      <c r="I76" s="30">
        <f t="shared" si="324"/>
        <v>2.835601172205475e-06</v>
      </c>
      <c r="J76" s="39">
        <f t="shared" si="324"/>
        <v>0.091560080848032924</v>
      </c>
      <c r="K76" s="30">
        <f t="shared" si="324"/>
        <v>0.0065518655495611661</v>
      </c>
      <c r="L76" s="30">
        <f t="shared" si="324"/>
        <v>0.0065518655495611661</v>
      </c>
      <c r="M76" s="30">
        <f t="shared" si="324"/>
        <v>0.010426243449229572</v>
      </c>
      <c r="N76" s="30">
        <f t="shared" si="324"/>
        <v>0.064107922028932951</v>
      </c>
      <c r="O76" s="30">
        <f t="shared" si="324"/>
        <v>0.064107922028932951</v>
      </c>
      <c r="P76" s="40">
        <f t="shared" si="324"/>
        <v>2.835601172205475e-06</v>
      </c>
      <c r="Q76" s="39">
        <f t="shared" si="324"/>
        <v>0.037611471285417253</v>
      </c>
      <c r="R76" s="30">
        <f t="shared" si="324"/>
        <v>0.0036535214469170661</v>
      </c>
      <c r="S76" s="30">
        <f t="shared" si="324"/>
        <v>0.0036535214469170661</v>
      </c>
      <c r="T76" s="30">
        <f t="shared" si="324"/>
        <v>0.0054967684318997746</v>
      </c>
      <c r="U76" s="30">
        <f t="shared" si="324"/>
        <v>0.020831190311200443</v>
      </c>
      <c r="V76" s="30">
        <f t="shared" si="324"/>
        <v>0.020831190311200443</v>
      </c>
      <c r="W76" s="40">
        <f t="shared" si="324"/>
        <v>2.835601172205475e-06</v>
      </c>
    </row>
    <row r="77">
      <c r="A77" s="30"/>
      <c r="B77" s="30" t="s">
        <v>551</v>
      </c>
      <c r="C77" s="30">
        <f t="shared" ref="C77:W77" si="325">C65/C6</f>
        <v>0.014123941025704403</v>
      </c>
      <c r="D77" s="30">
        <f t="shared" si="325"/>
        <v>0.0021119497341205631</v>
      </c>
      <c r="E77" s="30">
        <f t="shared" si="325"/>
        <v>0.0021119497341205631</v>
      </c>
      <c r="F77" s="30">
        <f t="shared" si="325"/>
        <v>0.0025884844403022819</v>
      </c>
      <c r="G77" s="30">
        <f t="shared" si="325"/>
        <v>0.0016064683386288166</v>
      </c>
      <c r="H77" s="30">
        <f t="shared" si="325"/>
        <v>0.0016064683386288166</v>
      </c>
      <c r="I77" s="30">
        <f t="shared" si="325"/>
        <v>2.835601172205475e-06</v>
      </c>
      <c r="J77" s="39">
        <f t="shared" si="325"/>
        <v>0.091560080848032938</v>
      </c>
      <c r="K77" s="30">
        <f t="shared" si="325"/>
        <v>0.0065518655495611661</v>
      </c>
      <c r="L77" s="30">
        <f t="shared" si="325"/>
        <v>0.0065518655495611661</v>
      </c>
      <c r="M77" s="30">
        <f t="shared" si="325"/>
        <v>0.010426243449229572</v>
      </c>
      <c r="N77" s="30">
        <f t="shared" si="325"/>
        <v>0.064107922028932951</v>
      </c>
      <c r="O77" s="30">
        <f t="shared" si="325"/>
        <v>0.064107922028932951</v>
      </c>
      <c r="P77" s="40">
        <f t="shared" si="325"/>
        <v>2.835601172205475e-06</v>
      </c>
      <c r="Q77" s="39">
        <f t="shared" si="325"/>
        <v>0.037611471285417253</v>
      </c>
      <c r="R77" s="30">
        <f t="shared" si="325"/>
        <v>0.0036535214469170661</v>
      </c>
      <c r="S77" s="30">
        <f t="shared" si="325"/>
        <v>0.0036535214469170661</v>
      </c>
      <c r="T77" s="30">
        <f t="shared" si="325"/>
        <v>0.0054967684318997746</v>
      </c>
      <c r="U77" s="30">
        <f t="shared" si="325"/>
        <v>0.020831190311200443</v>
      </c>
      <c r="V77" s="30">
        <f t="shared" si="325"/>
        <v>0.020831190311200443</v>
      </c>
      <c r="W77" s="40">
        <f t="shared" si="325"/>
        <v>2.835601172205475e-06</v>
      </c>
    </row>
    <row r="78">
      <c r="A78" s="30"/>
      <c r="B78" s="30" t="s">
        <v>552</v>
      </c>
      <c r="C78" s="30">
        <f t="shared" ref="C78:W78" si="326">C66/C6</f>
        <v>0.014123941025704403</v>
      </c>
      <c r="D78" s="30">
        <f t="shared" si="326"/>
        <v>0.0021119497341205631</v>
      </c>
      <c r="E78" s="30">
        <f t="shared" si="326"/>
        <v>0.0021119497341205631</v>
      </c>
      <c r="F78" s="30">
        <f t="shared" si="326"/>
        <v>0.0025884844403022819</v>
      </c>
      <c r="G78" s="30">
        <f t="shared" si="326"/>
        <v>0.0016064683386288166</v>
      </c>
      <c r="H78" s="30">
        <f t="shared" si="326"/>
        <v>0.0016064683386288166</v>
      </c>
      <c r="I78" s="30">
        <f t="shared" si="326"/>
        <v>2.835601172205475e-06</v>
      </c>
      <c r="J78" s="39">
        <f t="shared" si="326"/>
        <v>0.091560080848032938</v>
      </c>
      <c r="K78" s="30">
        <f t="shared" si="326"/>
        <v>0.0065518655495611661</v>
      </c>
      <c r="L78" s="30">
        <f t="shared" si="326"/>
        <v>0.0065518655495611661</v>
      </c>
      <c r="M78" s="30">
        <f t="shared" si="326"/>
        <v>0.010426243449229572</v>
      </c>
      <c r="N78" s="30">
        <f t="shared" si="326"/>
        <v>0.064107922028932951</v>
      </c>
      <c r="O78" s="30">
        <f t="shared" si="326"/>
        <v>0.064107922028932951</v>
      </c>
      <c r="P78" s="40">
        <f t="shared" si="326"/>
        <v>2.835601172205475e-06</v>
      </c>
      <c r="Q78" s="39">
        <f t="shared" si="326"/>
        <v>0.037611471285417253</v>
      </c>
      <c r="R78" s="30">
        <f t="shared" si="326"/>
        <v>0.0036535214469170661</v>
      </c>
      <c r="S78" s="30">
        <f t="shared" si="326"/>
        <v>0.0036535214469170661</v>
      </c>
      <c r="T78" s="30">
        <f t="shared" si="326"/>
        <v>0.0054967684318997746</v>
      </c>
      <c r="U78" s="30">
        <f t="shared" si="326"/>
        <v>0.020831190311200443</v>
      </c>
      <c r="V78" s="30">
        <f t="shared" si="326"/>
        <v>0.020831190311200443</v>
      </c>
      <c r="W78" s="40">
        <f t="shared" si="326"/>
        <v>2.835601172205475e-06</v>
      </c>
    </row>
    <row r="79">
      <c r="A79" s="30"/>
      <c r="B79" s="30" t="s">
        <v>553</v>
      </c>
      <c r="C79" s="30">
        <f t="shared" ref="C79:W79" si="327">C67/C6</f>
        <v>0.014123941025704403</v>
      </c>
      <c r="D79" s="30">
        <f t="shared" si="327"/>
        <v>0.0021119497341205631</v>
      </c>
      <c r="E79" s="30">
        <f t="shared" si="327"/>
        <v>0.0021119497341205631</v>
      </c>
      <c r="F79" s="30">
        <f t="shared" si="327"/>
        <v>0.0025884844403022819</v>
      </c>
      <c r="G79" s="30">
        <f t="shared" si="327"/>
        <v>0.0016064683386288166</v>
      </c>
      <c r="H79" s="30">
        <f t="shared" si="327"/>
        <v>0.0016064683386288166</v>
      </c>
      <c r="I79" s="30">
        <f t="shared" si="327"/>
        <v>2.835601172205475e-06</v>
      </c>
      <c r="J79" s="39">
        <f t="shared" si="327"/>
        <v>0.091560080848032938</v>
      </c>
      <c r="K79" s="30">
        <f t="shared" si="327"/>
        <v>0.0065518655495611661</v>
      </c>
      <c r="L79" s="30">
        <f t="shared" si="327"/>
        <v>0.0065518655495611661</v>
      </c>
      <c r="M79" s="30">
        <f t="shared" si="327"/>
        <v>0.010426243449229572</v>
      </c>
      <c r="N79" s="30">
        <f t="shared" si="327"/>
        <v>0.064107922028932951</v>
      </c>
      <c r="O79" s="30">
        <f t="shared" si="327"/>
        <v>0.064107922028932951</v>
      </c>
      <c r="P79" s="40">
        <f t="shared" si="327"/>
        <v>2.835601172205475e-06</v>
      </c>
      <c r="Q79" s="39">
        <f t="shared" si="327"/>
        <v>0.037611471285417253</v>
      </c>
      <c r="R79" s="30">
        <f t="shared" si="327"/>
        <v>0.0036535214469170661</v>
      </c>
      <c r="S79" s="30">
        <f t="shared" si="327"/>
        <v>0.0036535214469170661</v>
      </c>
      <c r="T79" s="30">
        <f t="shared" si="327"/>
        <v>0.0054967684318997746</v>
      </c>
      <c r="U79" s="30">
        <f t="shared" si="327"/>
        <v>0.020831190311200443</v>
      </c>
      <c r="V79" s="30">
        <f t="shared" si="327"/>
        <v>0.020831190311200443</v>
      </c>
      <c r="W79" s="40">
        <f t="shared" si="327"/>
        <v>2.835601172205475e-06</v>
      </c>
    </row>
    <row r="96">
      <c r="A96" t="s">
        <v>638</v>
      </c>
      <c r="B96" t="s">
        <v>368</v>
      </c>
      <c r="C96">
        <f>100000*C6</f>
        <v>3333000</v>
      </c>
      <c r="D96">
        <f>values!C44*1000</f>
        <v>60000000</v>
      </c>
    </row>
    <row r="97">
      <c r="A97" s="62" t="s">
        <v>627</v>
      </c>
      <c r="B97" s="62" t="s">
        <v>368</v>
      </c>
      <c r="C97" s="62">
        <f>C96*(1-(1-(C11/100))^(C20))</f>
        <v>94643.703720093385</v>
      </c>
      <c r="D97" s="62">
        <f>D96*(1-(1-(D11/100))^(D20))</f>
        <v>358940.05027738097</v>
      </c>
      <c r="E97" s="62"/>
    </row>
    <row r="98">
      <c r="A98" s="62" t="s">
        <v>628</v>
      </c>
      <c r="B98" s="62" t="s">
        <v>629</v>
      </c>
      <c r="C98" s="62">
        <f>C97*C12</f>
        <v>170358.6666961681</v>
      </c>
      <c r="D98" s="62">
        <f>D97*D12</f>
        <v>13567.933900485001</v>
      </c>
      <c r="E98" s="62"/>
    </row>
    <row r="99">
      <c r="A99" s="62" t="s">
        <v>628</v>
      </c>
      <c r="B99" s="62" t="s">
        <v>639</v>
      </c>
      <c r="C99" s="62">
        <f>C98/C96</f>
        <v>0.051112711279978428</v>
      </c>
      <c r="D99" s="62">
        <f>D98/D96</f>
        <v>0.00022613223167475</v>
      </c>
      <c r="E99" s="62"/>
    </row>
    <row r="100">
      <c r="A100" s="62" t="s">
        <v>628</v>
      </c>
      <c r="B100" s="62" t="s">
        <v>640</v>
      </c>
      <c r="C100" s="62">
        <f>C99/C6</f>
        <v>0.0015335346918685397</v>
      </c>
      <c r="D100" s="62">
        <f>D99/D6</f>
        <v>4.3486967629759613e-05</v>
      </c>
      <c r="E100" s="62"/>
    </row>
    <row r="101">
      <c r="A101" s="62" t="s">
        <v>566</v>
      </c>
      <c r="B101" s="62" t="s">
        <v>543</v>
      </c>
      <c r="C101" s="62">
        <f>assumptions!C5*'Storage 2'!C99</f>
        <v>0.0035778897895984902</v>
      </c>
      <c r="D101" s="62">
        <f>assumptions!C5*'Storage 2'!D99</f>
        <v>1.5829256217232503e-05</v>
      </c>
      <c r="E101" s="62"/>
    </row>
    <row r="102">
      <c r="A102" s="62" t="s">
        <v>641</v>
      </c>
      <c r="B102" s="62" t="s">
        <v>633</v>
      </c>
      <c r="C102" s="62">
        <f>C14*C20+C15*C20+C101</f>
        <v>0.4707509543867277</v>
      </c>
      <c r="D102" s="62">
        <f>D14*D20+D15*D20+D101</f>
        <v>0.010982138617426928</v>
      </c>
      <c r="E102" s="62"/>
    </row>
    <row r="103">
      <c r="A103" s="62" t="s">
        <v>642</v>
      </c>
      <c r="B103" s="62" t="s">
        <v>643</v>
      </c>
      <c r="C103" s="62">
        <f>C102/C6</f>
        <v>0.014123941025704403</v>
      </c>
      <c r="D103" s="62">
        <f>D102/D6</f>
        <v>0.0021119497341205631</v>
      </c>
      <c r="E103" s="62"/>
    </row>
    <row r="104">
      <c r="A104" s="62" t="s">
        <v>644</v>
      </c>
      <c r="B104" s="62" t="s">
        <v>643</v>
      </c>
      <c r="C104" s="62">
        <f>values!C108/'Storage 2'!C6</f>
        <v>0.44854485448544856</v>
      </c>
      <c r="D104" s="62">
        <f>values!C109/'Storage 2'!C6</f>
        <v>0.016201620162016202</v>
      </c>
      <c r="E104" s="62"/>
    </row>
    <row r="105">
      <c r="A105" s="62" t="s">
        <v>645</v>
      </c>
      <c r="B105" s="62" t="s">
        <v>643</v>
      </c>
      <c r="C105" s="62">
        <f>values!C110/'Storage 2'!C6</f>
        <v>0.059105910591059109</v>
      </c>
      <c r="D105" s="62">
        <f>values!C111/'Storage 2'!C6</f>
        <v>0.0018001800180018001</v>
      </c>
      <c r="E105" s="62"/>
    </row>
  </sheetData>
  <mergeCells count="3">
    <mergeCell ref="C1:I1"/>
    <mergeCell ref="J1:P1"/>
    <mergeCell ref="Q1:W1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H65" activeCellId="0" sqref="H65"/>
    </sheetView>
  </sheetViews>
  <sheetFormatPr baseColWidth="10" defaultRowHeight="14.25"/>
  <cols>
    <col customWidth="1" min="1" max="1" width="23.33203125"/>
    <col customWidth="1" min="2" max="2" width="19.6640625"/>
    <col bestFit="1" customWidth="1" min="3" max="4" width="11.6640625"/>
    <col customWidth="1" min="5" max="5" width="12.46484375"/>
    <col bestFit="1" customWidth="1" min="6" max="10" width="11.6640625"/>
    <col bestFit="1" customWidth="1" min="12" max="12" width="11.6640625"/>
    <col bestFit="1" customWidth="1" min="14" max="14" width="11.6640625"/>
  </cols>
  <sheetData>
    <row r="1">
      <c r="C1" s="27" t="s">
        <v>517</v>
      </c>
      <c r="D1" s="27"/>
      <c r="E1" s="27"/>
      <c r="F1" s="27"/>
      <c r="G1" s="32" t="s">
        <v>518</v>
      </c>
      <c r="H1" s="28"/>
      <c r="I1" s="28"/>
      <c r="J1" s="33"/>
      <c r="K1" s="29" t="s">
        <v>519</v>
      </c>
      <c r="L1" s="29"/>
      <c r="M1" s="29"/>
      <c r="N1" s="29"/>
    </row>
    <row r="2">
      <c r="B2" t="s">
        <v>0</v>
      </c>
      <c r="C2" s="1" t="s">
        <v>730</v>
      </c>
      <c r="D2" s="1" t="s">
        <v>731</v>
      </c>
      <c r="E2" s="1" t="s">
        <v>732</v>
      </c>
      <c r="F2" s="1" t="s">
        <v>723</v>
      </c>
      <c r="G2" s="3" t="s">
        <v>730</v>
      </c>
      <c r="H2" s="3" t="s">
        <v>731</v>
      </c>
      <c r="I2" s="3" t="s">
        <v>732</v>
      </c>
      <c r="J2" s="3" t="s">
        <v>723</v>
      </c>
      <c r="K2" s="2" t="s">
        <v>730</v>
      </c>
      <c r="L2" s="2" t="s">
        <v>731</v>
      </c>
      <c r="M2" s="2" t="s">
        <v>732</v>
      </c>
      <c r="N2" s="2" t="s">
        <v>723</v>
      </c>
      <c r="O2" s="2" t="s">
        <v>733</v>
      </c>
    </row>
    <row r="3">
      <c r="A3" t="s">
        <v>524</v>
      </c>
      <c r="C3" s="1"/>
      <c r="D3" s="1" t="s">
        <v>526</v>
      </c>
      <c r="E3" s="1"/>
      <c r="F3" s="1"/>
      <c r="G3" s="3"/>
      <c r="H3" s="3" t="s">
        <v>526</v>
      </c>
      <c r="I3" s="3"/>
      <c r="J3" s="3"/>
      <c r="K3" s="2"/>
      <c r="L3" s="2" t="s">
        <v>526</v>
      </c>
      <c r="M3" s="2"/>
      <c r="N3" s="2"/>
    </row>
    <row r="4">
      <c r="A4" t="s">
        <v>195</v>
      </c>
      <c r="B4" t="s">
        <v>196</v>
      </c>
      <c r="C4" s="1"/>
      <c r="D4" s="1"/>
      <c r="E4" s="1">
        <f>values!C21</f>
        <v>0.061600000000000002</v>
      </c>
      <c r="F4" s="1"/>
      <c r="G4" s="3"/>
      <c r="H4" s="3"/>
      <c r="I4" s="3">
        <f>values!G21</f>
        <v>0.061600000000000002</v>
      </c>
      <c r="J4" s="3"/>
      <c r="K4" s="2"/>
      <c r="L4" s="2"/>
      <c r="M4" s="2">
        <f>values!D21</f>
        <v>0.061600000000000002</v>
      </c>
      <c r="N4" s="2"/>
    </row>
    <row r="5">
      <c r="A5" t="s">
        <v>529</v>
      </c>
      <c r="B5" t="s">
        <v>606</v>
      </c>
      <c r="C5" s="1">
        <f>values!C3</f>
        <v>33.329999999999998</v>
      </c>
      <c r="D5" s="1">
        <f>values!C34</f>
        <v>5.2000000000000002</v>
      </c>
      <c r="E5" s="1">
        <f>E4*C5</f>
        <v>2.0531280000000001</v>
      </c>
      <c r="F5" s="1">
        <f>values!C53</f>
        <v>13.888888888888889</v>
      </c>
      <c r="G5" s="3">
        <f>values!E3</f>
        <v>33.329999999999998</v>
      </c>
      <c r="H5" s="3">
        <f>values!E34</f>
        <v>5.2000000000000002</v>
      </c>
      <c r="I5" s="3">
        <f>I4*G5</f>
        <v>2.0531280000000001</v>
      </c>
      <c r="J5" s="3">
        <f>values!E53</f>
        <v>13.888888888888889</v>
      </c>
      <c r="K5" s="2">
        <f>values!D3</f>
        <v>33.329999999999998</v>
      </c>
      <c r="L5" s="2">
        <f>values!D34</f>
        <v>5.2000000000000002</v>
      </c>
      <c r="M5" s="2">
        <f>M4*K5</f>
        <v>2.0531280000000001</v>
      </c>
      <c r="N5" s="2">
        <f>values!D53</f>
        <v>13.888888888888889</v>
      </c>
    </row>
    <row r="6">
      <c r="A6" t="s">
        <v>531</v>
      </c>
      <c r="B6" t="s">
        <v>67</v>
      </c>
      <c r="C6" s="1">
        <f>assumptions!C18</f>
        <v>25</v>
      </c>
      <c r="D6" s="1">
        <f>assumptions!C18</f>
        <v>25</v>
      </c>
      <c r="E6" s="1">
        <f>assumptions!C18</f>
        <v>25</v>
      </c>
      <c r="F6" s="1">
        <f>assumptions!C18</f>
        <v>25</v>
      </c>
      <c r="G6" s="3">
        <f>assumptions!E18</f>
        <v>25</v>
      </c>
      <c r="H6" s="3">
        <f>assumptions!E18</f>
        <v>25</v>
      </c>
      <c r="I6" s="3">
        <f>assumptions!E18</f>
        <v>25</v>
      </c>
      <c r="J6" s="3">
        <f>assumptions!E18</f>
        <v>25</v>
      </c>
      <c r="K6" s="2">
        <f>assumptions!D18</f>
        <v>25</v>
      </c>
      <c r="L6" s="2">
        <f>assumptions!D18</f>
        <v>25</v>
      </c>
      <c r="M6" s="2">
        <f>assumptions!D18</f>
        <v>25</v>
      </c>
      <c r="N6" s="2">
        <f>assumptions!D18</f>
        <v>25</v>
      </c>
    </row>
    <row r="7">
      <c r="A7" t="s">
        <v>538</v>
      </c>
      <c r="B7" t="s">
        <v>82</v>
      </c>
      <c r="C7" s="1">
        <f>(assumptions!C13*(1+assumptions!C13)^C6)/(((1+assumptions!C13)^C6)-1)</f>
        <v>0.093678779051968114</v>
      </c>
      <c r="D7" s="1">
        <f>(assumptions!C13*(1+assumptions!C13)^D6)/(((1+assumptions!C13)^D6)-1)</f>
        <v>0.093678779051968114</v>
      </c>
      <c r="E7" s="1">
        <f>(assumptions!C13*(1+assumptions!C13)^E6)/(((1+assumptions!C13)^E6)-1)</f>
        <v>0.093678779051968114</v>
      </c>
      <c r="F7" s="1">
        <f>(assumptions!C13*(1+assumptions!C13)^F6)/(((1+assumptions!C13)^F6)-1)</f>
        <v>0.093678779051968114</v>
      </c>
      <c r="G7" s="3">
        <f>(assumptions!E13*(1+assumptions!E13)^G6)/(((1+assumptions!E13)^G6)-1)</f>
        <v>0.093678779051968114</v>
      </c>
      <c r="H7" s="3">
        <f>(assumptions!E13*(1+assumptions!E13)^H6)/(((1+assumptions!E13)^H6)-1)</f>
        <v>0.093678779051968114</v>
      </c>
      <c r="I7" s="3">
        <f>(assumptions!E13*(1+assumptions!E13)^I6)/(((1+assumptions!E13)^I6)-1)</f>
        <v>0.093678779051968114</v>
      </c>
      <c r="J7" s="3">
        <f>(assumptions!E13*(1+assumptions!E13)^J6)/(((1+assumptions!E13)^J6)-1)</f>
        <v>0.093678779051968114</v>
      </c>
      <c r="K7" s="2">
        <f>(assumptions!E13*(1+assumptions!E13)^K6)/(((1+assumptions!E13)^K6)-1)</f>
        <v>0.093678779051968114</v>
      </c>
      <c r="L7" s="2">
        <f>(assumptions!E13*(1+assumptions!E13)^L6)/(((1+assumptions!E13)^L6)-1)</f>
        <v>0.093678779051968114</v>
      </c>
      <c r="M7" s="2">
        <f>(assumptions!E13*(1+assumptions!E13)^M6)/(((1+assumptions!E13)^M6)-1)</f>
        <v>0.093678779051968114</v>
      </c>
      <c r="N7" s="2">
        <f>(assumptions!E13*(1+assumptions!E13)^N6)/(((1+assumptions!E13)^N6)-1)</f>
        <v>0.093678779051968114</v>
      </c>
    </row>
    <row r="8">
      <c r="A8" t="s">
        <v>609</v>
      </c>
      <c r="B8" t="s">
        <v>82</v>
      </c>
      <c r="C8" s="1">
        <f>assumptions!C44/100</f>
        <v>0.025000000000000001</v>
      </c>
      <c r="D8" s="1">
        <f>assumptions!C45/100</f>
        <v>0.025000000000000001</v>
      </c>
      <c r="E8" s="1">
        <f>assumptions!C49/100</f>
        <v>0.025000000000000001</v>
      </c>
      <c r="F8" s="1">
        <f>assumptions!C54/100</f>
        <v>0.040000000000000001</v>
      </c>
      <c r="G8" s="3">
        <f>assumptions!E44/100</f>
        <v>0.040000000000000001</v>
      </c>
      <c r="H8" s="3">
        <f>assumptions!E45/100</f>
        <v>0.040000000000000001</v>
      </c>
      <c r="I8" s="3">
        <f>assumptions!E49/100</f>
        <v>0.059999999999999998</v>
      </c>
      <c r="J8" s="3">
        <f>assumptions!E54/100</f>
        <v>0.040000000000000001</v>
      </c>
      <c r="K8" s="2">
        <f>assumptions!D44/100</f>
        <v>0.03125</v>
      </c>
      <c r="L8" s="2">
        <f>assumptions!D45/100</f>
        <v>0.03125</v>
      </c>
      <c r="M8" s="2">
        <f>assumptions!D49/100</f>
        <v>0.03875</v>
      </c>
      <c r="N8" s="2">
        <f>assumptions!D54/100</f>
        <v>0.040000000000000001</v>
      </c>
    </row>
    <row r="9">
      <c r="A9" t="s">
        <v>57</v>
      </c>
      <c r="B9" t="s">
        <v>58</v>
      </c>
      <c r="C9" s="1"/>
      <c r="D9" s="1"/>
      <c r="E9" s="1"/>
      <c r="F9" s="1"/>
      <c r="G9" s="3"/>
      <c r="H9" s="3"/>
      <c r="I9" s="3"/>
      <c r="J9" s="3"/>
      <c r="K9" s="2"/>
      <c r="L9" s="2"/>
      <c r="M9" s="2"/>
      <c r="N9" s="2"/>
    </row>
    <row r="10">
      <c r="A10" t="s">
        <v>734</v>
      </c>
      <c r="B10" t="s">
        <v>735</v>
      </c>
      <c r="C10" s="1">
        <f>assumptions!C10</f>
        <v>5000</v>
      </c>
      <c r="D10" s="1">
        <f>assumptions!C10</f>
        <v>5000</v>
      </c>
      <c r="E10" s="1">
        <f>assumptions!C10</f>
        <v>5000</v>
      </c>
      <c r="F10" s="1">
        <f>assumptions!C10</f>
        <v>5000</v>
      </c>
      <c r="G10" s="3">
        <f>assumptions!E10</f>
        <v>2000</v>
      </c>
      <c r="H10" s="3">
        <f>assumptions!E10</f>
        <v>2000</v>
      </c>
      <c r="I10" s="3">
        <f>assumptions!E10</f>
        <v>2000</v>
      </c>
      <c r="J10" s="3">
        <f>assumptions!E10</f>
        <v>2000</v>
      </c>
      <c r="K10" s="2">
        <f>assumptions!D10</f>
        <v>3500</v>
      </c>
      <c r="L10" s="2">
        <f>assumptions!D10</f>
        <v>3500</v>
      </c>
      <c r="M10" s="2">
        <f>assumptions!D10</f>
        <v>3500</v>
      </c>
      <c r="N10" s="2">
        <f>assumptions!D10</f>
        <v>3500</v>
      </c>
    </row>
    <row r="11">
      <c r="A11" t="s">
        <v>736</v>
      </c>
      <c r="B11" t="s">
        <v>737</v>
      </c>
      <c r="C11" s="1"/>
      <c r="D11" s="1"/>
      <c r="E11" s="1"/>
      <c r="F11" s="1"/>
      <c r="G11" s="3"/>
      <c r="H11" s="3"/>
      <c r="I11" s="3"/>
      <c r="J11" s="3"/>
      <c r="K11" s="2"/>
      <c r="L11" s="2"/>
      <c r="M11" s="2"/>
      <c r="N11" s="2"/>
    </row>
    <row r="12">
      <c r="A12" t="s">
        <v>664</v>
      </c>
      <c r="B12" t="s">
        <v>738</v>
      </c>
      <c r="C12" s="1">
        <f>values!C15</f>
        <v>121.27659574468086</v>
      </c>
      <c r="D12" s="1">
        <f>values!C45</f>
        <v>250</v>
      </c>
      <c r="E12" s="1">
        <f>values!C28</f>
        <v>80</v>
      </c>
      <c r="F12" s="1">
        <f>values!C77</f>
        <v>741.48936170212767</v>
      </c>
      <c r="G12" s="3">
        <f>values!E15</f>
        <v>933.29999999999995</v>
      </c>
      <c r="H12" s="3">
        <f>values!E45</f>
        <v>1524.7</v>
      </c>
      <c r="I12" s="3">
        <f>values!E28</f>
        <v>1000</v>
      </c>
      <c r="J12" s="3">
        <f>values!E77</f>
        <v>977.65957446808511</v>
      </c>
      <c r="K12" s="2">
        <f>values!D15</f>
        <v>374.40026595744683</v>
      </c>
      <c r="L12" s="2">
        <f>values!D45</f>
        <v>535.95372340425536</v>
      </c>
      <c r="M12" s="2">
        <f>values!D28</f>
        <v>395.79787234042556</v>
      </c>
      <c r="N12" s="2">
        <f>values!D77</f>
        <v>858.82849809803679</v>
      </c>
    </row>
    <row r="13">
      <c r="A13" t="s">
        <v>608</v>
      </c>
      <c r="B13" t="s">
        <v>739</v>
      </c>
      <c r="C13" s="1">
        <f>((C7*C12)/5000)*C5</f>
        <v>0.07573271541732747</v>
      </c>
      <c r="D13" s="1">
        <f>((D7*D12)/D10)*C5</f>
        <v>0.15611568529010486</v>
      </c>
      <c r="E13" s="1">
        <f>((E7*E12)/E10)*C5</f>
        <v>0.049957019292833554</v>
      </c>
      <c r="F13" s="1">
        <f>((F7*F12)/F10)*C5</f>
        <v>0.46303247934980041</v>
      </c>
      <c r="G13" s="3">
        <f>((G7*G12)/5000)*G5</f>
        <v>0.58281107632501938</v>
      </c>
      <c r="H13" s="3">
        <f>((H7*H12)/H10)*G5</f>
        <v>2.3802958536182288</v>
      </c>
      <c r="I13" s="3">
        <f>((I7*I12)/I10)*G5</f>
        <v>1.5611568529010484</v>
      </c>
      <c r="J13" s="3">
        <f>((J7*J12)/J10)*G5</f>
        <v>1.526279944485174</v>
      </c>
      <c r="K13" s="2">
        <f>((K7*K12)/5000)*K5</f>
        <v>0.23379901637097733</v>
      </c>
      <c r="L13" s="2">
        <f>((L7*L12)/L10)*K5</f>
        <v>0.47811875893164935</v>
      </c>
      <c r="M13" s="2">
        <f>((M7*M12)/M10)*K5</f>
        <v>0.35308717758166275</v>
      </c>
      <c r="N13" s="2">
        <f>((N7*N12)/N10)*K5</f>
        <v>0.76615199729855155</v>
      </c>
      <c r="O13">
        <f>(N7*0.75*(8760/2000))/N5</f>
        <v>0.0221569048213715</v>
      </c>
    </row>
    <row r="14">
      <c r="A14" t="s">
        <v>609</v>
      </c>
      <c r="B14" t="s">
        <v>739</v>
      </c>
      <c r="C14" s="1">
        <f>(C8*C12*C5)/C10</f>
        <v>0.020210744680851066</v>
      </c>
      <c r="D14" s="1">
        <f>(D8*D12*C5)/D10</f>
        <v>0.041662499999999998</v>
      </c>
      <c r="E14" s="1">
        <f>(E8*E12*C5)/E10</f>
        <v>0.013332</v>
      </c>
      <c r="F14" s="1">
        <f>(F8*F12*C5)/F10</f>
        <v>0.19771072340425533</v>
      </c>
      <c r="G14" s="3">
        <f>(G8*G12*G5)/G10</f>
        <v>0.62213777999999997</v>
      </c>
      <c r="H14" s="3">
        <f>(H8*H12*G5)/H10</f>
        <v>1.0163650200000001</v>
      </c>
      <c r="I14" s="3">
        <f>(I8*I12*G5)/I10</f>
        <v>0.99990000000000001</v>
      </c>
      <c r="J14" s="3">
        <f>(J8*J12*G5)/J10</f>
        <v>0.65170787234042549</v>
      </c>
      <c r="K14" s="2">
        <f>(K8*K12*K5)/K10</f>
        <v>0.1114175077175152</v>
      </c>
      <c r="L14" s="2">
        <f>(L8*L12*K5)/L10</f>
        <v>0.15949408572378421</v>
      </c>
      <c r="M14" s="2">
        <f>(M8*M12*K5)/M10</f>
        <v>0.14605365558510638</v>
      </c>
      <c r="N14" s="2">
        <f>(N8*N12*K5)/N10</f>
        <v>0.32714004390408646</v>
      </c>
    </row>
    <row r="15">
      <c r="A15" t="s">
        <v>740</v>
      </c>
      <c r="B15" t="s">
        <v>249</v>
      </c>
      <c r="C15" s="1">
        <f>values!C13</f>
        <v>0.099989999999999996</v>
      </c>
      <c r="D15" s="1">
        <f>values!C46</f>
        <v>1.25</v>
      </c>
      <c r="E15" s="5">
        <f>values!C29</f>
        <v>1.3999999999999999</v>
      </c>
      <c r="F15" s="1">
        <f>values!C75</f>
        <v>2</v>
      </c>
      <c r="G15" s="3">
        <f>values!E13</f>
        <v>0.90000000000000002</v>
      </c>
      <c r="H15" s="3">
        <f>values!E46</f>
        <v>2</v>
      </c>
      <c r="I15" s="63">
        <f>values!E29</f>
        <v>2</v>
      </c>
      <c r="J15" s="3">
        <f>values!E75</f>
        <v>2</v>
      </c>
      <c r="K15" s="2">
        <f>values!D13</f>
        <v>0.52999799999999997</v>
      </c>
      <c r="L15" s="2">
        <f>values!D46</f>
        <v>1.625</v>
      </c>
      <c r="M15" s="64">
        <f>values!D29</f>
        <v>1.8</v>
      </c>
      <c r="N15" s="2">
        <f>values!D75</f>
        <v>2</v>
      </c>
    </row>
    <row r="16">
      <c r="A16" t="s">
        <v>741</v>
      </c>
      <c r="B16" t="s">
        <v>249</v>
      </c>
      <c r="C16" s="1"/>
      <c r="D16" s="1">
        <f>values!C47</f>
        <v>4.2329099999999995</v>
      </c>
      <c r="E16" s="5">
        <f>values!C30</f>
        <v>10.998900000000001</v>
      </c>
      <c r="F16" s="1">
        <f>values!C76</f>
        <v>5.2300000000000004</v>
      </c>
      <c r="G16" s="3"/>
      <c r="H16" s="3">
        <f>values!E47</f>
        <v>16.800000000000001</v>
      </c>
      <c r="I16" s="63">
        <f>values!E30</f>
        <v>20.399999999999999</v>
      </c>
      <c r="J16" s="3">
        <f>values!E76</f>
        <v>8</v>
      </c>
      <c r="K16" s="2"/>
      <c r="L16" s="2">
        <f>values!D47</f>
        <v>8.2189383333333321</v>
      </c>
      <c r="M16" s="64">
        <f>values!D30</f>
        <v>14.540155555555556</v>
      </c>
      <c r="N16" s="2">
        <f>values!D76</f>
        <v>6.4100000000000001</v>
      </c>
    </row>
    <row r="17">
      <c r="A17" t="s">
        <v>187</v>
      </c>
      <c r="B17" t="s">
        <v>58</v>
      </c>
      <c r="C17" s="1">
        <f>values!C14</f>
        <v>1</v>
      </c>
      <c r="D17" s="1">
        <f>values!C48</f>
        <v>0.97999999999999998</v>
      </c>
      <c r="E17" s="1">
        <f>values!C31</f>
        <v>0.98999999999999999</v>
      </c>
      <c r="F17" s="1">
        <f>values!C80</f>
        <v>0.59999999999999998</v>
      </c>
      <c r="G17" s="3">
        <f>values!E14</f>
        <v>0.97999999999999998</v>
      </c>
      <c r="H17" s="3">
        <f>values!E48</f>
        <v>0.97999999999999998</v>
      </c>
      <c r="I17" s="3">
        <f>values!E31</f>
        <v>0.90000000000000002</v>
      </c>
      <c r="J17" s="3">
        <f>values!E80</f>
        <v>0.55000000000000004</v>
      </c>
      <c r="K17" s="2">
        <f>values!D14</f>
        <v>0.98999999999999999</v>
      </c>
      <c r="L17" s="2">
        <f>values!D48</f>
        <v>0.97999999999999998</v>
      </c>
      <c r="M17" s="2">
        <f>values!D31</f>
        <v>0.94267999999999996</v>
      </c>
      <c r="N17" s="2">
        <f>values!D80</f>
        <v>0.57666666666666666</v>
      </c>
    </row>
    <row r="18">
      <c r="A18" t="s">
        <v>742</v>
      </c>
      <c r="B18" t="s">
        <v>58</v>
      </c>
      <c r="C18" s="1"/>
      <c r="D18" s="1">
        <f>values!C49</f>
        <v>0.75</v>
      </c>
      <c r="E18" s="1"/>
      <c r="F18" s="1"/>
      <c r="G18" s="3"/>
      <c r="H18" s="3">
        <f>values!E49</f>
        <v>0.75</v>
      </c>
      <c r="I18" s="3"/>
      <c r="J18" s="3"/>
      <c r="K18" s="2"/>
      <c r="L18" s="2">
        <f>values!D49</f>
        <v>0.75</v>
      </c>
      <c r="M18" s="2"/>
      <c r="N18" s="2"/>
    </row>
    <row r="19">
      <c r="A19" t="s">
        <v>743</v>
      </c>
      <c r="B19" t="s">
        <v>58</v>
      </c>
    </row>
    <row r="21">
      <c r="A21" t="s">
        <v>704</v>
      </c>
      <c r="B21" t="s">
        <v>368</v>
      </c>
    </row>
    <row r="22">
      <c r="B22" t="s">
        <v>550</v>
      </c>
      <c r="C22">
        <f>'Storage 2'!C28</f>
        <v>11760000</v>
      </c>
      <c r="D22">
        <f>'Storage 2'!E28</f>
        <v>107200000</v>
      </c>
      <c r="E22">
        <f>Shipping!F106</f>
        <v>140800000</v>
      </c>
      <c r="F22">
        <f>Shipping!G106</f>
        <v>65600000</v>
      </c>
      <c r="G22">
        <f>'Storage 2'!J28</f>
        <v>11760000</v>
      </c>
      <c r="H22">
        <f>'Storage 2'!L28</f>
        <v>107200000</v>
      </c>
      <c r="I22">
        <f>'Storage 2'!M28</f>
        <v>140800000</v>
      </c>
      <c r="J22">
        <f>'Storage 2'!O28</f>
        <v>65600000</v>
      </c>
      <c r="K22">
        <f>'Storage 2'!Q28</f>
        <v>11760000</v>
      </c>
      <c r="L22">
        <f>'Storage 2'!S28</f>
        <v>107200000</v>
      </c>
      <c r="M22">
        <f>'Storage 2'!T28</f>
        <v>140800000</v>
      </c>
      <c r="N22">
        <f>'Storage 2'!V28</f>
        <v>65600000</v>
      </c>
    </row>
    <row r="23">
      <c r="B23" t="s">
        <v>551</v>
      </c>
      <c r="C23">
        <f>'Storage 2'!C29</f>
        <v>11388155.295529554</v>
      </c>
      <c r="D23">
        <f>'Storage 2'!E29</f>
        <v>104816618.46153846</v>
      </c>
      <c r="E23">
        <f>Shipping!F107</f>
        <v>130539559.99236287</v>
      </c>
      <c r="F23">
        <f>'Storage 2'!H29</f>
        <v>64707661.952</v>
      </c>
      <c r="G23">
        <f>'Storage 2'!J29</f>
        <v>11388155.295529554</v>
      </c>
      <c r="H23">
        <f>'Storage 2'!L29</f>
        <v>104816618.46153846</v>
      </c>
      <c r="I23">
        <f>'Storage 2'!M29</f>
        <v>130539559.99236287</v>
      </c>
      <c r="J23">
        <f>'Storage 2'!O29</f>
        <v>64563019.919015445</v>
      </c>
      <c r="K23">
        <f>'Storage 2'!Q29</f>
        <v>11388155.295529554</v>
      </c>
      <c r="L23">
        <f>'Storage 2'!S29</f>
        <v>104816618.46153846</v>
      </c>
      <c r="M23">
        <f>'Storage 2'!T29</f>
        <v>130539559.99236287</v>
      </c>
      <c r="N23">
        <f>'Storage 2'!V29</f>
        <v>64707661.952</v>
      </c>
    </row>
    <row r="24">
      <c r="B24" t="s">
        <v>552</v>
      </c>
      <c r="C24">
        <f>'Storage 2'!C30</f>
        <v>10837611.761176117</v>
      </c>
      <c r="D24">
        <f>'Storage 2'!E30</f>
        <v>101287846.15384616</v>
      </c>
      <c r="E24">
        <f>Shipping!F108</f>
        <v>117378164.95415774</v>
      </c>
      <c r="F24">
        <f>'Storage 2'!H30</f>
        <v>63386489.600000001</v>
      </c>
      <c r="G24">
        <f>'Storage 2'!J30</f>
        <v>10837611.761176117</v>
      </c>
      <c r="H24">
        <f>'Storage 2'!L30</f>
        <v>101287846.15384616</v>
      </c>
      <c r="I24">
        <f>'Storage 2'!M30</f>
        <v>117378164.95415774</v>
      </c>
      <c r="J24">
        <f>'Storage 2'!O30</f>
        <v>63338850.174929462</v>
      </c>
      <c r="K24">
        <f>'Storage 2'!Q30</f>
        <v>10837611.761176117</v>
      </c>
      <c r="L24">
        <f>'Storage 2'!S30</f>
        <v>101287846.15384616</v>
      </c>
      <c r="M24">
        <f>'Storage 2'!T30</f>
        <v>117378164.95415774</v>
      </c>
      <c r="N24">
        <f>'Storage 2'!V30</f>
        <v>63386489.600000001</v>
      </c>
    </row>
    <row r="25">
      <c r="B25" t="s">
        <v>553</v>
      </c>
      <c r="C25">
        <f>'Storage 2'!C31</f>
        <v>9579163.0363036301</v>
      </c>
      <c r="D25">
        <f>'Storage 2'!E31</f>
        <v>93221673.84615384</v>
      </c>
      <c r="E25">
        <f>Shipping!F109</f>
        <v>84276802.537396595</v>
      </c>
      <c r="F25">
        <f>'Storage 2'!H31</f>
        <v>60366514.688000001</v>
      </c>
      <c r="G25">
        <f>'Storage 2'!J31</f>
        <v>9579163.0363036301</v>
      </c>
      <c r="H25">
        <f>'Storage 2'!L31</f>
        <v>93221673.84615384</v>
      </c>
      <c r="I25">
        <f>'Storage 2'!M31</f>
        <v>84276802.537396595</v>
      </c>
      <c r="J25">
        <f>'Storage 2'!O31</f>
        <v>60627067.51620958</v>
      </c>
      <c r="K25">
        <f>'Storage 2'!Q31</f>
        <v>9579163.0363036301</v>
      </c>
      <c r="L25">
        <f>'Storage 2'!S31</f>
        <v>93221673.84615384</v>
      </c>
      <c r="M25">
        <f>'Storage 2'!T31</f>
        <v>84276802.537396595</v>
      </c>
      <c r="N25">
        <f>'Storage 2'!V31</f>
        <v>60366514.688000001</v>
      </c>
    </row>
    <row r="27">
      <c r="A27" t="s">
        <v>744</v>
      </c>
      <c r="B27" t="s">
        <v>555</v>
      </c>
    </row>
    <row r="28">
      <c r="B28" t="s">
        <v>550</v>
      </c>
      <c r="C28">
        <f t="shared" ref="C28:N28" si="328">C22*C5</f>
        <v>391960800</v>
      </c>
      <c r="D28">
        <f t="shared" si="328"/>
        <v>557440000</v>
      </c>
      <c r="E28">
        <f t="shared" si="328"/>
        <v>289080422.40000004</v>
      </c>
      <c r="F28">
        <f t="shared" si="328"/>
        <v>911111111.11111116</v>
      </c>
      <c r="G28">
        <f t="shared" si="328"/>
        <v>391960800</v>
      </c>
      <c r="H28">
        <f t="shared" si="328"/>
        <v>557440000</v>
      </c>
      <c r="I28">
        <f>I22*I5</f>
        <v>289080422.40000004</v>
      </c>
      <c r="J28">
        <f t="shared" si="328"/>
        <v>911111111.11111116</v>
      </c>
      <c r="K28">
        <f t="shared" si="328"/>
        <v>391960800</v>
      </c>
      <c r="L28">
        <f t="shared" si="328"/>
        <v>557440000</v>
      </c>
      <c r="M28">
        <f t="shared" si="328"/>
        <v>289080422.40000004</v>
      </c>
      <c r="N28">
        <f t="shared" si="328"/>
        <v>911111111.11111116</v>
      </c>
    </row>
    <row r="29">
      <c r="B29" t="s">
        <v>551</v>
      </c>
      <c r="C29">
        <f t="shared" ref="C29:N29" si="329">C23*C5</f>
        <v>379567216</v>
      </c>
      <c r="D29">
        <f t="shared" si="329"/>
        <v>545046416</v>
      </c>
      <c r="E29">
        <f t="shared" si="329"/>
        <v>268014425.72800002</v>
      </c>
      <c r="F29">
        <f t="shared" si="329"/>
        <v>898717527.11111116</v>
      </c>
      <c r="G29">
        <f t="shared" si="329"/>
        <v>379567216</v>
      </c>
      <c r="H29">
        <f t="shared" si="329"/>
        <v>545046416</v>
      </c>
      <c r="I29">
        <f t="shared" si="329"/>
        <v>268014425.72800002</v>
      </c>
      <c r="J29">
        <f t="shared" si="329"/>
        <v>896708609.98632562</v>
      </c>
      <c r="K29">
        <f t="shared" si="329"/>
        <v>379567216</v>
      </c>
      <c r="L29">
        <f t="shared" si="329"/>
        <v>545046416</v>
      </c>
      <c r="M29">
        <f t="shared" si="329"/>
        <v>268014425.72800002</v>
      </c>
      <c r="N29">
        <f t="shared" si="329"/>
        <v>898717527.11111116</v>
      </c>
    </row>
    <row r="30">
      <c r="B30" t="s">
        <v>552</v>
      </c>
      <c r="C30">
        <f t="shared" ref="C30:N30" si="330">C24*C5</f>
        <v>361217599.99999994</v>
      </c>
      <c r="D30">
        <f t="shared" si="330"/>
        <v>526696800.00000006</v>
      </c>
      <c r="E30">
        <f t="shared" si="330"/>
        <v>240992397.05599999</v>
      </c>
      <c r="F30">
        <f t="shared" si="330"/>
        <v>880367911.11111116</v>
      </c>
      <c r="G30">
        <f t="shared" si="330"/>
        <v>361217599.99999994</v>
      </c>
      <c r="H30">
        <f t="shared" si="330"/>
        <v>526696800.00000006</v>
      </c>
      <c r="I30">
        <f t="shared" si="330"/>
        <v>240992397.05599999</v>
      </c>
      <c r="J30">
        <f t="shared" si="330"/>
        <v>879706252.42957592</v>
      </c>
      <c r="K30">
        <f t="shared" si="330"/>
        <v>361217599.99999994</v>
      </c>
      <c r="L30">
        <f t="shared" si="330"/>
        <v>526696800.00000006</v>
      </c>
      <c r="M30">
        <f t="shared" si="330"/>
        <v>240992397.05599999</v>
      </c>
      <c r="N30">
        <f t="shared" si="330"/>
        <v>880367911.11111116</v>
      </c>
    </row>
    <row r="31">
      <c r="B31" t="s">
        <v>553</v>
      </c>
      <c r="C31">
        <f t="shared" ref="C31:N31" si="331">C25*C5</f>
        <v>319273504</v>
      </c>
      <c r="D31">
        <f t="shared" si="331"/>
        <v>484752704</v>
      </c>
      <c r="E31">
        <f t="shared" si="331"/>
        <v>173031063.03999999</v>
      </c>
      <c r="F31">
        <f t="shared" si="331"/>
        <v>838423815.11111116</v>
      </c>
      <c r="G31">
        <f t="shared" si="331"/>
        <v>319273504</v>
      </c>
      <c r="H31">
        <f t="shared" si="331"/>
        <v>484752704</v>
      </c>
      <c r="I31">
        <f t="shared" si="331"/>
        <v>173031063.03999999</v>
      </c>
      <c r="J31">
        <f t="shared" si="331"/>
        <v>842042604.39179969</v>
      </c>
      <c r="K31">
        <f t="shared" si="331"/>
        <v>319273504</v>
      </c>
      <c r="L31">
        <f t="shared" si="331"/>
        <v>484752704</v>
      </c>
      <c r="M31">
        <f t="shared" si="331"/>
        <v>173031063.03999999</v>
      </c>
      <c r="N31">
        <f t="shared" si="331"/>
        <v>838423815.11111116</v>
      </c>
    </row>
    <row r="33">
      <c r="A33" t="s">
        <v>745</v>
      </c>
      <c r="B33" t="s">
        <v>555</v>
      </c>
    </row>
    <row r="34">
      <c r="B34" t="s">
        <v>550</v>
      </c>
      <c r="C34">
        <f t="shared" ref="C34:N34" si="332">C28*C17</f>
        <v>391960800</v>
      </c>
      <c r="D34">
        <f t="shared" si="332"/>
        <v>546291200</v>
      </c>
      <c r="E34">
        <f t="shared" si="332"/>
        <v>286189618.17600006</v>
      </c>
      <c r="F34">
        <f t="shared" si="332"/>
        <v>546666666.66666663</v>
      </c>
      <c r="G34">
        <f t="shared" si="332"/>
        <v>384121584</v>
      </c>
      <c r="H34">
        <f t="shared" si="332"/>
        <v>546291200</v>
      </c>
      <c r="I34">
        <f>I28*I17</f>
        <v>260172380.16000003</v>
      </c>
      <c r="J34">
        <f t="shared" si="332"/>
        <v>501111111.11111116</v>
      </c>
      <c r="K34">
        <f t="shared" si="332"/>
        <v>388041192</v>
      </c>
      <c r="L34">
        <f t="shared" si="332"/>
        <v>546291200</v>
      </c>
      <c r="M34">
        <f t="shared" si="332"/>
        <v>272510332.58803201</v>
      </c>
      <c r="N34">
        <f t="shared" si="332"/>
        <v>525407407.4074074</v>
      </c>
    </row>
    <row r="35">
      <c r="B35" t="s">
        <v>551</v>
      </c>
      <c r="C35">
        <f t="shared" ref="C35:N35" si="333">C29*C17</f>
        <v>379567216</v>
      </c>
      <c r="D35">
        <f t="shared" si="333"/>
        <v>534145487.68000001</v>
      </c>
      <c r="E35">
        <f t="shared" si="333"/>
        <v>265334281.47072002</v>
      </c>
      <c r="F35">
        <f t="shared" si="333"/>
        <v>539230516.26666665</v>
      </c>
      <c r="G35">
        <f t="shared" si="333"/>
        <v>371975871.68000001</v>
      </c>
      <c r="H35">
        <f t="shared" si="333"/>
        <v>534145487.68000001</v>
      </c>
      <c r="I35">
        <f t="shared" si="333"/>
        <v>241212983.1552</v>
      </c>
      <c r="J35">
        <f t="shared" si="333"/>
        <v>493189735.49247915</v>
      </c>
      <c r="K35">
        <f t="shared" si="333"/>
        <v>375771543.83999997</v>
      </c>
      <c r="L35">
        <f t="shared" si="333"/>
        <v>534145487.68000001</v>
      </c>
      <c r="M35">
        <f t="shared" si="333"/>
        <v>252651838.84527105</v>
      </c>
      <c r="N35">
        <f t="shared" si="333"/>
        <v>518260440.63407409</v>
      </c>
    </row>
    <row r="36">
      <c r="B36" t="s">
        <v>552</v>
      </c>
      <c r="C36">
        <f t="shared" ref="C36:N36" si="334">C30*C17</f>
        <v>361217599.99999994</v>
      </c>
      <c r="D36">
        <f t="shared" si="334"/>
        <v>516162864.00000006</v>
      </c>
      <c r="E36">
        <f t="shared" si="334"/>
        <v>238582473.08543998</v>
      </c>
      <c r="F36">
        <f t="shared" si="334"/>
        <v>528220746.66666669</v>
      </c>
      <c r="G36">
        <f t="shared" si="334"/>
        <v>353993247.99999994</v>
      </c>
      <c r="H36">
        <f t="shared" si="334"/>
        <v>516162864.00000006</v>
      </c>
      <c r="I36">
        <f t="shared" si="334"/>
        <v>216893157.3504</v>
      </c>
      <c r="J36">
        <f t="shared" si="334"/>
        <v>483838438.83626682</v>
      </c>
      <c r="K36">
        <f t="shared" si="334"/>
        <v>357605423.99999994</v>
      </c>
      <c r="L36">
        <f t="shared" si="334"/>
        <v>516162864.00000006</v>
      </c>
      <c r="M36">
        <f t="shared" si="334"/>
        <v>227178712.85675007</v>
      </c>
      <c r="N36">
        <f t="shared" si="334"/>
        <v>507678828.74074078</v>
      </c>
    </row>
    <row r="37">
      <c r="B37" t="s">
        <v>553</v>
      </c>
      <c r="C37">
        <f t="shared" ref="C37:N37" si="335">C31*C17</f>
        <v>319273504</v>
      </c>
      <c r="D37">
        <f t="shared" si="335"/>
        <v>475057649.92000002</v>
      </c>
      <c r="E37">
        <f t="shared" si="335"/>
        <v>171300752.40959999</v>
      </c>
      <c r="F37">
        <f t="shared" si="335"/>
        <v>503054289.06666666</v>
      </c>
      <c r="G37">
        <f t="shared" si="335"/>
        <v>312888033.92000002</v>
      </c>
      <c r="H37">
        <f t="shared" si="335"/>
        <v>475057649.92000002</v>
      </c>
      <c r="I37">
        <f t="shared" si="335"/>
        <v>155727956.736</v>
      </c>
      <c r="J37">
        <f t="shared" si="335"/>
        <v>463123432.41548985</v>
      </c>
      <c r="K37">
        <f t="shared" si="335"/>
        <v>316080768.95999998</v>
      </c>
      <c r="L37">
        <f t="shared" si="335"/>
        <v>475057649.92000002</v>
      </c>
      <c r="M37">
        <f t="shared" si="335"/>
        <v>163112922.50654718</v>
      </c>
      <c r="N37">
        <f t="shared" si="335"/>
        <v>483491066.71407408</v>
      </c>
    </row>
    <row r="39">
      <c r="A39" t="s">
        <v>746</v>
      </c>
      <c r="B39" t="s">
        <v>368</v>
      </c>
    </row>
    <row r="40">
      <c r="B40" t="s">
        <v>550</v>
      </c>
      <c r="C40">
        <f>C22*C17</f>
        <v>11760000</v>
      </c>
      <c r="D40">
        <f>D34/C5</f>
        <v>16390375.037503751</v>
      </c>
      <c r="E40">
        <f>E34/C5</f>
        <v>8586547.200000003</v>
      </c>
      <c r="F40">
        <f>F34/C5</f>
        <v>16401640.164016401</v>
      </c>
      <c r="G40">
        <f>G22*G17</f>
        <v>11524800</v>
      </c>
      <c r="H40">
        <f>H34/G5</f>
        <v>16390375.037503751</v>
      </c>
      <c r="I40">
        <f>I34/G5</f>
        <v>7805952.0000000009</v>
      </c>
      <c r="J40">
        <f>J34/G5</f>
        <v>15034836.817015037</v>
      </c>
      <c r="K40">
        <f>K22*K17</f>
        <v>11642400</v>
      </c>
      <c r="L40">
        <f>L34/K5</f>
        <v>16390375.037503751</v>
      </c>
      <c r="M40">
        <f>M34/K5</f>
        <v>8176127.590400001</v>
      </c>
      <c r="N40">
        <f>N34/K5</f>
        <v>15763798.602082431</v>
      </c>
    </row>
    <row r="41">
      <c r="B41" t="s">
        <v>551</v>
      </c>
      <c r="C41">
        <f>C23*C17</f>
        <v>11388155.295529554</v>
      </c>
      <c r="D41">
        <f>D35/C5</f>
        <v>16025967.227122713</v>
      </c>
      <c r="E41">
        <f>E35/C5</f>
        <v>7960824.5265742587</v>
      </c>
      <c r="F41">
        <f>F35/C5</f>
        <v>16178533.341334134</v>
      </c>
      <c r="G41">
        <f>G23*G17</f>
        <v>11160392.189618962</v>
      </c>
      <c r="H41">
        <f>H35/G5</f>
        <v>16025967.227122713</v>
      </c>
      <c r="I41">
        <f>I35/G5</f>
        <v>7237113.205976598</v>
      </c>
      <c r="J41">
        <f>J35/G5</f>
        <v>14797171.781952571</v>
      </c>
      <c r="K41">
        <f>K23*K17</f>
        <v>11274273.742574258</v>
      </c>
      <c r="L41">
        <f>L35/K5</f>
        <v>16025967.227122713</v>
      </c>
      <c r="M41">
        <f>M35/K5</f>
        <v>7580313.1966777993</v>
      </c>
      <c r="N41">
        <f>N35/K5</f>
        <v>15549368.155837808</v>
      </c>
    </row>
    <row r="42">
      <c r="B42" t="s">
        <v>552</v>
      </c>
      <c r="C42">
        <f>C24*C17</f>
        <v>10837611.761176117</v>
      </c>
      <c r="D42">
        <f>D36/C5</f>
        <v>15486434.563456349</v>
      </c>
      <c r="E42">
        <f>E36/C5</f>
        <v>7158190.0115643563</v>
      </c>
      <c r="F42">
        <f>F36/C5</f>
        <v>15848207.220722074</v>
      </c>
      <c r="G42">
        <f>G24*G17</f>
        <v>10620859.525952594</v>
      </c>
      <c r="H42">
        <f>H36/G5</f>
        <v>15486434.563456349</v>
      </c>
      <c r="I42">
        <f>I36/G5</f>
        <v>6507445.4650585065</v>
      </c>
      <c r="J42">
        <f>J36/G5</f>
        <v>14516604.825570563</v>
      </c>
      <c r="K42">
        <f>K24*K17</f>
        <v>10729235.643564355</v>
      </c>
      <c r="L42">
        <f>L36/K5</f>
        <v>15486434.563456349</v>
      </c>
      <c r="M42">
        <f>M36/K5</f>
        <v>6816042.9900015024</v>
      </c>
      <c r="N42">
        <f>N36/K5</f>
        <v>15231888.051027326</v>
      </c>
    </row>
    <row r="43">
      <c r="B43" t="s">
        <v>553</v>
      </c>
      <c r="C43">
        <f>C25*C17</f>
        <v>9579163.0363036301</v>
      </c>
      <c r="D43">
        <f>D37/C5</f>
        <v>14253154.813081309</v>
      </c>
      <c r="E43">
        <f>E37/C5</f>
        <v>5139536.5259405943</v>
      </c>
      <c r="F43">
        <f>F37/C5</f>
        <v>15093137.985798581</v>
      </c>
      <c r="G43">
        <f>G25*G17</f>
        <v>9387579.7755775582</v>
      </c>
      <c r="H43">
        <f>H37/G5</f>
        <v>14253154.813081309</v>
      </c>
      <c r="I43">
        <f>I37/G5</f>
        <v>4672305.932673268</v>
      </c>
      <c r="J43">
        <f>J37/G5</f>
        <v>13895092.481712868</v>
      </c>
      <c r="K43">
        <f>K25*K17</f>
        <v>9483371.4059405942</v>
      </c>
      <c r="L43">
        <f>L37/K5</f>
        <v>14253154.813081309</v>
      </c>
      <c r="M43">
        <f>M37/K5</f>
        <v>4893877.0629027057</v>
      </c>
      <c r="N43">
        <f>N37/K5</f>
        <v>14506182.619684191</v>
      </c>
    </row>
    <row r="45">
      <c r="A45" t="s">
        <v>747</v>
      </c>
      <c r="B45" t="s">
        <v>368</v>
      </c>
    </row>
    <row r="46">
      <c r="B46" t="s">
        <v>550</v>
      </c>
    </row>
    <row r="47">
      <c r="B47" t="s">
        <v>551</v>
      </c>
    </row>
    <row r="48">
      <c r="B48" t="s">
        <v>552</v>
      </c>
    </row>
    <row r="49">
      <c r="B49" t="s">
        <v>553</v>
      </c>
    </row>
    <row r="51">
      <c r="A51" t="s">
        <v>748</v>
      </c>
      <c r="B51" t="s">
        <v>555</v>
      </c>
    </row>
    <row r="52">
      <c r="A52" t="s">
        <v>749</v>
      </c>
      <c r="B52" t="s">
        <v>550</v>
      </c>
      <c r="C52">
        <f>C40*(C15+C16)</f>
        <v>1175882.3999999999</v>
      </c>
      <c r="D52">
        <f t="shared" ref="D52:N52" si="336">D40*(D15+D16)</f>
        <v>89866951.196879685</v>
      </c>
      <c r="E52">
        <f t="shared" si="336"/>
        <v>106463740.07808004</v>
      </c>
      <c r="F52">
        <f t="shared" si="336"/>
        <v>118583858.38583858</v>
      </c>
      <c r="G52">
        <f t="shared" si="336"/>
        <v>10372320</v>
      </c>
      <c r="H52">
        <f t="shared" si="336"/>
        <v>308139050.70507056</v>
      </c>
      <c r="I52">
        <f>I40*(I15+I16)</f>
        <v>174853324.80000001</v>
      </c>
      <c r="J52">
        <f t="shared" si="336"/>
        <v>150348368.17015037</v>
      </c>
      <c r="K52">
        <f t="shared" si="336"/>
        <v>6170448.7151999995</v>
      </c>
      <c r="L52">
        <f t="shared" si="336"/>
        <v>161345841.12939292</v>
      </c>
      <c r="M52">
        <f t="shared" si="336"/>
        <v>133599196.66920562</v>
      </c>
      <c r="N52">
        <f t="shared" si="336"/>
        <v>132573546.24351326</v>
      </c>
    </row>
    <row r="53">
      <c r="B53" t="s">
        <v>551</v>
      </c>
      <c r="C53">
        <f>C41*(C15+C16)</f>
        <v>1138701.648</v>
      </c>
      <c r="D53">
        <f t="shared" ref="D53:N53" si="337">D41*(D15+D16)</f>
        <v>87868935.96926339</v>
      </c>
      <c r="E53">
        <f t="shared" si="337"/>
        <v>98705467.222541586</v>
      </c>
      <c r="F53">
        <f t="shared" si="337"/>
        <v>116970796.0578458</v>
      </c>
      <c r="G53">
        <f t="shared" si="337"/>
        <v>10044352.970657066</v>
      </c>
      <c r="H53">
        <f t="shared" si="337"/>
        <v>301288183.86990702</v>
      </c>
      <c r="I53">
        <f t="shared" si="337"/>
        <v>162111335.81387579</v>
      </c>
      <c r="J53">
        <f t="shared" si="337"/>
        <v>147971717.81952572</v>
      </c>
      <c r="K53">
        <f t="shared" si="337"/>
        <v>5975342.5350168711</v>
      </c>
      <c r="L53">
        <f t="shared" si="337"/>
        <v>157758633.11581695</v>
      </c>
      <c r="M53">
        <f t="shared" si="337"/>
        <v>123863496.79354583</v>
      </c>
      <c r="N53">
        <f t="shared" si="337"/>
        <v>130770186.19059597</v>
      </c>
    </row>
    <row r="54">
      <c r="B54" t="s">
        <v>552</v>
      </c>
      <c r="C54">
        <f>C42*(C15+C16)</f>
        <v>1083652.7999999998</v>
      </c>
      <c r="D54">
        <f t="shared" ref="D54:N54" si="338">D42*(D15+D16)</f>
        <v>84910726.932320446</v>
      </c>
      <c r="E54">
        <f t="shared" si="338"/>
        <v>88753682.134385303</v>
      </c>
      <c r="F54">
        <f t="shared" si="338"/>
        <v>114582538.20582061</v>
      </c>
      <c r="G54">
        <f t="shared" si="338"/>
        <v>9558773.5733573344</v>
      </c>
      <c r="H54">
        <f t="shared" si="338"/>
        <v>291144969.79297936</v>
      </c>
      <c r="I54">
        <f t="shared" si="338"/>
        <v>145766778.41731054</v>
      </c>
      <c r="J54">
        <f t="shared" si="338"/>
        <v>145166048.25570562</v>
      </c>
      <c r="K54">
        <f t="shared" si="338"/>
        <v>5686473.4326178208</v>
      </c>
      <c r="L54">
        <f t="shared" si="338"/>
        <v>152447506.8458662</v>
      </c>
      <c r="M54">
        <f t="shared" si="338"/>
        <v>111375202.72997855</v>
      </c>
      <c r="N54">
        <f t="shared" si="338"/>
        <v>128100178.50913981</v>
      </c>
    </row>
    <row r="55">
      <c r="B55" t="s">
        <v>553</v>
      </c>
      <c r="C55">
        <f>C43*(C15+C16)</f>
        <v>957820.51199999999</v>
      </c>
      <c r="D55">
        <f t="shared" ref="D55:N55" si="339">D43*(D15+D16)</f>
        <v>78148765.056191638</v>
      </c>
      <c r="E55">
        <f t="shared" si="339"/>
        <v>63724599.431484841</v>
      </c>
      <c r="F55">
        <f t="shared" si="339"/>
        <v>109123387.63732374</v>
      </c>
      <c r="G55">
        <f t="shared" si="339"/>
        <v>8448821.7980198022</v>
      </c>
      <c r="H55">
        <f t="shared" si="339"/>
        <v>267959310.48592862</v>
      </c>
      <c r="I55">
        <f t="shared" si="339"/>
        <v>104659652.8918812</v>
      </c>
      <c r="J55">
        <f t="shared" si="339"/>
        <v>138950924.81712869</v>
      </c>
      <c r="K55">
        <f t="shared" si="339"/>
        <v>5026167.8784057023</v>
      </c>
      <c r="L55">
        <f t="shared" si="339"/>
        <v>140307177.03542557</v>
      </c>
      <c r="M55">
        <f t="shared" si="339"/>
        <v>79966712.477595553</v>
      </c>
      <c r="N55">
        <f t="shared" si="339"/>
        <v>121996995.83154406</v>
      </c>
    </row>
    <row r="57">
      <c r="A57" t="s">
        <v>750</v>
      </c>
      <c r="B57" t="s">
        <v>368</v>
      </c>
    </row>
    <row r="58">
      <c r="B58" t="s">
        <v>550</v>
      </c>
    </row>
    <row r="59">
      <c r="B59" t="s">
        <v>551</v>
      </c>
    </row>
    <row r="60">
      <c r="B60" t="s">
        <v>552</v>
      </c>
    </row>
    <row r="61">
      <c r="B61" t="s">
        <v>553</v>
      </c>
    </row>
    <row r="63">
      <c r="A63" s="30" t="s">
        <v>751</v>
      </c>
      <c r="B63" s="30" t="s">
        <v>368</v>
      </c>
      <c r="C63" s="30"/>
      <c r="D63" s="30"/>
      <c r="E63" s="30"/>
      <c r="G63" s="30"/>
      <c r="H63" s="30"/>
      <c r="I63" s="30"/>
      <c r="K63" s="30"/>
      <c r="L63" s="30"/>
      <c r="M63" s="30"/>
    </row>
    <row r="64">
      <c r="A64" s="30"/>
      <c r="B64" s="30" t="s">
        <v>550</v>
      </c>
      <c r="C64" s="30">
        <f t="shared" ref="C64:C67" si="340">C40-C46-C58</f>
        <v>11760000</v>
      </c>
      <c r="D64" s="30">
        <f t="shared" ref="D64:F67" si="341">D40-D46-D58</f>
        <v>16390375.037503751</v>
      </c>
      <c r="E64" s="30">
        <f t="shared" si="341"/>
        <v>8586547.200000003</v>
      </c>
      <c r="F64" s="30">
        <f t="shared" si="341"/>
        <v>16401640.164016401</v>
      </c>
      <c r="G64" s="30">
        <f t="shared" ref="G64:J67" si="342">G40-G46-G58</f>
        <v>11524800</v>
      </c>
      <c r="H64" s="30">
        <f t="shared" si="342"/>
        <v>16390375.037503751</v>
      </c>
      <c r="I64" s="30">
        <f>I40-I46-I58</f>
        <v>7805952.0000000009</v>
      </c>
      <c r="J64" s="30">
        <f t="shared" si="342"/>
        <v>15034836.817015037</v>
      </c>
      <c r="K64" s="30">
        <f t="shared" ref="K64:N67" si="343">K40-K46-K58</f>
        <v>11642400</v>
      </c>
      <c r="L64" s="30">
        <f t="shared" si="343"/>
        <v>16390375.037503751</v>
      </c>
      <c r="M64" s="30">
        <f t="shared" si="343"/>
        <v>8176127.590400001</v>
      </c>
      <c r="N64" s="30">
        <f t="shared" si="343"/>
        <v>15763798.602082431</v>
      </c>
    </row>
    <row r="65">
      <c r="A65" s="30"/>
      <c r="B65" s="30" t="s">
        <v>551</v>
      </c>
      <c r="C65" s="30">
        <f t="shared" si="340"/>
        <v>11388155.295529554</v>
      </c>
      <c r="D65" s="30">
        <f t="shared" si="341"/>
        <v>16025967.227122713</v>
      </c>
      <c r="E65" s="30">
        <f t="shared" si="341"/>
        <v>7960824.5265742587</v>
      </c>
      <c r="F65" s="30">
        <f t="shared" si="341"/>
        <v>16178533.341334134</v>
      </c>
      <c r="G65" s="30">
        <f t="shared" si="342"/>
        <v>11160392.189618962</v>
      </c>
      <c r="H65" s="30">
        <f t="shared" si="342"/>
        <v>16025967.227122713</v>
      </c>
      <c r="I65" s="30">
        <f t="shared" si="342"/>
        <v>7237113.205976598</v>
      </c>
      <c r="J65" s="30">
        <f t="shared" si="342"/>
        <v>14797171.781952571</v>
      </c>
      <c r="K65" s="30">
        <f t="shared" si="343"/>
        <v>11274273.742574258</v>
      </c>
      <c r="L65" s="30">
        <f t="shared" si="343"/>
        <v>16025967.227122713</v>
      </c>
      <c r="M65" s="30">
        <f t="shared" si="343"/>
        <v>7580313.1966777993</v>
      </c>
      <c r="N65" s="30">
        <f t="shared" si="343"/>
        <v>15549368.155837808</v>
      </c>
    </row>
    <row r="66">
      <c r="A66" s="30"/>
      <c r="B66" s="30" t="s">
        <v>552</v>
      </c>
      <c r="C66" s="30">
        <f t="shared" si="340"/>
        <v>10837611.761176117</v>
      </c>
      <c r="D66" s="30">
        <f t="shared" si="341"/>
        <v>15486434.563456349</v>
      </c>
      <c r="E66" s="30">
        <f t="shared" si="341"/>
        <v>7158190.0115643563</v>
      </c>
      <c r="F66" s="30">
        <f t="shared" si="341"/>
        <v>15848207.220722074</v>
      </c>
      <c r="G66" s="30">
        <f t="shared" si="342"/>
        <v>10620859.525952594</v>
      </c>
      <c r="H66" s="30">
        <f t="shared" si="342"/>
        <v>15486434.563456349</v>
      </c>
      <c r="I66" s="30">
        <f t="shared" si="342"/>
        <v>6507445.4650585065</v>
      </c>
      <c r="J66" s="30">
        <f t="shared" si="342"/>
        <v>14516604.825570563</v>
      </c>
      <c r="K66" s="30">
        <f t="shared" si="343"/>
        <v>10729235.643564355</v>
      </c>
      <c r="L66" s="30">
        <f t="shared" si="343"/>
        <v>15486434.563456349</v>
      </c>
      <c r="M66" s="30">
        <f t="shared" si="343"/>
        <v>6816042.9900015024</v>
      </c>
      <c r="N66" s="30">
        <f t="shared" si="343"/>
        <v>15231888.051027326</v>
      </c>
    </row>
    <row r="67">
      <c r="A67" s="30"/>
      <c r="B67" s="30" t="s">
        <v>553</v>
      </c>
      <c r="C67" s="30">
        <f t="shared" si="340"/>
        <v>9579163.0363036301</v>
      </c>
      <c r="D67" s="30">
        <f t="shared" si="341"/>
        <v>14253154.813081309</v>
      </c>
      <c r="E67" s="30">
        <f>E43-E49-E61</f>
        <v>5139536.5259405943</v>
      </c>
      <c r="F67" s="30">
        <f>F43-F49-F61</f>
        <v>15093137.985798581</v>
      </c>
      <c r="G67" s="30">
        <f t="shared" si="342"/>
        <v>9387579.7755775582</v>
      </c>
      <c r="H67" s="30">
        <f>H43-H49-H61</f>
        <v>14253154.813081309</v>
      </c>
      <c r="I67" s="30">
        <f>I43-I49-I61</f>
        <v>4672305.932673268</v>
      </c>
      <c r="J67" s="30">
        <f>J43-J49-J61</f>
        <v>13895092.481712868</v>
      </c>
      <c r="K67" s="30">
        <f t="shared" si="343"/>
        <v>9483371.4059405942</v>
      </c>
      <c r="L67" s="30">
        <f t="shared" si="343"/>
        <v>14253154.813081309</v>
      </c>
      <c r="M67" s="30">
        <f t="shared" si="343"/>
        <v>4893877.0629027057</v>
      </c>
      <c r="N67" s="30">
        <f t="shared" si="343"/>
        <v>14506182.619684191</v>
      </c>
    </row>
    <row r="69">
      <c r="A69" s="30" t="s">
        <v>752</v>
      </c>
      <c r="B69" s="30" t="s">
        <v>366</v>
      </c>
      <c r="C69" s="30"/>
      <c r="D69" s="30"/>
      <c r="E69" s="30"/>
      <c r="G69" s="30"/>
      <c r="H69" s="30"/>
      <c r="I69" s="30"/>
      <c r="K69" s="30"/>
      <c r="L69" s="30"/>
      <c r="M69" s="30"/>
    </row>
    <row r="70">
      <c r="A70" s="30"/>
      <c r="B70" s="30" t="s">
        <v>550</v>
      </c>
      <c r="C70" s="30">
        <f>(C13+C14)*C40+C52*assumptions!C5</f>
        <v>1210606.8587545794</v>
      </c>
      <c r="D70" s="30">
        <f>(D13+D14)*D40+D52*assumptions!C5</f>
        <v>9532345.2149233036</v>
      </c>
      <c r="E70" s="30">
        <f>(E13+E14)*E40+E52*assumptions!C5</f>
        <v>7995895.9568652306</v>
      </c>
      <c r="F70">
        <f>(F13+F14)*F40+F52*assumptions!C5</f>
        <v>19138142.339400455</v>
      </c>
      <c r="G70" s="30">
        <f>(G13+G14)*G40+G52*assumptions!E5</f>
        <v>14968164.111289475</v>
      </c>
      <c r="H70" s="30">
        <f>(H13+H14)*H40+H52*assumptions!E5</f>
        <v>87797680.667325258</v>
      </c>
      <c r="I70" s="30">
        <f>(I13+I14)*I40+I52*assumptions!E5</f>
        <v>38220876.044293247</v>
      </c>
      <c r="J70">
        <f>(J13+J14)*J40+J52*assumptions!E5</f>
        <v>48420308.522520512</v>
      </c>
      <c r="K70" s="30">
        <f>(K13+K14)*K40+K52*assumptions!D5</f>
        <v>4552608.2206030991</v>
      </c>
      <c r="L70" s="30">
        <f>(L13+L14)*L40+L52*assumptions!D5</f>
        <v>24399690.981478274</v>
      </c>
      <c r="M70" s="30">
        <f>(M13+M14)*M40+M52*assumptions!D5</f>
        <v>15631210.821221108</v>
      </c>
      <c r="N70">
        <f>(N13+N14)*N40+N52*assumptions!D5</f>
        <v>28695935.754383858</v>
      </c>
    </row>
    <row r="71">
      <c r="A71" s="30"/>
      <c r="B71" s="30" t="s">
        <v>551</v>
      </c>
      <c r="C71" s="30">
        <f>(C13+C14)*C41+C53*assumptions!C5</f>
        <v>1172328.1385485001</v>
      </c>
      <c r="D71" s="30">
        <f>(D13+D14)*D41+D53*assumptions!C5</f>
        <v>9320412.2335474603</v>
      </c>
      <c r="E71" s="30">
        <f>(E13+E14)*E41+E53*assumptions!C5</f>
        <v>7413215.4826271329</v>
      </c>
      <c r="F71" s="30">
        <f>(F13+F14)*F41+F53*assumptions!C5</f>
        <v>18877811.659865595</v>
      </c>
      <c r="G71" s="30">
        <f>(G13+G14)*G41+G53*assumptions!E5</f>
        <v>14494879.029620463</v>
      </c>
      <c r="H71" s="30">
        <f>(H13+H14)*H41+H53*assumptions!E5</f>
        <v>85845671.607416272</v>
      </c>
      <c r="I71" s="30">
        <f>(I13+I14)*I41+I53*assumptions!E5</f>
        <v>35435627.42432303</v>
      </c>
      <c r="J71" s="30">
        <f>(J13+J14)*J41+J53*assumptions!E5</f>
        <v>47654898.530859224</v>
      </c>
      <c r="K71" s="30">
        <f>(K13+K14)*K41+K53*assumptions!D5</f>
        <v>4408657.263259572</v>
      </c>
      <c r="L71" s="30">
        <f>(L13+L14)*L41+L53*assumptions!D5</f>
        <v>23857211.75545755</v>
      </c>
      <c r="M71" s="30">
        <f>(M13+M14)*M41+M53*assumptions!D5</f>
        <v>14492126.297940796</v>
      </c>
      <c r="N71" s="30">
        <f>(N13+N14)*N41+N53*assumptions!D5</f>
        <v>28305593.143155195</v>
      </c>
    </row>
    <row r="72">
      <c r="A72" s="30"/>
      <c r="B72" s="30" t="s">
        <v>552</v>
      </c>
      <c r="C72" s="30">
        <f>(C13+C14)*C42+C54*assumptions!C5</f>
        <v>1115653.6675679511</v>
      </c>
      <c r="D72" s="30">
        <f>(D13+D14)*D42+D54*assumptions!C5</f>
        <v>9006629.8098367862</v>
      </c>
      <c r="E72" s="30">
        <f>(E13+E14)*E42+E54*assumptions!C5</f>
        <v>6665792.575150637</v>
      </c>
      <c r="F72" s="30">
        <f>(F13+F14)*F42+F54*assumptions!C5</f>
        <v>18492372.871337298</v>
      </c>
      <c r="G72" s="30">
        <f>(G13+G14)*G42+G54*assumptions!E5</f>
        <v>13794145.528548051</v>
      </c>
      <c r="H72" s="30">
        <f>(H13+H14)*H42+H54*assumptions!E5</f>
        <v>82955578.09791562</v>
      </c>
      <c r="I72" s="30">
        <f>(I13+I14)*I42+I54*assumptions!E5</f>
        <v>31862899.808376908</v>
      </c>
      <c r="J72" s="30">
        <f>(J13+J14)*J42+J54*assumptions!E5</f>
        <v>46751321.142252855</v>
      </c>
      <c r="K72" s="30">
        <f>(K13+K14)*K42+K54*assumptions!D5</f>
        <v>4195527.2445268044</v>
      </c>
      <c r="L72" s="30">
        <f>(L13+L14)*L42+L54*assumptions!D5</f>
        <v>23054031.215796266</v>
      </c>
      <c r="M72" s="30">
        <f>(M13+M14)*M42+M54*assumptions!D5</f>
        <v>13030986.095216665</v>
      </c>
      <c r="N72" s="30">
        <f>(N13+N14)*N42+N54*assumptions!D5</f>
        <v>27727662.092340253</v>
      </c>
    </row>
    <row r="73">
      <c r="A73" s="30"/>
      <c r="B73" s="30" t="s">
        <v>553</v>
      </c>
      <c r="C73" s="30">
        <f>(C13+C14)*C43+C55*assumptions!C5</f>
        <v>986105.48238754412</v>
      </c>
      <c r="D73" s="30">
        <f>(D13+D14)*D43+D55*assumptions!C5</f>
        <v>8289376.6475235606</v>
      </c>
      <c r="E73" s="30">
        <f>(E13+E14)*E43+E55*assumptions!C5</f>
        <v>4785998.1865504161</v>
      </c>
      <c r="F73" s="30">
        <f>(F13+F14)*F43+F55*assumptions!C5</f>
        <v>17611325.466958113</v>
      </c>
      <c r="G73" s="30">
        <f>(G13+G14)*G43+G55*assumptions!E5</f>
        <v>12192388.127227103</v>
      </c>
      <c r="H73" s="30">
        <f>(H13+H14)*H43+H55*assumptions!E5</f>
        <v>76349316.712855995</v>
      </c>
      <c r="I73" s="30">
        <f>(I13+I14)*I43+I55*assumptions!E5</f>
        <v>22877366.641983055</v>
      </c>
      <c r="J73" s="30">
        <f>(J13+J14)*J43+J55*assumptions!E5</f>
        <v>44749715.151685201</v>
      </c>
      <c r="K73" s="30">
        <f>(K13+K14)*K43+K55*assumptions!D5</f>
        <v>3708348.3321065693</v>
      </c>
      <c r="L73" s="30">
        <f>(L13+L14)*L43+L55*assumptions!D5</f>
        <v>21218097.337894674</v>
      </c>
      <c r="M73" s="30">
        <f>(M13+M14)*M43+M55*assumptions!D5</f>
        <v>9356168.095173778</v>
      </c>
      <c r="N73" s="30">
        <f>(N13+N14)*N43+N55*assumptions!D5</f>
        <v>26406610.170776181</v>
      </c>
    </row>
    <row r="75">
      <c r="A75" t="s">
        <v>753</v>
      </c>
      <c r="B75" t="s">
        <v>176</v>
      </c>
    </row>
    <row r="76">
      <c r="B76" t="s">
        <v>550</v>
      </c>
      <c r="C76">
        <f t="shared" ref="C76:N79" si="344">C70/C64</f>
        <v>0.10294276009817853</v>
      </c>
      <c r="D76">
        <f t="shared" si="344"/>
        <v>0.58158188529010479</v>
      </c>
      <c r="E76">
        <f t="shared" si="344"/>
        <v>0.93121201929283381</v>
      </c>
      <c r="F76">
        <f t="shared" si="344"/>
        <v>1.1668432027540558</v>
      </c>
      <c r="G76">
        <f t="shared" si="344"/>
        <v>1.2987786435590618</v>
      </c>
      <c r="H76">
        <f t="shared" si="344"/>
        <v>5.3566608736182291</v>
      </c>
      <c r="I76">
        <f>I70/I64</f>
        <v>4.8963760018372193</v>
      </c>
      <c r="J76">
        <f t="shared" si="344"/>
        <v>3.2205410083149615</v>
      </c>
      <c r="K76">
        <f t="shared" si="344"/>
        <v>0.39103691855657763</v>
      </c>
      <c r="L76">
        <f t="shared" si="344"/>
        <v>1.4886597119131166</v>
      </c>
      <c r="M76">
        <f t="shared" si="344"/>
        <v>1.9118110191399766</v>
      </c>
      <c r="N76">
        <f t="shared" si="344"/>
        <v>1.8203693461671773</v>
      </c>
    </row>
    <row r="77">
      <c r="B77" t="s">
        <v>551</v>
      </c>
      <c r="C77">
        <f t="shared" si="344"/>
        <v>0.10294276009817852</v>
      </c>
      <c r="D77">
        <f t="shared" si="344"/>
        <v>0.58158188529010479</v>
      </c>
      <c r="E77">
        <f t="shared" si="344"/>
        <v>0.93121201929283381</v>
      </c>
      <c r="F77">
        <f t="shared" si="344"/>
        <v>1.1668432027540556</v>
      </c>
      <c r="G77">
        <f t="shared" si="344"/>
        <v>1.2987786435590618</v>
      </c>
      <c r="H77">
        <f t="shared" si="344"/>
        <v>5.35666087361823</v>
      </c>
      <c r="I77">
        <f t="shared" si="344"/>
        <v>4.8963760018372184</v>
      </c>
      <c r="J77">
        <f t="shared" si="344"/>
        <v>3.220541008314961</v>
      </c>
      <c r="K77">
        <f t="shared" si="344"/>
        <v>0.39103691855657763</v>
      </c>
      <c r="L77">
        <f t="shared" si="344"/>
        <v>1.4886597119131169</v>
      </c>
      <c r="M77">
        <f t="shared" si="344"/>
        <v>1.9118110191399764</v>
      </c>
      <c r="N77">
        <f t="shared" si="344"/>
        <v>1.820369346167177</v>
      </c>
    </row>
    <row r="78">
      <c r="B78" t="s">
        <v>552</v>
      </c>
      <c r="C78">
        <f t="shared" si="344"/>
        <v>0.10294276009817853</v>
      </c>
      <c r="D78">
        <f t="shared" si="344"/>
        <v>0.58158188529010491</v>
      </c>
      <c r="E78">
        <f t="shared" si="344"/>
        <v>0.9312120192928337</v>
      </c>
      <c r="F78">
        <f t="shared" si="344"/>
        <v>1.1668432027540558</v>
      </c>
      <c r="G78">
        <f t="shared" si="344"/>
        <v>1.2987786435590618</v>
      </c>
      <c r="H78">
        <f t="shared" si="344"/>
        <v>5.3566608736182291</v>
      </c>
      <c r="I78">
        <f t="shared" si="344"/>
        <v>4.8963760018372184</v>
      </c>
      <c r="J78">
        <f t="shared" si="344"/>
        <v>3.2205410083149615</v>
      </c>
      <c r="K78">
        <f t="shared" si="344"/>
        <v>0.39103691855657763</v>
      </c>
      <c r="L78">
        <f t="shared" si="344"/>
        <v>1.4886597119131169</v>
      </c>
      <c r="M78">
        <f t="shared" si="344"/>
        <v>1.9118110191399766</v>
      </c>
      <c r="N78">
        <f t="shared" si="344"/>
        <v>1.8203693461671773</v>
      </c>
    </row>
    <row r="79">
      <c r="B79" t="s">
        <v>553</v>
      </c>
      <c r="C79">
        <f t="shared" si="344"/>
        <v>0.10294276009817854</v>
      </c>
      <c r="D79">
        <f t="shared" si="344"/>
        <v>0.58158188529010491</v>
      </c>
      <c r="E79">
        <f t="shared" si="344"/>
        <v>0.9312120192928337</v>
      </c>
      <c r="F79">
        <f t="shared" si="344"/>
        <v>1.1668432027540556</v>
      </c>
      <c r="G79">
        <f t="shared" si="344"/>
        <v>1.2987786435590618</v>
      </c>
      <c r="H79">
        <f t="shared" si="344"/>
        <v>5.3566608736182291</v>
      </c>
      <c r="I79">
        <f t="shared" si="344"/>
        <v>4.8963760018372193</v>
      </c>
      <c r="J79">
        <f t="shared" si="344"/>
        <v>3.2205410083149615</v>
      </c>
      <c r="K79">
        <f t="shared" si="344"/>
        <v>0.39103691855657763</v>
      </c>
      <c r="L79">
        <f t="shared" si="344"/>
        <v>1.4886597119131166</v>
      </c>
      <c r="M79">
        <f t="shared" si="344"/>
        <v>1.9118110191399769</v>
      </c>
      <c r="N79">
        <f t="shared" si="344"/>
        <v>1.8203693461671773</v>
      </c>
    </row>
    <row r="81">
      <c r="A81" s="30" t="s">
        <v>754</v>
      </c>
      <c r="B81" s="30" t="s">
        <v>32</v>
      </c>
      <c r="C81" s="30"/>
      <c r="D81" s="30"/>
      <c r="E81" s="30"/>
      <c r="G81" s="30"/>
      <c r="H81" s="30"/>
      <c r="I81" s="30"/>
      <c r="K81" s="30"/>
      <c r="L81" s="30"/>
      <c r="M81" s="30"/>
    </row>
    <row r="82">
      <c r="A82" s="30"/>
      <c r="B82" s="30" t="s">
        <v>550</v>
      </c>
      <c r="C82" s="30">
        <f>C76/C5</f>
        <v>0.0030885916621115673</v>
      </c>
      <c r="D82" s="30">
        <f>D76/C5</f>
        <v>0.017449201478851029</v>
      </c>
      <c r="E82" s="30">
        <f>E76/C5</f>
        <v>0.027939154494234439</v>
      </c>
      <c r="F82">
        <f>F76/C5</f>
        <v>0.035008796962317908</v>
      </c>
      <c r="G82" s="30">
        <f>G76/G5</f>
        <v>0.038967256032375094</v>
      </c>
      <c r="H82" s="30">
        <f>H76/G5</f>
        <v>0.16071589779832671</v>
      </c>
      <c r="I82" s="30">
        <f>I76/G5</f>
        <v>0.14690597065218181</v>
      </c>
      <c r="J82">
        <f>J76/G5</f>
        <v>0.096625892838732727</v>
      </c>
      <c r="K82" s="30">
        <f>K76/K5</f>
        <v>0.011732280784775806</v>
      </c>
      <c r="L82" s="30">
        <f>L76/K5</f>
        <v>0.044664257783171818</v>
      </c>
      <c r="M82" s="30">
        <f>M76/K5</f>
        <v>0.057360066580857391</v>
      </c>
      <c r="N82">
        <f>N76/K5</f>
        <v>0.054616542039219243</v>
      </c>
    </row>
    <row r="83">
      <c r="A83" s="30"/>
      <c r="B83" s="30" t="s">
        <v>551</v>
      </c>
      <c r="C83" s="30">
        <f>C77/C5</f>
        <v>0.0030885916621115669</v>
      </c>
      <c r="D83" s="30">
        <f>D77/C5</f>
        <v>0.017449201478851029</v>
      </c>
      <c r="E83" s="30">
        <f>E77/C5</f>
        <v>0.027939154494234439</v>
      </c>
      <c r="F83" s="30">
        <f>F77/C5</f>
        <v>0.035008796962317901</v>
      </c>
      <c r="G83" s="30">
        <f>G77/G5</f>
        <v>0.038967256032375094</v>
      </c>
      <c r="H83" s="30">
        <f>H77/G5</f>
        <v>0.16071589779832673</v>
      </c>
      <c r="I83" s="30">
        <f>I77/G5</f>
        <v>0.14690597065218178</v>
      </c>
      <c r="J83" s="30">
        <f>J77/G5</f>
        <v>0.096625892838732713</v>
      </c>
      <c r="K83" s="30">
        <f>K77/K5</f>
        <v>0.011732280784775806</v>
      </c>
      <c r="L83" s="30">
        <f>L77/K5</f>
        <v>0.044664257783171825</v>
      </c>
      <c r="M83" s="30">
        <f>M77/K5</f>
        <v>0.057360066580857384</v>
      </c>
      <c r="N83" s="30">
        <f>N77/K5</f>
        <v>0.054616542039219236</v>
      </c>
    </row>
    <row r="84">
      <c r="A84" s="30"/>
      <c r="B84" s="30" t="s">
        <v>552</v>
      </c>
      <c r="C84" s="30">
        <f>C78/C5</f>
        <v>0.0030885916621115673</v>
      </c>
      <c r="D84" s="30">
        <f>D78/C5</f>
        <v>0.017449201478851033</v>
      </c>
      <c r="E84" s="30">
        <f>E78/C5</f>
        <v>0.027939154494234435</v>
      </c>
      <c r="F84" s="30">
        <f>F78/C5</f>
        <v>0.035008796962317908</v>
      </c>
      <c r="G84" s="30">
        <f>G78/G5</f>
        <v>0.038967256032375094</v>
      </c>
      <c r="H84" s="30">
        <f>H78/G5</f>
        <v>0.16071589779832671</v>
      </c>
      <c r="I84" s="30">
        <f>I78/G5</f>
        <v>0.14690597065218178</v>
      </c>
      <c r="J84" s="30">
        <f>J78/G5</f>
        <v>0.096625892838732727</v>
      </c>
      <c r="K84" s="30">
        <f>K78/K5</f>
        <v>0.011732280784775806</v>
      </c>
      <c r="L84" s="30">
        <f>L78/K5</f>
        <v>0.044664257783171825</v>
      </c>
      <c r="M84" s="30">
        <f>M78/K5</f>
        <v>0.057360066580857391</v>
      </c>
      <c r="N84" s="30">
        <f>N78/K5</f>
        <v>0.054616542039219243</v>
      </c>
    </row>
    <row r="85">
      <c r="A85" s="30"/>
      <c r="B85" s="30" t="s">
        <v>553</v>
      </c>
      <c r="C85" s="30">
        <f>C79/C5</f>
        <v>0.0030885916621115677</v>
      </c>
      <c r="D85" s="30">
        <f>D79/C5</f>
        <v>0.017449201478851033</v>
      </c>
      <c r="E85" s="30">
        <f>E79/C5</f>
        <v>0.027939154494234435</v>
      </c>
      <c r="F85" s="30">
        <f>F79/C5</f>
        <v>0.035008796962317901</v>
      </c>
      <c r="G85" s="30">
        <f>G79/G5</f>
        <v>0.038967256032375094</v>
      </c>
      <c r="H85" s="30">
        <f>H79/G5</f>
        <v>0.16071589779832671</v>
      </c>
      <c r="I85" s="30">
        <f>I79/G5</f>
        <v>0.14690597065218181</v>
      </c>
      <c r="J85" s="30">
        <f>J79/G5</f>
        <v>0.096625892838732727</v>
      </c>
      <c r="K85" s="30">
        <f>K79/K5</f>
        <v>0.011732280784775806</v>
      </c>
      <c r="L85" s="30">
        <f>L79/K5</f>
        <v>0.044664257783171818</v>
      </c>
      <c r="M85" s="30">
        <f>M79/K5</f>
        <v>0.057360066580857391</v>
      </c>
      <c r="N85" s="30">
        <f>N79/K5</f>
        <v>0.054616542039219243</v>
      </c>
    </row>
    <row r="87">
      <c r="A87" t="s">
        <v>755</v>
      </c>
      <c r="B87" t="s">
        <v>756</v>
      </c>
    </row>
    <row r="88">
      <c r="B88" t="s">
        <v>550</v>
      </c>
      <c r="F88">
        <f t="shared" ref="F88:F91" si="345">(1-(F40/F22))</f>
        <v>0.74997499749975005</v>
      </c>
      <c r="J88">
        <f t="shared" ref="J88:J91" si="346">(1-(J40/J22))</f>
        <v>0.77081041437477071</v>
      </c>
      <c r="N88">
        <f t="shared" ref="N88:N91" si="347">(1-(N40/N22))</f>
        <v>0.7596981920414263</v>
      </c>
    </row>
    <row r="89">
      <c r="B89" t="s">
        <v>551</v>
      </c>
      <c r="F89">
        <f t="shared" si="345"/>
        <v>0.74997499749974994</v>
      </c>
      <c r="J89">
        <f t="shared" si="346"/>
        <v>0.77081041437477071</v>
      </c>
      <c r="N89">
        <f t="shared" si="347"/>
        <v>0.7596981920414263</v>
      </c>
    </row>
    <row r="90">
      <c r="B90" t="s">
        <v>552</v>
      </c>
      <c r="F90">
        <f t="shared" si="345"/>
        <v>0.74997499749974994</v>
      </c>
      <c r="J90">
        <f t="shared" si="346"/>
        <v>0.77081041437477071</v>
      </c>
      <c r="N90">
        <f t="shared" si="347"/>
        <v>0.7596981920414263</v>
      </c>
    </row>
    <row r="91">
      <c r="B91" t="s">
        <v>553</v>
      </c>
      <c r="F91">
        <f t="shared" si="345"/>
        <v>0.74997499749974994</v>
      </c>
      <c r="J91">
        <f t="shared" si="346"/>
        <v>0.77081041437477071</v>
      </c>
      <c r="N91">
        <f t="shared" si="347"/>
        <v>0.7596981920414263</v>
      </c>
    </row>
    <row r="93">
      <c r="A93" t="s">
        <v>757</v>
      </c>
      <c r="B93" t="s">
        <v>758</v>
      </c>
    </row>
    <row r="94">
      <c r="B94" t="s">
        <v>550</v>
      </c>
      <c r="F94">
        <f t="shared" ref="F94:F97" si="348">F22*F88</f>
        <v>49198359.835983604</v>
      </c>
      <c r="J94">
        <f t="shared" ref="J94:J97" si="349">J22*J88</f>
        <v>50565163.182984956</v>
      </c>
      <c r="N94">
        <f t="shared" ref="N94:N97" si="350">N22*N88</f>
        <v>49836201.397917569</v>
      </c>
    </row>
    <row r="95">
      <c r="B95" t="s">
        <v>551</v>
      </c>
      <c r="F95">
        <f t="shared" si="348"/>
        <v>48529128.610665865</v>
      </c>
      <c r="J95">
        <f t="shared" si="349"/>
        <v>49765848.13706287</v>
      </c>
      <c r="N95">
        <f t="shared" si="350"/>
        <v>49158293.796162188</v>
      </c>
    </row>
    <row r="96">
      <c r="B96" t="s">
        <v>552</v>
      </c>
      <c r="F96">
        <f t="shared" si="348"/>
        <v>47538282.37927793</v>
      </c>
      <c r="J96">
        <f t="shared" si="349"/>
        <v>48822245.349358894</v>
      </c>
      <c r="N96">
        <f t="shared" si="350"/>
        <v>48154601.548972674</v>
      </c>
    </row>
    <row r="97">
      <c r="B97" t="s">
        <v>553</v>
      </c>
      <c r="F97">
        <f t="shared" si="348"/>
        <v>45273376.702201419</v>
      </c>
      <c r="J97">
        <f t="shared" si="349"/>
        <v>46731975.03449671</v>
      </c>
      <c r="N97">
        <f t="shared" si="350"/>
        <v>45860332.068315804</v>
      </c>
    </row>
  </sheetData>
  <mergeCells count="3">
    <mergeCell ref="C1:F1"/>
    <mergeCell ref="G1:J1"/>
    <mergeCell ref="K1:N1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6" workbookViewId="0">
      <selection activeCell="M30" activeCellId="0" sqref="M30"/>
    </sheetView>
  </sheetViews>
  <sheetFormatPr baseColWidth="10" defaultRowHeight="14.25"/>
  <cols>
    <col customWidth="1" min="1" max="1" width="23.33203125"/>
    <col customWidth="1" min="2" max="2" width="21.6640625"/>
    <col bestFit="1" customWidth="1" min="3" max="4" width="11.6640625"/>
    <col customWidth="1" min="5" max="5" width="11.33203125"/>
    <col customWidth="1" min="6" max="6" width="12.6640625"/>
    <col bestFit="1" customWidth="1" min="7" max="7" width="11.6640625"/>
    <col customWidth="1" min="8" max="8" width="12.1328125"/>
    <col bestFit="1" customWidth="1" min="9" max="9" width="11.6640625"/>
    <col min="10" max="10" style="37" width="10.6640625"/>
    <col min="16" max="16" style="38" width="10.6640625"/>
  </cols>
  <sheetData>
    <row r="1">
      <c r="C1" s="27" t="s">
        <v>517</v>
      </c>
      <c r="D1" s="27"/>
      <c r="E1" s="27"/>
      <c r="F1" s="27"/>
      <c r="G1" s="27"/>
      <c r="H1" s="27"/>
      <c r="I1" s="27"/>
      <c r="J1" s="32" t="s">
        <v>518</v>
      </c>
      <c r="K1" s="28"/>
      <c r="L1" s="28"/>
      <c r="M1" s="28"/>
      <c r="N1" s="28"/>
      <c r="O1" s="28"/>
      <c r="P1" s="33"/>
      <c r="Q1" s="29" t="s">
        <v>519</v>
      </c>
      <c r="R1" s="29"/>
      <c r="S1" s="29"/>
      <c r="T1" s="29"/>
      <c r="U1" s="29"/>
      <c r="V1" s="29"/>
      <c r="W1" s="29"/>
    </row>
    <row r="2">
      <c r="B2" t="s">
        <v>0</v>
      </c>
      <c r="C2" t="s">
        <v>147</v>
      </c>
      <c r="D2" t="s">
        <v>215</v>
      </c>
      <c r="E2" t="s">
        <v>731</v>
      </c>
      <c r="F2" t="s">
        <v>759</v>
      </c>
      <c r="G2" t="s">
        <v>255</v>
      </c>
      <c r="H2" t="s">
        <v>760</v>
      </c>
      <c r="I2" t="s">
        <v>558</v>
      </c>
      <c r="J2" s="37" t="s">
        <v>147</v>
      </c>
      <c r="K2" t="s">
        <v>215</v>
      </c>
      <c r="L2" t="s">
        <v>731</v>
      </c>
      <c r="M2" t="s">
        <v>759</v>
      </c>
      <c r="N2" t="s">
        <v>255</v>
      </c>
      <c r="O2" t="s">
        <v>760</v>
      </c>
      <c r="P2" s="38" t="s">
        <v>558</v>
      </c>
      <c r="Q2" t="s">
        <v>147</v>
      </c>
      <c r="R2" t="s">
        <v>215</v>
      </c>
      <c r="S2" t="s">
        <v>731</v>
      </c>
      <c r="T2" t="s">
        <v>759</v>
      </c>
      <c r="U2" t="s">
        <v>255</v>
      </c>
      <c r="V2" t="s">
        <v>760</v>
      </c>
      <c r="W2" t="s">
        <v>558</v>
      </c>
    </row>
    <row r="3">
      <c r="A3" t="s">
        <v>524</v>
      </c>
    </row>
    <row r="4">
      <c r="A4" t="s">
        <v>527</v>
      </c>
      <c r="B4" t="s">
        <v>528</v>
      </c>
    </row>
    <row r="5">
      <c r="A5" t="s">
        <v>529</v>
      </c>
      <c r="B5" t="s">
        <v>651</v>
      </c>
      <c r="C5">
        <f>values!C3</f>
        <v>33.329999999999998</v>
      </c>
      <c r="D5">
        <f>values!C34</f>
        <v>5.2000000000000002</v>
      </c>
      <c r="E5">
        <f>values!C3</f>
        <v>33.329999999999998</v>
      </c>
      <c r="F5">
        <f t="shared" ref="F5:F14" si="351">E5</f>
        <v>33.329999999999998</v>
      </c>
      <c r="G5">
        <f>values!C53</f>
        <v>13.888888888888889</v>
      </c>
      <c r="H5">
        <f>values!C3</f>
        <v>33.329999999999998</v>
      </c>
      <c r="I5">
        <f>values!C85</f>
        <v>2.0555555555555558</v>
      </c>
      <c r="J5" s="37">
        <f>values!E3</f>
        <v>33.329999999999998</v>
      </c>
      <c r="K5">
        <f>values!E34</f>
        <v>5.2000000000000002</v>
      </c>
      <c r="L5">
        <f>values!E3</f>
        <v>33.329999999999998</v>
      </c>
      <c r="M5">
        <f>L5</f>
        <v>33.329999999999998</v>
      </c>
      <c r="N5">
        <f>values!E53</f>
        <v>13.888888888888889</v>
      </c>
      <c r="O5">
        <f>values!E3</f>
        <v>33.329999999999998</v>
      </c>
      <c r="P5" s="38">
        <f>values!E85</f>
        <v>2.0555555555555558</v>
      </c>
      <c r="Q5">
        <f>values!D3</f>
        <v>33.329999999999998</v>
      </c>
      <c r="R5">
        <f>values!D34</f>
        <v>5.2000000000000002</v>
      </c>
      <c r="S5">
        <f>values!D3</f>
        <v>33.329999999999998</v>
      </c>
      <c r="T5">
        <f>S5</f>
        <v>33.329999999999998</v>
      </c>
      <c r="U5">
        <f>values!D53</f>
        <v>13.888888888888889</v>
      </c>
      <c r="V5">
        <f>values!D3</f>
        <v>33.329999999999998</v>
      </c>
      <c r="W5">
        <f>values!D85</f>
        <v>2.0555555555555558</v>
      </c>
    </row>
    <row r="6">
      <c r="A6" t="s">
        <v>531</v>
      </c>
      <c r="B6" t="s">
        <v>67</v>
      </c>
      <c r="C6">
        <f>assumptions!C18</f>
        <v>25</v>
      </c>
      <c r="D6">
        <f>assumptions!C18</f>
        <v>25</v>
      </c>
      <c r="E6">
        <f>assumptions!C18</f>
        <v>25</v>
      </c>
      <c r="F6">
        <f t="shared" si="351"/>
        <v>25</v>
      </c>
      <c r="G6">
        <f>assumptions!C18</f>
        <v>25</v>
      </c>
      <c r="H6">
        <f>assumptions!C18</f>
        <v>25</v>
      </c>
      <c r="I6">
        <f>H6</f>
        <v>25</v>
      </c>
      <c r="J6" s="37">
        <f>assumptions!E18</f>
        <v>25</v>
      </c>
      <c r="K6">
        <f>assumptions!E18</f>
        <v>25</v>
      </c>
      <c r="L6">
        <f>assumptions!E18</f>
        <v>25</v>
      </c>
      <c r="M6">
        <f>assumptions!E18</f>
        <v>25</v>
      </c>
      <c r="N6">
        <f>assumptions!E18</f>
        <v>25</v>
      </c>
      <c r="O6">
        <f>assumptions!E18</f>
        <v>25</v>
      </c>
      <c r="P6" s="38">
        <f>assumptions!E18</f>
        <v>25</v>
      </c>
      <c r="Q6">
        <f>assumptions!D18</f>
        <v>25</v>
      </c>
      <c r="R6">
        <f>assumptions!D18</f>
        <v>25</v>
      </c>
      <c r="S6">
        <f>assumptions!D18</f>
        <v>25</v>
      </c>
      <c r="T6">
        <f>assumptions!D18</f>
        <v>25</v>
      </c>
      <c r="U6">
        <f>assumptions!D18</f>
        <v>25</v>
      </c>
      <c r="V6">
        <f>assumptions!D18</f>
        <v>25</v>
      </c>
      <c r="W6">
        <f>assumptions!D18</f>
        <v>25</v>
      </c>
    </row>
    <row r="7">
      <c r="A7" t="s">
        <v>538</v>
      </c>
      <c r="B7" t="s">
        <v>82</v>
      </c>
      <c r="C7">
        <f>(assumptions!C13*(1+assumptions!C13)^C6)/(((1+assumptions!C13)^C6)-1)</f>
        <v>0.093678779051968114</v>
      </c>
      <c r="D7">
        <f>(assumptions!C13*(1+assumptions!C13)^C6)/(((1+assumptions!C13)^C6)-1)</f>
        <v>0.093678779051968114</v>
      </c>
      <c r="E7">
        <f>(assumptions!C13*(1+assumptions!C13)^C6)/(((1+assumptions!C13)^C6)-1)</f>
        <v>0.093678779051968114</v>
      </c>
      <c r="F7">
        <f t="shared" si="351"/>
        <v>0.093678779051968114</v>
      </c>
      <c r="G7">
        <f>(assumptions!C13*(1+assumptions!C13)^C6)/(((1+assumptions!C13)^C6)-1)</f>
        <v>0.093678779051968114</v>
      </c>
      <c r="H7">
        <f>(assumptions!C13*(1+assumptions!C13)^C6)/(((1+assumptions!C13)^C6)-1)</f>
        <v>0.093678779051968114</v>
      </c>
      <c r="I7">
        <f>(assumptions!C13*(1+assumptions!C13)^I6)/(((1+assumptions!C13)^I6)-1)</f>
        <v>0.093678779051968114</v>
      </c>
      <c r="J7" s="37">
        <f>(assumptions!E13*(1+assumptions!E13)^J6)/(((1+assumptions!E13)^J6)-1)</f>
        <v>0.093678779051968114</v>
      </c>
      <c r="K7">
        <f>(assumptions!E13*(1+assumptions!E13)^J6)/(((1+assumptions!E13)^J6)-1)</f>
        <v>0.093678779051968114</v>
      </c>
      <c r="L7">
        <f>(assumptions!E13*(1+assumptions!E13)^J6)/(((1+assumptions!E13)^J6)-1)</f>
        <v>0.093678779051968114</v>
      </c>
      <c r="M7">
        <f>(assumptions!E13*(1+assumptions!E13)^J6)/(((1+assumptions!E13)^J6)-1)</f>
        <v>0.093678779051968114</v>
      </c>
      <c r="N7">
        <f>(assumptions!E13*(1+assumptions!E13)^J6)/(((1+assumptions!E13)^J6)-1)</f>
        <v>0.093678779051968114</v>
      </c>
      <c r="O7">
        <f>(assumptions!E13*(1+assumptions!E13)^J6)/(((1+assumptions!E13)^J6)-1)</f>
        <v>0.093678779051968114</v>
      </c>
      <c r="P7" s="38">
        <f>(assumptions!E13*(1+assumptions!E13)^J6)/(((1+assumptions!E13)^J6)-1)</f>
        <v>0.093678779051968114</v>
      </c>
      <c r="Q7">
        <f>(assumptions!D13*(1+assumptions!D13)^Q6)/(((1+assumptions!D13)^Q6)-1)</f>
        <v>0.093678779051968114</v>
      </c>
      <c r="R7">
        <f>(assumptions!D13*(1+assumptions!D13)^R6)/(((1+assumptions!D13)^R6)-1)</f>
        <v>0.093678779051968114</v>
      </c>
      <c r="S7">
        <f>(assumptions!D13*(1+assumptions!D13)^S6)/(((1+assumptions!D13)^S6)-1)</f>
        <v>0.093678779051968114</v>
      </c>
      <c r="T7">
        <f>(assumptions!D13*(1+assumptions!D13)^T6)/(((1+assumptions!D13)^T6)-1)</f>
        <v>0.093678779051968114</v>
      </c>
      <c r="U7">
        <f>(assumptions!D13*(1+assumptions!D13)^U6)/(((1+assumptions!D13)^U6)-1)</f>
        <v>0.093678779051968114</v>
      </c>
      <c r="V7">
        <f>(assumptions!D13*(1+assumptions!D13)^V6)/(((1+assumptions!D13)^V6)-1)</f>
        <v>0.093678779051968114</v>
      </c>
      <c r="W7">
        <f>(assumptions!D13*(1+assumptions!D13)^W6)/(((1+assumptions!D13)^W6)-1)</f>
        <v>0.093678779051968114</v>
      </c>
    </row>
    <row r="8">
      <c r="A8" t="s">
        <v>47</v>
      </c>
      <c r="B8" t="s">
        <v>54</v>
      </c>
      <c r="C8">
        <f>assumptions!C10</f>
        <v>5000</v>
      </c>
      <c r="D8">
        <f>assumptions!C10</f>
        <v>5000</v>
      </c>
      <c r="E8">
        <f>assumptions!C10</f>
        <v>5000</v>
      </c>
      <c r="F8">
        <f>assumptions!C10</f>
        <v>5000</v>
      </c>
      <c r="G8">
        <f>assumptions!C10</f>
        <v>5000</v>
      </c>
      <c r="H8">
        <f>assumptions!C10</f>
        <v>5000</v>
      </c>
      <c r="I8">
        <f>assumptions!C10</f>
        <v>5000</v>
      </c>
      <c r="J8" s="37">
        <f>assumptions!E10</f>
        <v>2000</v>
      </c>
      <c r="K8">
        <f>assumptions!E10</f>
        <v>2000</v>
      </c>
      <c r="L8">
        <f>assumptions!E10</f>
        <v>2000</v>
      </c>
      <c r="M8">
        <f>assumptions!E10</f>
        <v>2000</v>
      </c>
      <c r="N8">
        <f>assumptions!E10</f>
        <v>2000</v>
      </c>
      <c r="O8">
        <f>assumptions!E10</f>
        <v>2000</v>
      </c>
      <c r="P8" s="38">
        <f>assumptions!E10</f>
        <v>2000</v>
      </c>
      <c r="Q8">
        <f>assumptions!D10</f>
        <v>3500</v>
      </c>
      <c r="R8">
        <f>assumptions!D10</f>
        <v>3500</v>
      </c>
      <c r="S8">
        <f>assumptions!D10</f>
        <v>3500</v>
      </c>
      <c r="T8">
        <f>assumptions!D10</f>
        <v>3500</v>
      </c>
      <c r="U8">
        <f>assumptions!D10</f>
        <v>3500</v>
      </c>
      <c r="V8">
        <f>assumptions!D10</f>
        <v>3500</v>
      </c>
      <c r="W8">
        <f>assumptions!D10</f>
        <v>3500</v>
      </c>
    </row>
    <row r="9">
      <c r="A9" t="s">
        <v>736</v>
      </c>
      <c r="B9" t="s">
        <v>761</v>
      </c>
      <c r="F9">
        <f t="shared" si="351"/>
        <v>0</v>
      </c>
      <c r="M9">
        <f t="shared" ref="M9:M15" si="352">L9</f>
        <v>0</v>
      </c>
      <c r="T9">
        <f t="shared" ref="T9:T15" si="353">S9</f>
        <v>0</v>
      </c>
    </row>
    <row r="10">
      <c r="A10" t="s">
        <v>664</v>
      </c>
      <c r="B10" t="s">
        <v>152</v>
      </c>
      <c r="C10">
        <f>values!C16</f>
        <v>893.61702127659589</v>
      </c>
      <c r="D10">
        <f>values!C50</f>
        <v>893.61702127659589</v>
      </c>
      <c r="E10">
        <f>values!C16</f>
        <v>893.61702127659589</v>
      </c>
      <c r="F10">
        <f t="shared" si="351"/>
        <v>893.61702127659589</v>
      </c>
      <c r="G10">
        <f>values!C73</f>
        <v>824.468085106383</v>
      </c>
      <c r="H10">
        <f>values!C16</f>
        <v>893.61702127659589</v>
      </c>
      <c r="I10">
        <f>values!C92*assumptions!C29</f>
        <v>159.57446808510642</v>
      </c>
      <c r="J10" s="37">
        <f>values!J16</f>
        <v>1162.5</v>
      </c>
      <c r="K10">
        <f>values!J50</f>
        <v>1162.5</v>
      </c>
      <c r="L10">
        <f>values!J16</f>
        <v>1162.5</v>
      </c>
      <c r="M10">
        <f t="shared" si="352"/>
        <v>1162.5</v>
      </c>
      <c r="N10">
        <f>values!J73</f>
        <v>1000</v>
      </c>
      <c r="O10">
        <f>values!J16</f>
        <v>1162.5</v>
      </c>
      <c r="P10" s="38">
        <f>values!E92*assumptions!E29</f>
        <v>750</v>
      </c>
      <c r="Q10">
        <f>values!D16</f>
        <v>1157.0328723404257</v>
      </c>
      <c r="R10">
        <f>values!D50</f>
        <v>1157.0328723404257</v>
      </c>
      <c r="S10">
        <f>values!D16</f>
        <v>1157.0328723404257</v>
      </c>
      <c r="T10">
        <f t="shared" si="353"/>
        <v>1157.0328723404257</v>
      </c>
      <c r="U10">
        <f>values!D73</f>
        <v>965.872340425532</v>
      </c>
      <c r="V10">
        <f>values!D16</f>
        <v>1157.0328723404257</v>
      </c>
      <c r="W10">
        <f>values!D92*assumptions!D29</f>
        <v>362.57978723404256</v>
      </c>
    </row>
    <row r="11">
      <c r="A11" t="s">
        <v>665</v>
      </c>
      <c r="B11" t="s">
        <v>762</v>
      </c>
      <c r="C11">
        <f>C7*C10/C8</f>
        <v>0.016742590298649624</v>
      </c>
      <c r="D11">
        <f>D7*D10/D8</f>
        <v>0.016742590298649624</v>
      </c>
      <c r="E11">
        <f>E7*E10/E8</f>
        <v>0.016742590298649624</v>
      </c>
      <c r="F11">
        <f t="shared" si="351"/>
        <v>0.016742590298649624</v>
      </c>
      <c r="G11">
        <f t="shared" ref="G11:L11" si="354">G7*G10/G8</f>
        <v>0.01544703271601602</v>
      </c>
      <c r="H11">
        <f t="shared" si="354"/>
        <v>0.016742590298649624</v>
      </c>
      <c r="I11">
        <f t="shared" si="354"/>
        <v>0.002989748267616004</v>
      </c>
      <c r="J11" s="37">
        <f t="shared" si="354"/>
        <v>0.054450790323956472</v>
      </c>
      <c r="K11">
        <f t="shared" si="354"/>
        <v>0.054450790323956472</v>
      </c>
      <c r="L11">
        <f t="shared" si="354"/>
        <v>0.054450790323956472</v>
      </c>
      <c r="M11">
        <f t="shared" si="352"/>
        <v>0.054450790323956472</v>
      </c>
      <c r="N11">
        <f t="shared" ref="N11:S11" si="355">N7*N10/N8</f>
        <v>0.046839389525984057</v>
      </c>
      <c r="O11">
        <f t="shared" si="355"/>
        <v>0.054450790323956472</v>
      </c>
      <c r="P11" s="38">
        <f t="shared" si="355"/>
        <v>0.035129542144488039</v>
      </c>
      <c r="Q11">
        <f t="shared" si="355"/>
        <v>0.030968407658240792</v>
      </c>
      <c r="R11">
        <f t="shared" si="355"/>
        <v>0.030968407658240792</v>
      </c>
      <c r="S11">
        <f t="shared" si="355"/>
        <v>0.030968407658240792</v>
      </c>
      <c r="T11">
        <f t="shared" si="353"/>
        <v>0.030968407658240792</v>
      </c>
      <c r="U11">
        <f>U7*U10/U8</f>
        <v>0.025851926163180213</v>
      </c>
      <c r="V11">
        <f>V7*V10/V8</f>
        <v>0.030968407658240792</v>
      </c>
      <c r="W11">
        <f>W7*W10/W8</f>
        <v>0.0097045805077164236</v>
      </c>
    </row>
    <row r="12">
      <c r="A12" t="s">
        <v>763</v>
      </c>
      <c r="B12" t="s">
        <v>762</v>
      </c>
      <c r="C12">
        <f>assumptions!C36/Utilization!C8</f>
        <v>0.0042553191489361703</v>
      </c>
      <c r="D12">
        <f>assumptions!C36/Utilization!D8</f>
        <v>0.0042553191489361703</v>
      </c>
      <c r="E12">
        <f>assumptions!C36/Utilization!E8</f>
        <v>0.0042553191489361703</v>
      </c>
      <c r="F12">
        <f t="shared" si="351"/>
        <v>0.0042553191489361703</v>
      </c>
      <c r="G12">
        <f>assumptions!C36/Utilization!G8</f>
        <v>0.0042553191489361703</v>
      </c>
      <c r="H12">
        <f>assumptions!C36/Utilization!H8</f>
        <v>0.0042553191489361703</v>
      </c>
      <c r="I12">
        <f>values!C93/Utilization!I8</f>
        <v>0.0031914893617021279</v>
      </c>
      <c r="J12" s="37">
        <f>assumptions!E36/Utilization!J8</f>
        <v>0.010638297872340425</v>
      </c>
      <c r="K12">
        <f>assumptions!E36/Utilization!K8</f>
        <v>0.010638297872340425</v>
      </c>
      <c r="L12">
        <f>assumptions!E36/Utilization!L8</f>
        <v>0.010638297872340425</v>
      </c>
      <c r="M12">
        <f t="shared" si="352"/>
        <v>0.010638297872340425</v>
      </c>
      <c r="N12">
        <f>assumptions!E36/Utilization!N8</f>
        <v>0.010638297872340425</v>
      </c>
      <c r="O12">
        <f>assumptions!E36/Utilization!O8</f>
        <v>0.010638297872340425</v>
      </c>
      <c r="P12" s="38">
        <f>values!E93/Utilization!P8</f>
        <v>0.016348404255319148</v>
      </c>
      <c r="Q12">
        <f>assumptions!D36/Utilization!Q8</f>
        <v>0.0060790273556231003</v>
      </c>
      <c r="R12">
        <f>assumptions!D36/Utilization!R8</f>
        <v>0.0060790273556231003</v>
      </c>
      <c r="S12">
        <f>assumptions!D36/Utilization!S8</f>
        <v>0.0060790273556231003</v>
      </c>
      <c r="T12">
        <f t="shared" si="353"/>
        <v>0.0060790273556231003</v>
      </c>
      <c r="U12">
        <f>assumptions!D36/Utilization!U8</f>
        <v>0.0060790273556231003</v>
      </c>
      <c r="V12">
        <f>assumptions!D36/Utilization!V8</f>
        <v>0.0060790273556231003</v>
      </c>
      <c r="W12">
        <f>values!D93/Utilization!W8</f>
        <v>0.006862715298885512</v>
      </c>
    </row>
    <row r="13">
      <c r="A13" t="s">
        <v>764</v>
      </c>
      <c r="B13" t="s">
        <v>765</v>
      </c>
      <c r="C13">
        <f>assumptions!C37</f>
        <v>0.0031914893617021279</v>
      </c>
      <c r="D13">
        <f>assumptions!C37</f>
        <v>0.0031914893617021279</v>
      </c>
      <c r="E13">
        <f>assumptions!C37</f>
        <v>0.0031914893617021279</v>
      </c>
      <c r="F13">
        <f t="shared" si="351"/>
        <v>0.0031914893617021279</v>
      </c>
      <c r="G13">
        <f>assumptions!C37</f>
        <v>0.0031914893617021279</v>
      </c>
      <c r="H13">
        <f>assumptions!C37</f>
        <v>0.0031914893617021279</v>
      </c>
      <c r="I13">
        <f>values!C94</f>
        <v>0.0042553191489361703</v>
      </c>
      <c r="J13" s="37">
        <f>assumptions!E37</f>
        <v>0.0031914893617021279</v>
      </c>
      <c r="K13">
        <f>assumptions!E37</f>
        <v>0.0031914893617021279</v>
      </c>
      <c r="L13">
        <f>assumptions!E37</f>
        <v>0.0031914893617021279</v>
      </c>
      <c r="M13">
        <f t="shared" si="352"/>
        <v>0.0031914893617021279</v>
      </c>
      <c r="N13">
        <f>assumptions!E37</f>
        <v>0.0031914893617021279</v>
      </c>
      <c r="O13">
        <f>assumptions!E37</f>
        <v>0.0031914893617021279</v>
      </c>
      <c r="P13" s="38">
        <f>values!E94</f>
        <v>0.0042553191489361703</v>
      </c>
      <c r="Q13">
        <f>assumptions!D37</f>
        <v>0.0031914893617021279</v>
      </c>
      <c r="R13">
        <f>assumptions!D37</f>
        <v>0.0031914893617021279</v>
      </c>
      <c r="S13">
        <f>assumptions!D37</f>
        <v>0.0031914893617021279</v>
      </c>
      <c r="T13">
        <f t="shared" si="353"/>
        <v>0.0031914893617021279</v>
      </c>
      <c r="U13">
        <f>assumptions!D37</f>
        <v>0.0031914893617021279</v>
      </c>
      <c r="V13">
        <f>assumptions!D37</f>
        <v>0.0031914893617021279</v>
      </c>
      <c r="W13">
        <f>values!D94</f>
        <v>0.0042553191489361703</v>
      </c>
    </row>
    <row r="14">
      <c r="A14" s="30" t="s">
        <v>766</v>
      </c>
      <c r="B14" s="30" t="s">
        <v>765</v>
      </c>
      <c r="C14" s="30">
        <f>SUM(C11:C13)</f>
        <v>0.024189398809287922</v>
      </c>
      <c r="D14" s="30">
        <f>SUM(D11:D13)</f>
        <v>0.024189398809287922</v>
      </c>
      <c r="E14" s="30">
        <f>SUM(E11:E13)</f>
        <v>0.024189398809287922</v>
      </c>
      <c r="F14">
        <f t="shared" si="351"/>
        <v>0.024189398809287922</v>
      </c>
      <c r="G14" s="30">
        <f t="shared" ref="G14:L14" si="356">SUM(G11:G13)</f>
        <v>0.022893841226654318</v>
      </c>
      <c r="H14" s="30">
        <f t="shared" si="356"/>
        <v>0.024189398809287922</v>
      </c>
      <c r="I14" s="30">
        <f t="shared" si="356"/>
        <v>0.010436556778254301</v>
      </c>
      <c r="J14" s="39">
        <f t="shared" si="356"/>
        <v>0.068280577557999031</v>
      </c>
      <c r="K14" s="30">
        <f t="shared" si="356"/>
        <v>0.068280577557999031</v>
      </c>
      <c r="L14" s="30">
        <f t="shared" si="356"/>
        <v>0.068280577557999031</v>
      </c>
      <c r="M14">
        <f t="shared" si="352"/>
        <v>0.068280577557999031</v>
      </c>
      <c r="N14" s="30">
        <f t="shared" ref="N14:S14" si="357">SUM(N11:N13)</f>
        <v>0.060669176760026609</v>
      </c>
      <c r="O14" s="30">
        <f t="shared" si="357"/>
        <v>0.068280577557999031</v>
      </c>
      <c r="P14" s="40">
        <f t="shared" si="357"/>
        <v>0.055733265548743353</v>
      </c>
      <c r="Q14" s="30">
        <f t="shared" si="357"/>
        <v>0.040238924375566018</v>
      </c>
      <c r="R14" s="30">
        <f t="shared" si="357"/>
        <v>0.040238924375566018</v>
      </c>
      <c r="S14" s="30">
        <f t="shared" si="357"/>
        <v>0.040238924375566018</v>
      </c>
      <c r="T14">
        <f t="shared" si="353"/>
        <v>0.040238924375566018</v>
      </c>
      <c r="U14" s="30">
        <f>SUM(U11:U13)</f>
        <v>0.035122442880505436</v>
      </c>
      <c r="V14" s="30">
        <f>SUM(V11:V13)</f>
        <v>0.040238924375566018</v>
      </c>
      <c r="W14" s="30">
        <f>SUM(W11:W13)</f>
        <v>0.020822614955538103</v>
      </c>
    </row>
    <row r="15">
      <c r="A15" t="s">
        <v>767</v>
      </c>
      <c r="B15" t="s">
        <v>58</v>
      </c>
      <c r="C15">
        <f>assumptions!C31</f>
        <v>0.62</v>
      </c>
      <c r="D15">
        <f>assumptions!C31</f>
        <v>0.62</v>
      </c>
      <c r="E15">
        <f>assumptions!C31</f>
        <v>0.62</v>
      </c>
      <c r="F15">
        <f>E15</f>
        <v>0.62</v>
      </c>
      <c r="G15">
        <f>assumptions!C30</f>
        <v>0.64000000000000001</v>
      </c>
      <c r="H15">
        <f>assumptions!C31</f>
        <v>0.62</v>
      </c>
      <c r="I15">
        <f>assumptions!C32</f>
        <v>0.5</v>
      </c>
      <c r="J15" s="37">
        <f>assumptions!E31</f>
        <v>0.53000000000000003</v>
      </c>
      <c r="K15">
        <f>assumptions!E31</f>
        <v>0.53000000000000003</v>
      </c>
      <c r="L15">
        <f>assumptions!E31</f>
        <v>0.53000000000000003</v>
      </c>
      <c r="M15">
        <f t="shared" si="352"/>
        <v>0.53000000000000003</v>
      </c>
      <c r="N15">
        <f>assumptions!E30</f>
        <v>0.55000000000000004</v>
      </c>
      <c r="O15">
        <f>assumptions!E31</f>
        <v>0.53000000000000003</v>
      </c>
      <c r="P15" s="38">
        <f>assumptions!E32</f>
        <v>0.45000000000000001</v>
      </c>
      <c r="Q15">
        <f>assumptions!D31</f>
        <v>0.58674999999999999</v>
      </c>
      <c r="R15">
        <f>assumptions!D31</f>
        <v>0.58674999999999999</v>
      </c>
      <c r="S15">
        <f>assumptions!D31</f>
        <v>0.58674999999999999</v>
      </c>
      <c r="T15">
        <f t="shared" si="353"/>
        <v>0.58674999999999999</v>
      </c>
      <c r="U15">
        <f>assumptions!D30</f>
        <v>0.60675000000000001</v>
      </c>
      <c r="V15">
        <f>assumptions!D31</f>
        <v>0.58674999999999999</v>
      </c>
      <c r="W15">
        <f>assumptions!D32</f>
        <v>0.47499999999999998</v>
      </c>
    </row>
    <row r="17">
      <c r="A17" t="s">
        <v>768</v>
      </c>
      <c r="B17" t="s">
        <v>368</v>
      </c>
    </row>
    <row r="18">
      <c r="B18" t="s">
        <v>550</v>
      </c>
      <c r="C18">
        <f>Reconversion!C64</f>
        <v>11760000</v>
      </c>
      <c r="D18">
        <f>'Storage 2'!D28</f>
        <v>107200000</v>
      </c>
      <c r="E18">
        <f>Reconversion!D64</f>
        <v>16390375.037503751</v>
      </c>
      <c r="F18">
        <f>Reconversion!E64</f>
        <v>8586547.200000003</v>
      </c>
      <c r="G18">
        <f>'Storage 2'!G28</f>
        <v>65600000</v>
      </c>
      <c r="H18">
        <f>Reconversion!F64</f>
        <v>16401640.164016401</v>
      </c>
      <c r="I18">
        <f>'Storage 2'!I28</f>
        <v>159956100</v>
      </c>
      <c r="J18" s="37">
        <f>Reconversion!G64</f>
        <v>11524800</v>
      </c>
      <c r="K18">
        <f>'Storage 2'!K28</f>
        <v>107200000</v>
      </c>
      <c r="L18">
        <f>Reconversion!H64</f>
        <v>16390375.037503751</v>
      </c>
      <c r="M18">
        <f>Reconversion!I64</f>
        <v>7805952.0000000009</v>
      </c>
      <c r="N18">
        <f>'Storage 2'!N28</f>
        <v>65600000</v>
      </c>
      <c r="O18">
        <f>Reconversion!J64</f>
        <v>15034836.817015037</v>
      </c>
      <c r="P18" s="38">
        <f>'Storage 2'!P28</f>
        <v>159956100</v>
      </c>
      <c r="Q18">
        <f>Reconversion!K64</f>
        <v>11642400</v>
      </c>
      <c r="R18">
        <f>'Storage 2'!R28</f>
        <v>107200000</v>
      </c>
      <c r="S18">
        <f>Reconversion!L64</f>
        <v>16390375.037503751</v>
      </c>
      <c r="T18">
        <f>Reconversion!M64</f>
        <v>8176127.590400001</v>
      </c>
      <c r="U18">
        <f>'Storage 2'!U28</f>
        <v>65600000</v>
      </c>
      <c r="V18">
        <f>Reconversion!N64</f>
        <v>15763798.602082431</v>
      </c>
      <c r="W18">
        <f>'Storage 2'!W28</f>
        <v>159956100</v>
      </c>
    </row>
    <row r="19">
      <c r="B19" t="s">
        <v>551</v>
      </c>
      <c r="C19">
        <f>Reconversion!C65</f>
        <v>11388155.295529554</v>
      </c>
      <c r="D19">
        <f>'Storage 2'!D29</f>
        <v>104816618.46153846</v>
      </c>
      <c r="E19">
        <f>Reconversion!D65</f>
        <v>16025967.227122713</v>
      </c>
      <c r="F19">
        <f>Reconversion!E65</f>
        <v>7960824.5265742587</v>
      </c>
      <c r="G19">
        <f>'Storage 2'!G29</f>
        <v>64707661.952</v>
      </c>
      <c r="H19">
        <f>Reconversion!F65</f>
        <v>16178533.341334134</v>
      </c>
      <c r="I19">
        <f>'Storage 2'!I29</f>
        <v>156046323.62544698</v>
      </c>
      <c r="J19" s="37">
        <f>Reconversion!G65</f>
        <v>11160392.189618962</v>
      </c>
      <c r="K19">
        <f>'Storage 2'!K29</f>
        <v>104816618.46153846</v>
      </c>
      <c r="L19">
        <f>Reconversion!H65</f>
        <v>16025967.227122713</v>
      </c>
      <c r="M19">
        <f>Reconversion!I65</f>
        <v>7237113.205976598</v>
      </c>
      <c r="N19">
        <f>'Storage 2'!N29</f>
        <v>64563019.919015445</v>
      </c>
      <c r="O19">
        <f>Reconversion!J65</f>
        <v>14797171.781952571</v>
      </c>
      <c r="P19" s="38">
        <f>'Storage 2'!P29</f>
        <v>156046323.62544698</v>
      </c>
      <c r="Q19">
        <f>Reconversion!K65</f>
        <v>11274273.742574258</v>
      </c>
      <c r="R19">
        <f>'Storage 2'!R29</f>
        <v>104816618.46153846</v>
      </c>
      <c r="S19">
        <f>Reconversion!L65</f>
        <v>16025967.227122713</v>
      </c>
      <c r="T19">
        <f>Reconversion!M65</f>
        <v>7580313.1966777993</v>
      </c>
      <c r="U19">
        <f>'Storage 2'!U29</f>
        <v>64707661.952</v>
      </c>
      <c r="V19">
        <f>Reconversion!N65</f>
        <v>15549368.155837808</v>
      </c>
      <c r="W19">
        <f>'Storage 2'!W29</f>
        <v>156046323.62544698</v>
      </c>
    </row>
    <row r="20">
      <c r="B20" t="s">
        <v>552</v>
      </c>
      <c r="C20">
        <f>Reconversion!C66</f>
        <v>10837611.761176117</v>
      </c>
      <c r="D20">
        <f>'Storage 2'!D30</f>
        <v>101287846.15384616</v>
      </c>
      <c r="E20">
        <f>Reconversion!D66</f>
        <v>15486434.563456349</v>
      </c>
      <c r="F20">
        <f>Reconversion!E66</f>
        <v>7158190.0115643563</v>
      </c>
      <c r="G20">
        <f>'Storage 2'!G30</f>
        <v>63386489.600000001</v>
      </c>
      <c r="H20">
        <f>Reconversion!F66</f>
        <v>15848207.220722074</v>
      </c>
      <c r="I20">
        <f>'Storage 2'!I30</f>
        <v>150257611.08523908</v>
      </c>
      <c r="J20" s="37">
        <f>Reconversion!G66</f>
        <v>10620859.525952594</v>
      </c>
      <c r="K20">
        <f>'Storage 2'!K30</f>
        <v>101287846.15384616</v>
      </c>
      <c r="L20">
        <f>Reconversion!H66</f>
        <v>15486434.563456349</v>
      </c>
      <c r="M20">
        <f>Reconversion!I66</f>
        <v>6507445.4650585065</v>
      </c>
      <c r="N20">
        <f>'Storage 2'!N30</f>
        <v>63338850.174929462</v>
      </c>
      <c r="O20">
        <f>Reconversion!J66</f>
        <v>14516604.825570563</v>
      </c>
      <c r="P20" s="38">
        <f>'Storage 2'!P30</f>
        <v>150257611.08523908</v>
      </c>
      <c r="Q20">
        <f>Reconversion!K66</f>
        <v>10729235.643564355</v>
      </c>
      <c r="R20">
        <f>'Storage 2'!R30</f>
        <v>101287846.15384616</v>
      </c>
      <c r="S20">
        <f>Reconversion!L66</f>
        <v>15486434.563456349</v>
      </c>
      <c r="T20">
        <f>Reconversion!M66</f>
        <v>6816042.9900015024</v>
      </c>
      <c r="U20">
        <f>'Storage 2'!U30</f>
        <v>63386489.600000001</v>
      </c>
      <c r="V20">
        <f>Reconversion!N66</f>
        <v>15231888.051027326</v>
      </c>
      <c r="W20">
        <f>'Storage 2'!W30</f>
        <v>150257611.08523908</v>
      </c>
    </row>
    <row r="21">
      <c r="B21" t="s">
        <v>553</v>
      </c>
      <c r="C21">
        <f>Reconversion!C67</f>
        <v>9579163.0363036301</v>
      </c>
      <c r="D21">
        <f>'Storage 2'!D31</f>
        <v>93221673.84615384</v>
      </c>
      <c r="E21">
        <f>Reconversion!D67</f>
        <v>14253154.813081309</v>
      </c>
      <c r="F21">
        <f>Reconversion!E67</f>
        <v>5139536.5259405943</v>
      </c>
      <c r="G21">
        <f>'Storage 2'!G31</f>
        <v>60366514.688000001</v>
      </c>
      <c r="H21">
        <f>Reconversion!F67</f>
        <v>15093137.985798581</v>
      </c>
      <c r="I21">
        <f>'Storage 2'!I31</f>
        <v>137025600.42611226</v>
      </c>
      <c r="J21" s="37">
        <f>Reconversion!G67</f>
        <v>9387579.7755775582</v>
      </c>
      <c r="K21">
        <f>'Storage 2'!K31</f>
        <v>93221673.84615384</v>
      </c>
      <c r="L21">
        <f>Reconversion!H67</f>
        <v>14253154.813081309</v>
      </c>
      <c r="M21">
        <f>Reconversion!I67</f>
        <v>4672305.932673268</v>
      </c>
      <c r="N21">
        <f>'Storage 2'!N31</f>
        <v>60627067.51620958</v>
      </c>
      <c r="O21">
        <f>Reconversion!J67</f>
        <v>13895092.481712868</v>
      </c>
      <c r="P21" s="38">
        <f>'Storage 2'!P31</f>
        <v>137025600.42611226</v>
      </c>
      <c r="Q21">
        <f>Reconversion!K67</f>
        <v>9483371.4059405942</v>
      </c>
      <c r="R21">
        <f>'Storage 2'!R31</f>
        <v>93221673.84615384</v>
      </c>
      <c r="S21">
        <f>Reconversion!L67</f>
        <v>14253154.813081309</v>
      </c>
      <c r="T21">
        <f>Reconversion!M67</f>
        <v>4893877.0629027057</v>
      </c>
      <c r="U21">
        <f>'Storage 2'!U31</f>
        <v>60366514.688000001</v>
      </c>
      <c r="V21">
        <f>Reconversion!N67</f>
        <v>14506182.619684191</v>
      </c>
      <c r="W21">
        <f>'Storage 2'!W31</f>
        <v>137025600.42611226</v>
      </c>
    </row>
    <row r="23">
      <c r="A23" t="s">
        <v>769</v>
      </c>
      <c r="B23" t="s">
        <v>555</v>
      </c>
    </row>
    <row r="24">
      <c r="B24" t="s">
        <v>550</v>
      </c>
      <c r="C24">
        <f t="shared" ref="C24:W24" si="358">C18*C5</f>
        <v>391960800</v>
      </c>
      <c r="D24">
        <f t="shared" si="358"/>
        <v>557440000</v>
      </c>
      <c r="E24">
        <f t="shared" si="358"/>
        <v>546291200</v>
      </c>
      <c r="F24">
        <f t="shared" si="358"/>
        <v>286189618.17600006</v>
      </c>
      <c r="G24">
        <f t="shared" si="358"/>
        <v>911111111.11111116</v>
      </c>
      <c r="H24">
        <f t="shared" si="358"/>
        <v>546666666.66666663</v>
      </c>
      <c r="I24">
        <f t="shared" si="358"/>
        <v>328798650.00000006</v>
      </c>
      <c r="J24" s="37">
        <f t="shared" si="358"/>
        <v>384121584</v>
      </c>
      <c r="K24">
        <f t="shared" si="358"/>
        <v>557440000</v>
      </c>
      <c r="L24">
        <f t="shared" si="358"/>
        <v>546291200</v>
      </c>
      <c r="M24">
        <f t="shared" si="358"/>
        <v>260172380.16000003</v>
      </c>
      <c r="N24">
        <f t="shared" si="358"/>
        <v>911111111.11111116</v>
      </c>
      <c r="O24">
        <f t="shared" si="358"/>
        <v>501111111.11111116</v>
      </c>
      <c r="P24" s="38">
        <f t="shared" si="358"/>
        <v>328798650.00000006</v>
      </c>
      <c r="Q24">
        <f t="shared" si="358"/>
        <v>388041192</v>
      </c>
      <c r="R24">
        <f t="shared" si="358"/>
        <v>557440000</v>
      </c>
      <c r="S24">
        <f t="shared" si="358"/>
        <v>546291200</v>
      </c>
      <c r="T24">
        <f t="shared" si="358"/>
        <v>272510332.58803201</v>
      </c>
      <c r="U24">
        <f t="shared" si="358"/>
        <v>911111111.11111116</v>
      </c>
      <c r="V24">
        <f t="shared" si="358"/>
        <v>525407407.4074074</v>
      </c>
      <c r="W24">
        <f t="shared" si="358"/>
        <v>328798650.00000006</v>
      </c>
    </row>
    <row r="25">
      <c r="B25" t="s">
        <v>551</v>
      </c>
      <c r="C25">
        <f>C19*C5</f>
        <v>379567216</v>
      </c>
      <c r="D25">
        <f>D19*D5</f>
        <v>545046416</v>
      </c>
      <c r="E25">
        <f>E19*E5</f>
        <v>534145487.68000001</v>
      </c>
      <c r="F25">
        <f>F19*C5</f>
        <v>265334281.47072002</v>
      </c>
      <c r="G25">
        <f t="shared" ref="G25:L25" si="359">G19*G5</f>
        <v>898717527.11111116</v>
      </c>
      <c r="H25">
        <f t="shared" si="359"/>
        <v>539230516.26666665</v>
      </c>
      <c r="I25">
        <f t="shared" si="359"/>
        <v>320761887.4523077</v>
      </c>
      <c r="J25" s="37">
        <f t="shared" si="359"/>
        <v>371975871.68000001</v>
      </c>
      <c r="K25">
        <f t="shared" si="359"/>
        <v>545046416</v>
      </c>
      <c r="L25">
        <f t="shared" si="359"/>
        <v>534145487.68000001</v>
      </c>
      <c r="M25">
        <f>M19*J5</f>
        <v>241212983.1552</v>
      </c>
      <c r="N25">
        <f t="shared" ref="N25:S25" si="360">N19*N5</f>
        <v>896708609.98632562</v>
      </c>
      <c r="O25">
        <f t="shared" si="360"/>
        <v>493189735.49247915</v>
      </c>
      <c r="P25" s="38">
        <f t="shared" si="360"/>
        <v>320761887.4523077</v>
      </c>
      <c r="Q25">
        <f t="shared" si="360"/>
        <v>375771543.83999997</v>
      </c>
      <c r="R25">
        <f t="shared" si="360"/>
        <v>545046416</v>
      </c>
      <c r="S25">
        <f t="shared" si="360"/>
        <v>534145487.68000001</v>
      </c>
      <c r="T25">
        <f>T19*Q5</f>
        <v>252651838.84527105</v>
      </c>
      <c r="U25">
        <f>U19*U5</f>
        <v>898717527.11111116</v>
      </c>
      <c r="V25">
        <f>V19*V5</f>
        <v>518260440.63407409</v>
      </c>
      <c r="W25">
        <f>W19*W5</f>
        <v>320761887.4523077</v>
      </c>
    </row>
    <row r="26">
      <c r="B26" t="s">
        <v>552</v>
      </c>
      <c r="C26">
        <f>C20*C5</f>
        <v>361217599.99999994</v>
      </c>
      <c r="D26">
        <f>D20*D5</f>
        <v>526696800.00000006</v>
      </c>
      <c r="E26">
        <f>E20*E5</f>
        <v>516162864.00000006</v>
      </c>
      <c r="F26">
        <f>F20*C5</f>
        <v>238582473.08543998</v>
      </c>
      <c r="G26">
        <f t="shared" ref="G26:L26" si="361">G20*G5</f>
        <v>880367911.11111116</v>
      </c>
      <c r="H26">
        <f t="shared" si="361"/>
        <v>528220746.66666669</v>
      </c>
      <c r="I26">
        <f t="shared" si="361"/>
        <v>308862867.23076928</v>
      </c>
      <c r="J26" s="37">
        <f t="shared" si="361"/>
        <v>353993247.99999994</v>
      </c>
      <c r="K26">
        <f t="shared" si="361"/>
        <v>526696800.00000006</v>
      </c>
      <c r="L26">
        <f t="shared" si="361"/>
        <v>516162864.00000006</v>
      </c>
      <c r="M26">
        <f>M20*J5</f>
        <v>216893157.3504</v>
      </c>
      <c r="N26">
        <f t="shared" ref="N26:S26" si="362">N20*N5</f>
        <v>879706252.42957592</v>
      </c>
      <c r="O26">
        <f t="shared" si="362"/>
        <v>483838438.83626682</v>
      </c>
      <c r="P26" s="38">
        <f t="shared" si="362"/>
        <v>308862867.23076928</v>
      </c>
      <c r="Q26">
        <f t="shared" si="362"/>
        <v>357605423.99999994</v>
      </c>
      <c r="R26">
        <f t="shared" si="362"/>
        <v>526696800.00000006</v>
      </c>
      <c r="S26">
        <f t="shared" si="362"/>
        <v>516162864.00000006</v>
      </c>
      <c r="T26">
        <f>T20*Q5</f>
        <v>227178712.85675007</v>
      </c>
      <c r="U26">
        <f>U20*U5</f>
        <v>880367911.11111116</v>
      </c>
      <c r="V26">
        <f>V20*V5</f>
        <v>507678828.74074078</v>
      </c>
      <c r="W26">
        <f>W20*W5</f>
        <v>308862867.23076928</v>
      </c>
    </row>
    <row r="27">
      <c r="B27" t="s">
        <v>553</v>
      </c>
      <c r="C27">
        <f>C21*C5</f>
        <v>319273504</v>
      </c>
      <c r="D27">
        <f>D21*D5</f>
        <v>484752704</v>
      </c>
      <c r="E27">
        <f>E21*E5</f>
        <v>475057649.92000002</v>
      </c>
      <c r="F27">
        <f>F21*C5</f>
        <v>171300752.40959999</v>
      </c>
      <c r="G27">
        <f t="shared" ref="G27:L27" si="363">G21*G5</f>
        <v>838423815.11111116</v>
      </c>
      <c r="H27">
        <f t="shared" si="363"/>
        <v>503054289.06666666</v>
      </c>
      <c r="I27">
        <f t="shared" si="363"/>
        <v>281663734.20923078</v>
      </c>
      <c r="J27" s="37">
        <f t="shared" si="363"/>
        <v>312888033.92000002</v>
      </c>
      <c r="K27">
        <f t="shared" si="363"/>
        <v>484752704</v>
      </c>
      <c r="L27">
        <f t="shared" si="363"/>
        <v>475057649.92000002</v>
      </c>
      <c r="M27">
        <f>M21*J5</f>
        <v>155727956.736</v>
      </c>
      <c r="N27">
        <f t="shared" ref="N27:S27" si="364">N21*N5</f>
        <v>842042604.39179969</v>
      </c>
      <c r="O27">
        <f t="shared" si="364"/>
        <v>463123432.41548985</v>
      </c>
      <c r="P27" s="38">
        <f t="shared" si="364"/>
        <v>281663734.20923078</v>
      </c>
      <c r="Q27">
        <f t="shared" si="364"/>
        <v>316080768.95999998</v>
      </c>
      <c r="R27">
        <f t="shared" si="364"/>
        <v>484752704</v>
      </c>
      <c r="S27">
        <f t="shared" si="364"/>
        <v>475057649.92000002</v>
      </c>
      <c r="T27">
        <f>T21*Q5</f>
        <v>163112922.50654718</v>
      </c>
      <c r="U27">
        <f>U21*U5</f>
        <v>838423815.11111116</v>
      </c>
      <c r="V27">
        <f>V21*V5</f>
        <v>483491066.71407408</v>
      </c>
      <c r="W27">
        <f>W21*W5</f>
        <v>281663734.20923078</v>
      </c>
    </row>
    <row r="29">
      <c r="A29" s="30" t="s">
        <v>770</v>
      </c>
      <c r="B29" s="30" t="s">
        <v>555</v>
      </c>
      <c r="C29" s="30"/>
      <c r="D29" s="30"/>
      <c r="E29" s="30"/>
      <c r="F29" s="30"/>
      <c r="G29" s="30"/>
      <c r="H29" s="30"/>
      <c r="I29" s="30"/>
      <c r="J29" s="39"/>
      <c r="K29" s="30"/>
      <c r="L29" s="30"/>
      <c r="M29" s="30"/>
      <c r="N29" s="30"/>
      <c r="O29" s="30"/>
      <c r="P29" s="40"/>
      <c r="Q29" s="30"/>
      <c r="R29" s="30"/>
      <c r="S29" s="30"/>
      <c r="T29" s="30"/>
      <c r="U29" s="30"/>
      <c r="V29" s="30"/>
      <c r="W29" s="30"/>
    </row>
    <row r="30">
      <c r="A30" s="30"/>
      <c r="B30" s="30" t="s">
        <v>550</v>
      </c>
      <c r="C30" s="30">
        <f>C24*C15</f>
        <v>243015696</v>
      </c>
      <c r="D30" s="30">
        <f t="shared" ref="D30:I30" si="365">D24*D15</f>
        <v>345612800</v>
      </c>
      <c r="E30" s="30">
        <f t="shared" si="365"/>
        <v>338700544</v>
      </c>
      <c r="F30" s="30">
        <f t="shared" si="365"/>
        <v>177437563.26912004</v>
      </c>
      <c r="G30" s="30">
        <f t="shared" si="365"/>
        <v>583111111.11111116</v>
      </c>
      <c r="H30" s="30">
        <f t="shared" si="365"/>
        <v>338933333.33333331</v>
      </c>
      <c r="I30" s="30">
        <f t="shared" si="365"/>
        <v>164399325.00000003</v>
      </c>
      <c r="J30" s="39">
        <f>J24*J15</f>
        <v>203584439.52000001</v>
      </c>
      <c r="K30" s="30">
        <f t="shared" ref="K30:P30" si="366">K24*K15</f>
        <v>295443200</v>
      </c>
      <c r="L30" s="30">
        <f t="shared" si="366"/>
        <v>289534336</v>
      </c>
      <c r="M30" s="30">
        <f t="shared" si="366"/>
        <v>137891361.48480001</v>
      </c>
      <c r="N30" s="30">
        <f t="shared" si="366"/>
        <v>501111111.11111116</v>
      </c>
      <c r="O30" s="30">
        <f t="shared" si="366"/>
        <v>265588888.88888893</v>
      </c>
      <c r="P30" s="40">
        <f t="shared" si="366"/>
        <v>147959392.50000003</v>
      </c>
      <c r="Q30" s="30">
        <f>Q24*Q15</f>
        <v>227683169.40599999</v>
      </c>
      <c r="R30" s="30">
        <f t="shared" ref="R30:W30" si="367">R24*R15</f>
        <v>327077920</v>
      </c>
      <c r="S30" s="30">
        <f t="shared" si="367"/>
        <v>320536361.60000002</v>
      </c>
      <c r="T30" s="30">
        <f t="shared" si="367"/>
        <v>159895437.64602777</v>
      </c>
      <c r="U30" s="30">
        <f t="shared" si="367"/>
        <v>552816666.66666675</v>
      </c>
      <c r="V30" s="30">
        <f t="shared" si="367"/>
        <v>308282796.2962963</v>
      </c>
      <c r="W30" s="30">
        <f t="shared" si="367"/>
        <v>156179358.75000003</v>
      </c>
    </row>
    <row r="31">
      <c r="A31" s="30"/>
      <c r="B31" s="30" t="s">
        <v>551</v>
      </c>
      <c r="C31" s="30">
        <f>C25*C15</f>
        <v>235331673.91999999</v>
      </c>
      <c r="D31" s="30">
        <f t="shared" ref="D31:H31" si="368">D25*D15</f>
        <v>337928777.92000002</v>
      </c>
      <c r="E31" s="30">
        <f t="shared" si="368"/>
        <v>331170202.36159998</v>
      </c>
      <c r="F31" s="30">
        <f t="shared" si="368"/>
        <v>164507254.51184642</v>
      </c>
      <c r="G31" s="30">
        <f t="shared" si="368"/>
        <v>575179217.35111117</v>
      </c>
      <c r="H31" s="30">
        <f t="shared" si="368"/>
        <v>334322920.08533335</v>
      </c>
      <c r="I31" s="30">
        <f>I25*I15</f>
        <v>160380943.72615385</v>
      </c>
      <c r="J31" s="39">
        <f>J25*J15</f>
        <v>197147211.99040002</v>
      </c>
      <c r="K31" s="30">
        <f t="shared" ref="K31:P31" si="369">K25*K15</f>
        <v>288874600.48000002</v>
      </c>
      <c r="L31" s="30">
        <f t="shared" si="369"/>
        <v>283097108.47040004</v>
      </c>
      <c r="M31" s="30">
        <f t="shared" si="369"/>
        <v>127842881.07225601</v>
      </c>
      <c r="N31" s="30">
        <f t="shared" si="369"/>
        <v>493189735.49247915</v>
      </c>
      <c r="O31" s="30">
        <f t="shared" si="369"/>
        <v>261390559.81101397</v>
      </c>
      <c r="P31" s="40">
        <f t="shared" si="369"/>
        <v>144342849.35353848</v>
      </c>
      <c r="Q31" s="30">
        <f>Q25*Q15</f>
        <v>220483953.34811997</v>
      </c>
      <c r="R31" s="30">
        <f t="shared" ref="R31:W31" si="370">R25*R15</f>
        <v>319805984.588</v>
      </c>
      <c r="S31" s="30">
        <f t="shared" si="370"/>
        <v>313409864.89624</v>
      </c>
      <c r="T31" s="30">
        <f t="shared" si="370"/>
        <v>148243466.4424628</v>
      </c>
      <c r="U31" s="30">
        <f t="shared" si="370"/>
        <v>545296859.57466674</v>
      </c>
      <c r="V31" s="30">
        <f t="shared" si="370"/>
        <v>304089313.54204297</v>
      </c>
      <c r="W31" s="30">
        <f t="shared" si="370"/>
        <v>152361896.53984615</v>
      </c>
    </row>
    <row r="32">
      <c r="A32" s="30"/>
      <c r="B32" s="30" t="s">
        <v>552</v>
      </c>
      <c r="C32" s="30">
        <f t="shared" ref="C32:H32" si="371">C26*C15</f>
        <v>223954911.99999997</v>
      </c>
      <c r="D32" s="30">
        <f t="shared" si="371"/>
        <v>326552016.00000006</v>
      </c>
      <c r="E32" s="30">
        <f t="shared" si="371"/>
        <v>320020975.68000001</v>
      </c>
      <c r="F32" s="30">
        <f t="shared" si="371"/>
        <v>147921133.31297278</v>
      </c>
      <c r="G32" s="30">
        <f t="shared" si="371"/>
        <v>563435463.11111116</v>
      </c>
      <c r="H32" s="30">
        <f t="shared" si="371"/>
        <v>327496862.93333334</v>
      </c>
      <c r="I32" s="30">
        <f t="shared" ref="I32:O32" si="372">I26*I15</f>
        <v>154431433.61538464</v>
      </c>
      <c r="J32" s="39">
        <f t="shared" si="372"/>
        <v>187616421.43999997</v>
      </c>
      <c r="K32" s="30">
        <f t="shared" si="372"/>
        <v>279149304.00000006</v>
      </c>
      <c r="L32" s="30">
        <f t="shared" si="372"/>
        <v>273566317.92000002</v>
      </c>
      <c r="M32" s="30">
        <f t="shared" si="372"/>
        <v>114953373.395712</v>
      </c>
      <c r="N32" s="30">
        <f t="shared" si="372"/>
        <v>483838438.83626682</v>
      </c>
      <c r="O32" s="30">
        <f t="shared" si="372"/>
        <v>256434372.58322144</v>
      </c>
      <c r="P32" s="40">
        <f t="shared" ref="P32:V32" si="373">P26*P15</f>
        <v>138988290.25384617</v>
      </c>
      <c r="Q32" s="30">
        <f t="shared" si="373"/>
        <v>209824982.53199998</v>
      </c>
      <c r="R32" s="30">
        <f t="shared" si="373"/>
        <v>309039347.40000004</v>
      </c>
      <c r="S32" s="30">
        <f t="shared" si="373"/>
        <v>302858560.45200002</v>
      </c>
      <c r="T32" s="30">
        <f t="shared" si="373"/>
        <v>133297109.7686981</v>
      </c>
      <c r="U32" s="30">
        <f t="shared" si="373"/>
        <v>534163230.06666672</v>
      </c>
      <c r="V32" s="30">
        <f t="shared" si="373"/>
        <v>297880552.76362967</v>
      </c>
      <c r="W32" s="30">
        <f>W26*W15</f>
        <v>146709861.9346154</v>
      </c>
    </row>
    <row r="33">
      <c r="A33" s="30"/>
      <c r="B33" s="30" t="s">
        <v>553</v>
      </c>
      <c r="C33" s="30">
        <f t="shared" ref="C33:H33" si="374">C27*C15</f>
        <v>197949572.47999999</v>
      </c>
      <c r="D33" s="30">
        <f t="shared" si="374"/>
        <v>300546676.48000002</v>
      </c>
      <c r="E33" s="30">
        <f t="shared" si="374"/>
        <v>294535742.95039999</v>
      </c>
      <c r="F33" s="30">
        <f t="shared" si="374"/>
        <v>106206466.49395199</v>
      </c>
      <c r="G33" s="30">
        <f t="shared" si="374"/>
        <v>536591241.67111117</v>
      </c>
      <c r="H33" s="30">
        <f t="shared" si="374"/>
        <v>311893659.22133332</v>
      </c>
      <c r="I33" s="30">
        <f t="shared" ref="I33:O33" si="375">I27*I15</f>
        <v>140831867.10461539</v>
      </c>
      <c r="J33" s="39">
        <f t="shared" si="375"/>
        <v>165830657.97760001</v>
      </c>
      <c r="K33" s="30">
        <f t="shared" si="375"/>
        <v>256918933.12</v>
      </c>
      <c r="L33" s="30">
        <f t="shared" si="375"/>
        <v>251780554.45760003</v>
      </c>
      <c r="M33" s="30">
        <f t="shared" si="375"/>
        <v>82535817.070080012</v>
      </c>
      <c r="N33" s="30">
        <f t="shared" si="375"/>
        <v>463123432.41548985</v>
      </c>
      <c r="O33" s="30">
        <f t="shared" si="375"/>
        <v>245455419.18020964</v>
      </c>
      <c r="P33" s="40">
        <f t="shared" ref="P33:V33" si="376">P27*P15</f>
        <v>126748680.39415385</v>
      </c>
      <c r="Q33" s="30">
        <f t="shared" si="376"/>
        <v>185460391.18728</v>
      </c>
      <c r="R33" s="30">
        <f t="shared" si="376"/>
        <v>284428649.07200003</v>
      </c>
      <c r="S33" s="30">
        <f t="shared" si="376"/>
        <v>278740076.09056002</v>
      </c>
      <c r="T33" s="30">
        <f t="shared" si="376"/>
        <v>95706507.280716553</v>
      </c>
      <c r="U33" s="30">
        <f t="shared" si="376"/>
        <v>508713649.8186667</v>
      </c>
      <c r="V33" s="30">
        <f t="shared" si="376"/>
        <v>283688383.39448297</v>
      </c>
      <c r="W33" s="30">
        <f>W27*W15</f>
        <v>133790273.74938461</v>
      </c>
    </row>
    <row r="35">
      <c r="A35" s="30" t="s">
        <v>771</v>
      </c>
      <c r="B35" s="30" t="s">
        <v>366</v>
      </c>
      <c r="C35" s="30"/>
      <c r="D35" s="30"/>
      <c r="E35" s="30"/>
      <c r="F35" s="30"/>
      <c r="G35" s="30"/>
      <c r="H35" s="30"/>
      <c r="I35" s="30"/>
      <c r="J35" s="39"/>
      <c r="K35" s="30"/>
      <c r="L35" s="30"/>
      <c r="M35" s="30"/>
      <c r="N35" s="30"/>
      <c r="O35" s="30"/>
      <c r="P35" s="40"/>
      <c r="Q35" s="30"/>
      <c r="R35" s="30"/>
      <c r="S35" s="30"/>
      <c r="T35" s="30"/>
      <c r="U35" s="30"/>
      <c r="V35" s="30"/>
      <c r="W35" s="30"/>
    </row>
    <row r="36">
      <c r="A36" s="30"/>
      <c r="B36" s="30" t="s">
        <v>550</v>
      </c>
      <c r="C36" s="30">
        <f>C30*C14</f>
        <v>5878403.5874606753</v>
      </c>
      <c r="D36" s="30">
        <f t="shared" ref="D36:I36" si="377">D30*D14</f>
        <v>8360165.8527946649</v>
      </c>
      <c r="E36" s="30">
        <f t="shared" si="377"/>
        <v>8192962.5357387718</v>
      </c>
      <c r="F36" s="30">
        <f t="shared" si="377"/>
        <v>4292107.9816650022</v>
      </c>
      <c r="G36" s="30">
        <f t="shared" si="377"/>
        <v>13349653.195275763</v>
      </c>
      <c r="H36" s="30">
        <f t="shared" si="377"/>
        <v>8198593.5697613191</v>
      </c>
      <c r="I36" s="30">
        <f t="shared" si="377"/>
        <v>1715762.889669182</v>
      </c>
      <c r="J36" s="39">
        <f>J30*J14</f>
        <v>13900863.112247124</v>
      </c>
      <c r="K36" s="30">
        <f t="shared" ref="K36:P36" si="378">K30*K14</f>
        <v>20173032.331583418</v>
      </c>
      <c r="L36" s="30">
        <f t="shared" si="378"/>
        <v>19769571.684951752</v>
      </c>
      <c r="M36" s="30">
        <f t="shared" si="378"/>
        <v>9415301.8024409674</v>
      </c>
      <c r="N36" s="30">
        <f t="shared" si="378"/>
        <v>30401998.576413337</v>
      </c>
      <c r="O36" s="30">
        <f t="shared" si="378"/>
        <v>18134562.726320568</v>
      </c>
      <c r="P36" s="40">
        <f t="shared" si="378"/>
        <v>8246260.1126332469</v>
      </c>
      <c r="Q36" s="30">
        <f>Q30*Q14</f>
        <v>9161725.8353172205</v>
      </c>
      <c r="R36" s="30">
        <f t="shared" ref="R36:W36" si="379">R30*R14</f>
        <v>13161263.687797433</v>
      </c>
      <c r="S36" s="30">
        <f t="shared" si="379"/>
        <v>12898038.414041484</v>
      </c>
      <c r="T36" s="30">
        <f t="shared" si="379"/>
        <v>6434020.423436543</v>
      </c>
      <c r="U36" s="30">
        <f t="shared" si="379"/>
        <v>19416271.798391417</v>
      </c>
      <c r="V36" s="30">
        <f t="shared" si="379"/>
        <v>12404968.12645469</v>
      </c>
      <c r="W36" s="30">
        <f t="shared" si="379"/>
        <v>3252062.6512541012</v>
      </c>
    </row>
    <row r="37">
      <c r="A37" s="30"/>
      <c r="B37" s="30" t="s">
        <v>551</v>
      </c>
      <c r="C37" s="30">
        <f>C31*C14</f>
        <v>5692531.7129081814</v>
      </c>
      <c r="D37" s="30">
        <f t="shared" ref="D37:G37" si="380">D31*D14</f>
        <v>8174293.978242171</v>
      </c>
      <c r="E37" s="30">
        <f t="shared" si="380"/>
        <v>8010808.0986773269</v>
      </c>
      <c r="F37" s="30">
        <f t="shared" si="380"/>
        <v>3979331.5864080829</v>
      </c>
      <c r="G37" s="30">
        <f t="shared" si="380"/>
        <v>13168061.678907635</v>
      </c>
      <c r="H37" s="30">
        <f>H31*H14</f>
        <v>8087070.445029824</v>
      </c>
      <c r="I37" s="30">
        <f>I31*I14</f>
        <v>1673824.8253480126</v>
      </c>
      <c r="J37" s="39">
        <f>J31*J14</f>
        <v>13461325.498653784</v>
      </c>
      <c r="K37" s="30">
        <f t="shared" ref="K37:N37" si="381">K31*K14</f>
        <v>19724524.562610626</v>
      </c>
      <c r="L37" s="30">
        <f t="shared" si="381"/>
        <v>19330034.071358413</v>
      </c>
      <c r="M37" s="30">
        <f t="shared" si="381"/>
        <v>8729185.7562922239</v>
      </c>
      <c r="N37" s="30">
        <f t="shared" si="381"/>
        <v>29921415.238823988</v>
      </c>
      <c r="O37" s="30">
        <f>O31*O14</f>
        <v>17847898.392104723</v>
      </c>
      <c r="P37" s="40">
        <f>P31*P14</f>
        <v>8044698.3530830182</v>
      </c>
      <c r="Q37" s="30">
        <f>Q31*Q14</f>
        <v>8872037.1248008255</v>
      </c>
      <c r="R37" s="30">
        <f t="shared" ref="R37:U37" si="382">R31*R14</f>
        <v>12868648.828689963</v>
      </c>
      <c r="S37" s="30">
        <f t="shared" si="382"/>
        <v>12611275.852116164</v>
      </c>
      <c r="T37" s="30">
        <f t="shared" si="382"/>
        <v>5965157.6353500197</v>
      </c>
      <c r="U37" s="30">
        <f t="shared" si="382"/>
        <v>19152157.803330228</v>
      </c>
      <c r="V37" s="30">
        <f>V31*V14</f>
        <v>12236226.89103605</v>
      </c>
      <c r="W37" s="30">
        <f>W31*W14</f>
        <v>3172573.1055447496</v>
      </c>
    </row>
    <row r="38">
      <c r="A38" s="30"/>
      <c r="B38" s="30" t="s">
        <v>552</v>
      </c>
      <c r="C38" s="30">
        <f t="shared" ref="C38:H38" si="383">C32*C14</f>
        <v>5417334.6816669805</v>
      </c>
      <c r="D38" s="30">
        <f t="shared" si="383"/>
        <v>7899096.947000972</v>
      </c>
      <c r="E38" s="30">
        <f t="shared" si="383"/>
        <v>7741115.0080609517</v>
      </c>
      <c r="F38" s="30">
        <f t="shared" si="383"/>
        <v>3578123.286029344</v>
      </c>
      <c r="G38" s="30">
        <f t="shared" si="383"/>
        <v>12899202.033932226</v>
      </c>
      <c r="H38" s="30">
        <f t="shared" si="383"/>
        <v>7921952.2262851037</v>
      </c>
      <c r="I38" s="30">
        <f t="shared" ref="I38:O38" si="384">I32*I14</f>
        <v>1611732.4252741716</v>
      </c>
      <c r="J38" s="39">
        <f t="shared" si="384"/>
        <v>12810557.61528815</v>
      </c>
      <c r="K38" s="30">
        <f t="shared" si="384"/>
        <v>19060475.702033453</v>
      </c>
      <c r="L38" s="30">
        <f t="shared" si="384"/>
        <v>18679266.187992781</v>
      </c>
      <c r="M38" s="30">
        <f t="shared" si="384"/>
        <v>7849082.7276995359</v>
      </c>
      <c r="N38" s="30">
        <f t="shared" si="384"/>
        <v>29354079.769052796</v>
      </c>
      <c r="O38" s="30">
        <f t="shared" si="384"/>
        <v>17509487.065705471</v>
      </c>
      <c r="P38" s="40">
        <f t="shared" ref="P38:V38" si="385">P32*P14</f>
        <v>7746271.2888834262</v>
      </c>
      <c r="Q38" s="30">
        <f t="shared" si="385"/>
        <v>8443131.6042096075</v>
      </c>
      <c r="R38" s="30">
        <f t="shared" si="385"/>
        <v>12435410.929102875</v>
      </c>
      <c r="S38" s="30">
        <f t="shared" si="385"/>
        <v>12186702.710520819</v>
      </c>
      <c r="T38" s="30">
        <f t="shared" si="385"/>
        <v>5363732.3194641648</v>
      </c>
      <c r="U38" s="30">
        <f t="shared" si="385"/>
        <v>18761117.536882784</v>
      </c>
      <c r="V38" s="30">
        <f t="shared" si="385"/>
        <v>11986393.035607498</v>
      </c>
      <c r="W38" s="30">
        <f>W32*W14</f>
        <v>3054882.9652446532</v>
      </c>
    </row>
    <row r="39">
      <c r="A39" s="30"/>
      <c r="B39" s="30" t="s">
        <v>553</v>
      </c>
      <c r="C39" s="30">
        <f t="shared" ref="C39:H39" si="386">C33*C14</f>
        <v>4788281.1528467648</v>
      </c>
      <c r="D39" s="30">
        <f t="shared" si="386"/>
        <v>7270043.4181807544</v>
      </c>
      <c r="E39" s="30">
        <f t="shared" si="386"/>
        <v>7124642.5498171393</v>
      </c>
      <c r="F39" s="30">
        <f t="shared" si="386"/>
        <v>2569070.5741474801</v>
      </c>
      <c r="G39" s="30">
        <f t="shared" si="386"/>
        <v>12284634.690431716</v>
      </c>
      <c r="H39" s="30">
        <f t="shared" si="386"/>
        <v>7544520.1089929733</v>
      </c>
      <c r="I39" s="30">
        <f t="shared" ref="I39:O39" si="387">I33*I14</f>
        <v>1469799.7772248827</v>
      </c>
      <c r="J39" s="39">
        <f t="shared" si="387"/>
        <v>11323013.103533529</v>
      </c>
      <c r="K39" s="30">
        <f t="shared" si="387"/>
        <v>17542573.139018524</v>
      </c>
      <c r="L39" s="30">
        <f t="shared" si="387"/>
        <v>17191721.676238157</v>
      </c>
      <c r="M39" s="30">
        <f t="shared" si="387"/>
        <v>5635593.2587664183</v>
      </c>
      <c r="N39" s="30">
        <f t="shared" si="387"/>
        <v>28097317.382925592</v>
      </c>
      <c r="O39" s="30">
        <f t="shared" si="387"/>
        <v>16759837.786365466</v>
      </c>
      <c r="P39" s="40">
        <f t="shared" ref="P39:V39" si="388">P33*P14</f>
        <v>7064117.8623601766</v>
      </c>
      <c r="Q39" s="30">
        <f t="shared" si="388"/>
        <v>7462726.6556478506</v>
      </c>
      <c r="R39" s="30">
        <f t="shared" si="388"/>
        <v>11445102.900252614</v>
      </c>
      <c r="S39" s="30">
        <f t="shared" si="388"/>
        <v>11216200.842247562</v>
      </c>
      <c r="T39" s="30">
        <f t="shared" si="388"/>
        <v>3851126.9087183117</v>
      </c>
      <c r="U39" s="30">
        <f t="shared" si="388"/>
        <v>17867266.108289566</v>
      </c>
      <c r="V39" s="30">
        <f t="shared" si="388"/>
        <v>11415315.405637179</v>
      </c>
      <c r="W39" s="30">
        <f>W33*W14</f>
        <v>2785863.355079473</v>
      </c>
    </row>
    <row r="41">
      <c r="A41" t="s">
        <v>772</v>
      </c>
      <c r="B41" s="10" t="s">
        <v>773</v>
      </c>
    </row>
    <row r="42">
      <c r="B42" s="10" t="s">
        <v>550</v>
      </c>
      <c r="H42">
        <f>Reconversion!F94/Utilization!H30</f>
        <v>0.1451564511289839</v>
      </c>
      <c r="O42">
        <f>Reconversion!J94/Utilization!O30</f>
        <v>0.19038885020577523</v>
      </c>
      <c r="V42">
        <f>Reconversion!N94/Utilization!V30</f>
        <v>0.1616574197348952</v>
      </c>
    </row>
    <row r="43">
      <c r="H43">
        <f>Reconversion!F95/Utilization!H31</f>
        <v>0.14515645112898384</v>
      </c>
      <c r="O43">
        <f>Reconversion!J95/Utilization!O31</f>
        <v>0.19038885020577523</v>
      </c>
      <c r="V43">
        <f>Reconversion!N95/Utilization!V31</f>
        <v>0.1616574197348952</v>
      </c>
    </row>
    <row r="44">
      <c r="H44">
        <f>Reconversion!F96/Utilization!H32</f>
        <v>0.14515645112898387</v>
      </c>
      <c r="O44">
        <f>Reconversion!J96/Utilization!O32</f>
        <v>0.1903888502057752</v>
      </c>
      <c r="V44">
        <f>Reconversion!N96/Utilization!V32</f>
        <v>0.1616574197348952</v>
      </c>
    </row>
    <row r="45">
      <c r="H45">
        <f>Reconversion!F97/Utilization!H33</f>
        <v>0.14515645112898387</v>
      </c>
      <c r="O45">
        <f>Reconversion!J97/Utilization!O33</f>
        <v>0.19038885020577526</v>
      </c>
      <c r="V45">
        <f>Reconversion!N97/Utilization!V33</f>
        <v>0.1616574197348952</v>
      </c>
    </row>
    <row r="47">
      <c r="A47" t="s">
        <v>774</v>
      </c>
      <c r="B47" s="10" t="s">
        <v>775</v>
      </c>
    </row>
    <row r="48">
      <c r="B48" s="10" t="s">
        <v>550</v>
      </c>
      <c r="H48">
        <f>H42*values!C79</f>
        <v>0.1451564511289839</v>
      </c>
      <c r="O48">
        <f>O42*values!E79</f>
        <v>0.038077770041155048</v>
      </c>
      <c r="V48">
        <f>V42*values!D79</f>
        <v>0.10238303249876696</v>
      </c>
    </row>
    <row r="49">
      <c r="H49">
        <f>H43*values!C79</f>
        <v>0.14515645112898384</v>
      </c>
      <c r="O49">
        <f>O43*values!E79</f>
        <v>0.038077770041155048</v>
      </c>
      <c r="V49">
        <f>V43*values!D79</f>
        <v>0.10238303249876696</v>
      </c>
    </row>
    <row r="50">
      <c r="H50">
        <f>H44*values!C79</f>
        <v>0.14515645112898387</v>
      </c>
      <c r="O50">
        <f>O44*values!E79</f>
        <v>0.038077770041155042</v>
      </c>
      <c r="V50">
        <f>V44*values!D79</f>
        <v>0.10238303249876696</v>
      </c>
    </row>
    <row r="51">
      <c r="H51">
        <f>H45*values!C79</f>
        <v>0.14515645112898387</v>
      </c>
      <c r="O51">
        <f>O45*values!E79</f>
        <v>0.038077770041155055</v>
      </c>
      <c r="V51">
        <f>V45*values!D79</f>
        <v>0.10238303249876696</v>
      </c>
    </row>
    <row r="53">
      <c r="A53" t="s">
        <v>776</v>
      </c>
      <c r="B53" t="s">
        <v>773</v>
      </c>
    </row>
    <row r="54">
      <c r="H54">
        <f>H42*(values!C64/values!C78)</f>
        <v>0.53202742467795183</v>
      </c>
      <c r="O54">
        <f>O42*(values!C64/values!C78)</f>
        <v>0.69781321377420735</v>
      </c>
      <c r="V54">
        <f>V42*(values!C64/values!C78)</f>
        <v>0.59250677481233793</v>
      </c>
    </row>
    <row r="55">
      <c r="H55">
        <f>H43*(values!C64/values!C78)</f>
        <v>0.53202742467795161</v>
      </c>
      <c r="O55">
        <f>O43*(values!C64/values!C78)</f>
        <v>0.69781321377420735</v>
      </c>
      <c r="V55">
        <f>V43*(values!C64/values!C78)</f>
        <v>0.59250677481233793</v>
      </c>
    </row>
    <row r="56">
      <c r="H56">
        <f>H44*(values!C64/values!C78)</f>
        <v>0.53202742467795172</v>
      </c>
      <c r="O56">
        <f>O44*(values!C64/values!C78)</f>
        <v>0.69781321377420724</v>
      </c>
      <c r="V56">
        <f>V44*(values!C64/values!C78)</f>
        <v>0.59250677481233793</v>
      </c>
    </row>
    <row r="57">
      <c r="H57">
        <f>H45*(values!C64/values!C78)</f>
        <v>0.53202742467795172</v>
      </c>
      <c r="O57">
        <f>O45*(values!C64/values!C78)</f>
        <v>0.69781321377420746</v>
      </c>
      <c r="V57">
        <f>V45*(values!C64/values!C78)</f>
        <v>0.59250677481233793</v>
      </c>
    </row>
    <row r="59">
      <c r="A59" t="s">
        <v>777</v>
      </c>
      <c r="B59" t="s">
        <v>778</v>
      </c>
    </row>
    <row r="60">
      <c r="H60">
        <f>H54*assumptions!C25</f>
        <v>0.14149665549945528</v>
      </c>
      <c r="O60">
        <f>O54*assumptions!E25</f>
        <v>0.022270634482155553</v>
      </c>
      <c r="V60">
        <f>V54*assumptions!D25</f>
        <v>0.088245689865667346</v>
      </c>
    </row>
    <row r="61">
      <c r="H61">
        <f>H55*assumptions!C25</f>
        <v>0.14149665549945523</v>
      </c>
      <c r="O61">
        <f>O55*assumptions!E25</f>
        <v>0.022270634482155553</v>
      </c>
      <c r="V61">
        <f>V55*assumptions!D25</f>
        <v>0.088245689865667346</v>
      </c>
    </row>
    <row r="62">
      <c r="H62">
        <f>H56*assumptions!C25</f>
        <v>0.14149665549945525</v>
      </c>
      <c r="O62">
        <f>O56*assumptions!E25</f>
        <v>0.022270634482155549</v>
      </c>
      <c r="V62">
        <f>V56*assumptions!D25</f>
        <v>0.088245689865667346</v>
      </c>
    </row>
    <row r="63">
      <c r="H63">
        <f>H57*assumptions!C25</f>
        <v>0.14149665549945525</v>
      </c>
      <c r="O63">
        <f>O57*assumptions!E25</f>
        <v>0.022270634482155556</v>
      </c>
      <c r="V63">
        <f>V57*assumptions!D25</f>
        <v>0.088245689865667346</v>
      </c>
    </row>
  </sheetData>
  <mergeCells count="3">
    <mergeCell ref="C1:I1"/>
    <mergeCell ref="J1:P1"/>
    <mergeCell ref="Q1:W1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pane ySplit="1" topLeftCell="A2" activePane="bottomLeft" state="frozen"/>
      <selection activeCell="O175" activeCellId="0" sqref="O175"/>
    </sheetView>
  </sheetViews>
  <sheetFormatPr baseColWidth="10" defaultColWidth="10.6640625" defaultRowHeight="14.25"/>
  <cols>
    <col customWidth="1" min="1" max="1" style="65" width="17"/>
    <col min="2" max="4" style="65" width="10.6640625"/>
    <col bestFit="1" customWidth="1" min="5" max="6" style="66" width="11.6640625"/>
    <col customWidth="1" min="7" max="8" style="66" width="13.6640625"/>
    <col bestFit="1" customWidth="1" min="9" max="11" style="66" width="11.6640625"/>
    <col bestFit="1" customWidth="1" min="12" max="12" style="65" width="11.6640625"/>
    <col min="13" max="13" style="65" width="10.6640625"/>
    <col bestFit="1" customWidth="1" min="14" max="25" style="65" width="11.6640625"/>
    <col min="26" max="16384" style="65" width="10.6640625"/>
  </cols>
  <sheetData>
    <row r="1">
      <c r="D1" s="65" t="s">
        <v>0</v>
      </c>
      <c r="E1" s="66" t="s">
        <v>147</v>
      </c>
      <c r="F1" s="66" t="s">
        <v>215</v>
      </c>
      <c r="G1" s="66" t="s">
        <v>779</v>
      </c>
      <c r="H1" s="66" t="s">
        <v>191</v>
      </c>
      <c r="I1" s="66" t="s">
        <v>255</v>
      </c>
      <c r="J1" s="66" t="s">
        <v>760</v>
      </c>
      <c r="K1" s="66" t="s">
        <v>558</v>
      </c>
      <c r="L1" s="67" t="s">
        <v>147</v>
      </c>
      <c r="M1" s="67" t="s">
        <v>215</v>
      </c>
      <c r="N1" s="67" t="s">
        <v>779</v>
      </c>
      <c r="O1" s="67" t="s">
        <v>191</v>
      </c>
      <c r="P1" s="67" t="s">
        <v>255</v>
      </c>
      <c r="Q1" s="67" t="s">
        <v>760</v>
      </c>
      <c r="R1" s="67" t="s">
        <v>558</v>
      </c>
      <c r="S1" s="68" t="s">
        <v>147</v>
      </c>
      <c r="T1" s="68" t="s">
        <v>215</v>
      </c>
      <c r="U1" s="68" t="s">
        <v>779</v>
      </c>
      <c r="V1" s="68" t="s">
        <v>191</v>
      </c>
      <c r="W1" s="68" t="s">
        <v>255</v>
      </c>
      <c r="X1" s="68" t="s">
        <v>760</v>
      </c>
      <c r="Y1" s="68" t="s">
        <v>558</v>
      </c>
    </row>
    <row r="2">
      <c r="A2" s="69" t="s">
        <v>780</v>
      </c>
      <c r="B2" s="70" t="s">
        <v>781</v>
      </c>
      <c r="C2" s="70" t="s">
        <v>550</v>
      </c>
      <c r="D2" s="70"/>
      <c r="E2" s="71">
        <f>Elektrolyser!C35</f>
        <v>519153377.48344368</v>
      </c>
      <c r="F2" s="71">
        <f>Elektrolyser!D35</f>
        <v>851835337.74834442</v>
      </c>
      <c r="G2" s="71">
        <f t="shared" ref="G2:G19" si="389">F2</f>
        <v>851835337.74834442</v>
      </c>
      <c r="H2" s="71">
        <f>Elektrolyser!E35</f>
        <v>382887976.68874168</v>
      </c>
      <c r="I2" s="71">
        <f>Elektrolyser!F35</f>
        <v>1547140619.9883022</v>
      </c>
      <c r="J2" s="71">
        <f t="shared" ref="J2:J65" si="390">I2</f>
        <v>1547140619.9883022</v>
      </c>
      <c r="K2" s="71">
        <f>Elektrolyser!G35</f>
        <v>353894926.41059595</v>
      </c>
      <c r="L2" s="72">
        <f>Elektrolyser!H35</f>
        <v>612438750</v>
      </c>
      <c r="M2" s="72">
        <f>Elektrolyser!I35</f>
        <v>1004899500</v>
      </c>
      <c r="N2" s="72">
        <f t="shared" ref="N2:N33" si="391">M2</f>
        <v>1004899500</v>
      </c>
      <c r="O2" s="72">
        <f>Elektrolyser!J35</f>
        <v>451688159.99999994</v>
      </c>
      <c r="P2" s="72">
        <f>Elektrolyser!K35</f>
        <v>1898148148.1481481</v>
      </c>
      <c r="Q2" s="72">
        <f t="shared" ref="Q2:Q65" si="392">P2</f>
        <v>1898148148.1481481</v>
      </c>
      <c r="R2" s="72">
        <f>Elektrolyser!L35</f>
        <v>417485420.99999994</v>
      </c>
      <c r="S2" s="73">
        <f>Elektrolyser!M35</f>
        <v>557730782.60869575</v>
      </c>
      <c r="T2" s="73">
        <f>Elektrolyser!N35</f>
        <v>915133773.9130435</v>
      </c>
      <c r="U2" s="73">
        <f t="shared" ref="U2:U18" si="393">T2</f>
        <v>915133773.9130435</v>
      </c>
      <c r="V2" s="73">
        <f>Elektrolyser!O35</f>
        <v>411339731.47826087</v>
      </c>
      <c r="W2" s="73">
        <f>Elektrolyser!P35</f>
        <v>1691012201.4091773</v>
      </c>
      <c r="X2" s="73">
        <f t="shared" ref="X2:X65" si="394">W2</f>
        <v>1691012201.4091773</v>
      </c>
      <c r="Y2" s="74">
        <f>Elektrolyser!Q35</f>
        <v>380192256.91067195</v>
      </c>
    </row>
    <row r="3">
      <c r="A3" s="75"/>
      <c r="C3" s="65" t="s">
        <v>551</v>
      </c>
      <c r="D3" s="65" t="s">
        <v>555</v>
      </c>
      <c r="E3" s="66">
        <f>Elektrolyser!C36</f>
        <v>502738034.43708611</v>
      </c>
      <c r="F3" s="66">
        <f>Elektrolyser!D36</f>
        <v>832896451.38828313</v>
      </c>
      <c r="G3" s="66">
        <f t="shared" si="389"/>
        <v>832896451.38828313</v>
      </c>
      <c r="H3" s="66">
        <f>Elektrolyser!E36</f>
        <v>354985994.34172183</v>
      </c>
      <c r="I3" s="66">
        <f>Elektrolyser!F36</f>
        <v>1526095308.3904076</v>
      </c>
      <c r="J3" s="66">
        <f t="shared" si="390"/>
        <v>1526095308.3904076</v>
      </c>
      <c r="K3" s="66">
        <f>Elektrolyser!G36</f>
        <v>345244740.37608826</v>
      </c>
      <c r="L3" s="67">
        <f>Elektrolyser!H36</f>
        <v>593073775</v>
      </c>
      <c r="M3" s="67">
        <f>Elektrolyser!I36</f>
        <v>982557532.49711525</v>
      </c>
      <c r="N3" s="67">
        <f t="shared" si="391"/>
        <v>982557532.49711525</v>
      </c>
      <c r="O3" s="67">
        <f>Elektrolyser!J36</f>
        <v>418772540.19999999</v>
      </c>
      <c r="P3" s="67">
        <f>Elektrolyser!K36</f>
        <v>1868142937.4715116</v>
      </c>
      <c r="Q3" s="67">
        <f t="shared" si="392"/>
        <v>1868142937.4715116</v>
      </c>
      <c r="R3" s="67">
        <f>Elektrolyser!L36</f>
        <v>407280904.66241658</v>
      </c>
      <c r="S3" s="68">
        <f>Elektrolyser!M36</f>
        <v>540095643.32015812</v>
      </c>
      <c r="T3" s="68">
        <f>Elektrolyser!N36</f>
        <v>894787571.09618723</v>
      </c>
      <c r="U3" s="68">
        <f t="shared" si="393"/>
        <v>894787571.09618723</v>
      </c>
      <c r="V3" s="68">
        <f>Elektrolyser!O36</f>
        <v>381364400.24537551</v>
      </c>
      <c r="W3" s="68">
        <f>Elektrolyser!P36</f>
        <v>1668009845.8154323</v>
      </c>
      <c r="X3" s="68">
        <f t="shared" si="394"/>
        <v>1668009845.8154323</v>
      </c>
      <c r="Y3" s="76">
        <f>Elektrolyser!Q36</f>
        <v>370899290.25383711</v>
      </c>
    </row>
    <row r="4">
      <c r="A4" s="75"/>
      <c r="C4" s="65" t="s">
        <v>552</v>
      </c>
      <c r="D4" s="65" t="s">
        <v>555</v>
      </c>
      <c r="E4" s="66">
        <f>Elektrolyser!C37</f>
        <v>478433907.2847681</v>
      </c>
      <c r="F4" s="66">
        <f>Elektrolyser!D37</f>
        <v>804856032.07335711</v>
      </c>
      <c r="G4" s="66">
        <f t="shared" si="389"/>
        <v>804856032.07335711</v>
      </c>
      <c r="H4" s="66">
        <f>Elektrolyser!E37</f>
        <v>319195227.88874167</v>
      </c>
      <c r="I4" s="66">
        <f>Elektrolyser!F37</f>
        <v>1494936171.0156415</v>
      </c>
      <c r="J4" s="66">
        <f t="shared" si="390"/>
        <v>1494936171.0156415</v>
      </c>
      <c r="K4" s="66">
        <f>Elektrolyser!G37</f>
        <v>332437501.39971304</v>
      </c>
      <c r="L4" s="67">
        <f>Elektrolyser!H37</f>
        <v>564402499.99999988</v>
      </c>
      <c r="M4" s="67">
        <f>Elektrolyser!I37</f>
        <v>949478600.33653843</v>
      </c>
      <c r="N4" s="67">
        <f t="shared" si="391"/>
        <v>949478600.33653843</v>
      </c>
      <c r="O4" s="67">
        <f>Elektrolyser!J37</f>
        <v>376550620.39999992</v>
      </c>
      <c r="P4" s="67">
        <f>Elektrolyser!K37</f>
        <v>1832721359.2282832</v>
      </c>
      <c r="Q4" s="67">
        <f t="shared" si="392"/>
        <v>1832721359.2282832</v>
      </c>
      <c r="R4" s="67">
        <f>Elektrolyser!L37</f>
        <v>392172364.93247396</v>
      </c>
      <c r="S4" s="68">
        <f>Elektrolyser!M37</f>
        <v>513985517.78656119</v>
      </c>
      <c r="T4" s="68">
        <f>Elektrolyser!N37</f>
        <v>864663515.87959874</v>
      </c>
      <c r="U4" s="68">
        <f t="shared" si="393"/>
        <v>864663515.87959874</v>
      </c>
      <c r="V4" s="68">
        <f>Elektrolyser!O37</f>
        <v>342914082.76743078</v>
      </c>
      <c r="W4" s="68">
        <f>Elektrolyser!P37</f>
        <v>1633953160.336828</v>
      </c>
      <c r="X4" s="68">
        <f t="shared" si="394"/>
        <v>1633953160.336828</v>
      </c>
      <c r="Y4" s="76">
        <f>Elektrolyser!Q37</f>
        <v>357140367.11637157</v>
      </c>
    </row>
    <row r="5">
      <c r="A5" s="75"/>
      <c r="C5" s="65" t="s">
        <v>553</v>
      </c>
      <c r="D5" s="65" t="s">
        <v>555</v>
      </c>
      <c r="E5" s="66">
        <f>Elektrolyser!C38</f>
        <v>422878813.24503309</v>
      </c>
      <c r="F5" s="66">
        <f>Elektrolyser!D38</f>
        <v>740760410.69220567</v>
      </c>
      <c r="G5" s="66">
        <f t="shared" si="389"/>
        <v>740760410.69220567</v>
      </c>
      <c r="H5" s="66">
        <f>Elektrolyser!E38</f>
        <v>229180215.94701985</v>
      </c>
      <c r="I5" s="66">
        <f>Elektrolyser!F38</f>
        <v>1423711691.4775195</v>
      </c>
      <c r="J5" s="66">
        <f t="shared" si="390"/>
        <v>1423711691.4775195</v>
      </c>
      <c r="K5" s="66">
        <f>Elektrolyser!G38</f>
        <v>303162335.03546745</v>
      </c>
      <c r="L5" s="67">
        <f>Elektrolyser!H38</f>
        <v>498864850</v>
      </c>
      <c r="M5" s="67">
        <f>Elektrolyser!I38</f>
        <v>873865796.98846138</v>
      </c>
      <c r="N5" s="67">
        <f t="shared" si="391"/>
        <v>873865796.98846138</v>
      </c>
      <c r="O5" s="67">
        <f>Elektrolyser!J38</f>
        <v>270361036</v>
      </c>
      <c r="P5" s="67">
        <f>Elektrolyser!K38</f>
        <v>1754255425.8162498</v>
      </c>
      <c r="Q5" s="67">
        <f t="shared" si="392"/>
        <v>1754255425.8162498</v>
      </c>
      <c r="R5" s="67">
        <f>Elektrolyser!L38</f>
        <v>357636817.11215299</v>
      </c>
      <c r="S5" s="68">
        <f>Elektrolyser!M38</f>
        <v>454302219.13043481</v>
      </c>
      <c r="T5" s="68">
        <f>Elektrolyser!N38</f>
        <v>795805057.81083596</v>
      </c>
      <c r="U5" s="68">
        <f t="shared" si="393"/>
        <v>795805057.81083596</v>
      </c>
      <c r="V5" s="68">
        <f>Elektrolyser!O38</f>
        <v>246210208.27826089</v>
      </c>
      <c r="W5" s="68">
        <f>Elektrolyser!P38</f>
        <v>1556105379.4810107</v>
      </c>
      <c r="X5" s="68">
        <f t="shared" si="394"/>
        <v>1556105379.4810107</v>
      </c>
      <c r="Y5" s="76">
        <f>Elektrolyser!Q38</f>
        <v>325689812.89581048</v>
      </c>
    </row>
    <row r="6">
      <c r="A6" s="75"/>
      <c r="B6" s="65" t="s">
        <v>782</v>
      </c>
      <c r="C6" s="65" t="s">
        <v>550</v>
      </c>
      <c r="E6" s="66">
        <v>0</v>
      </c>
      <c r="F6" s="66">
        <v>0</v>
      </c>
      <c r="G6" s="66">
        <v>0</v>
      </c>
      <c r="H6" s="66">
        <v>0</v>
      </c>
      <c r="I6" s="66">
        <v>0</v>
      </c>
      <c r="J6" s="66">
        <v>0</v>
      </c>
      <c r="K6" s="66">
        <v>0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67">
        <v>0</v>
      </c>
      <c r="R6" s="67">
        <v>0</v>
      </c>
      <c r="S6" s="68">
        <v>0</v>
      </c>
      <c r="T6" s="68">
        <v>0</v>
      </c>
      <c r="U6" s="68">
        <v>0</v>
      </c>
      <c r="V6" s="68">
        <v>0</v>
      </c>
      <c r="W6" s="68">
        <v>0</v>
      </c>
      <c r="X6" s="68">
        <v>0</v>
      </c>
      <c r="Y6" s="76">
        <v>0</v>
      </c>
    </row>
    <row r="7">
      <c r="A7" s="75"/>
      <c r="C7" s="65" t="s">
        <v>551</v>
      </c>
      <c r="D7" s="65" t="s">
        <v>555</v>
      </c>
      <c r="E7" s="66">
        <v>0</v>
      </c>
      <c r="F7" s="66">
        <v>0</v>
      </c>
      <c r="G7" s="66">
        <f t="shared" si="389"/>
        <v>0</v>
      </c>
      <c r="H7" s="66">
        <v>0</v>
      </c>
      <c r="I7" s="66">
        <v>0</v>
      </c>
      <c r="J7" s="66">
        <f t="shared" si="390"/>
        <v>0</v>
      </c>
      <c r="K7" s="66">
        <v>0</v>
      </c>
      <c r="L7" s="67">
        <v>0</v>
      </c>
      <c r="M7" s="67">
        <v>0</v>
      </c>
      <c r="N7" s="67">
        <f t="shared" si="391"/>
        <v>0</v>
      </c>
      <c r="O7" s="67">
        <v>0</v>
      </c>
      <c r="P7" s="67">
        <v>0</v>
      </c>
      <c r="Q7" s="67">
        <f t="shared" si="392"/>
        <v>0</v>
      </c>
      <c r="R7" s="67">
        <v>0</v>
      </c>
      <c r="S7" s="68">
        <v>0</v>
      </c>
      <c r="T7" s="68">
        <v>0</v>
      </c>
      <c r="U7" s="68">
        <f t="shared" si="393"/>
        <v>0</v>
      </c>
      <c r="V7" s="68">
        <v>0</v>
      </c>
      <c r="W7" s="68">
        <v>0</v>
      </c>
      <c r="X7" s="68">
        <f t="shared" si="394"/>
        <v>0</v>
      </c>
      <c r="Y7" s="76">
        <v>0</v>
      </c>
    </row>
    <row r="8">
      <c r="A8" s="75"/>
      <c r="C8" s="65" t="s">
        <v>552</v>
      </c>
      <c r="D8" s="65" t="s">
        <v>555</v>
      </c>
      <c r="E8" s="66">
        <v>0</v>
      </c>
      <c r="F8" s="66">
        <v>0</v>
      </c>
      <c r="G8" s="66">
        <f t="shared" si="389"/>
        <v>0</v>
      </c>
      <c r="H8" s="66">
        <v>0</v>
      </c>
      <c r="I8" s="66">
        <v>0</v>
      </c>
      <c r="J8" s="66">
        <f t="shared" si="390"/>
        <v>0</v>
      </c>
      <c r="K8" s="66">
        <v>0</v>
      </c>
      <c r="L8" s="67">
        <v>0</v>
      </c>
      <c r="M8" s="67">
        <v>0</v>
      </c>
      <c r="N8" s="67">
        <f t="shared" si="391"/>
        <v>0</v>
      </c>
      <c r="O8" s="67">
        <v>0</v>
      </c>
      <c r="P8" s="67">
        <v>0</v>
      </c>
      <c r="Q8" s="67">
        <f t="shared" si="392"/>
        <v>0</v>
      </c>
      <c r="R8" s="67">
        <v>0</v>
      </c>
      <c r="S8" s="68">
        <v>0</v>
      </c>
      <c r="T8" s="68">
        <v>0</v>
      </c>
      <c r="U8" s="68">
        <f t="shared" si="393"/>
        <v>0</v>
      </c>
      <c r="V8" s="68">
        <v>0</v>
      </c>
      <c r="W8" s="68">
        <v>0</v>
      </c>
      <c r="X8" s="68">
        <f t="shared" si="394"/>
        <v>0</v>
      </c>
      <c r="Y8" s="76">
        <v>0</v>
      </c>
    </row>
    <row r="9">
      <c r="A9" s="75"/>
      <c r="C9" s="65" t="s">
        <v>553</v>
      </c>
      <c r="D9" s="65" t="s">
        <v>555</v>
      </c>
      <c r="E9" s="66">
        <v>0</v>
      </c>
      <c r="F9" s="66">
        <v>0</v>
      </c>
      <c r="G9" s="66">
        <f t="shared" si="389"/>
        <v>0</v>
      </c>
      <c r="H9" s="66">
        <v>0</v>
      </c>
      <c r="I9" s="66">
        <v>0</v>
      </c>
      <c r="J9" s="66">
        <f t="shared" si="390"/>
        <v>0</v>
      </c>
      <c r="K9" s="66">
        <v>0</v>
      </c>
      <c r="L9" s="67">
        <v>0</v>
      </c>
      <c r="M9" s="67">
        <v>0</v>
      </c>
      <c r="N9" s="67">
        <f t="shared" si="391"/>
        <v>0</v>
      </c>
      <c r="O9" s="67">
        <v>0</v>
      </c>
      <c r="P9" s="67">
        <v>0</v>
      </c>
      <c r="Q9" s="67">
        <f t="shared" si="392"/>
        <v>0</v>
      </c>
      <c r="R9" s="67">
        <v>0</v>
      </c>
      <c r="S9" s="68">
        <v>0</v>
      </c>
      <c r="T9" s="68">
        <v>0</v>
      </c>
      <c r="U9" s="68">
        <f t="shared" si="393"/>
        <v>0</v>
      </c>
      <c r="V9" s="68">
        <v>0</v>
      </c>
      <c r="W9" s="68">
        <v>0</v>
      </c>
      <c r="X9" s="68">
        <f t="shared" si="394"/>
        <v>0</v>
      </c>
      <c r="Y9" s="76">
        <v>0</v>
      </c>
    </row>
    <row r="10">
      <c r="A10" s="75"/>
      <c r="B10" s="65" t="s">
        <v>783</v>
      </c>
      <c r="C10" s="65" t="s">
        <v>550</v>
      </c>
      <c r="E10" s="66">
        <f>Elektrolyser!C29</f>
        <v>391960800</v>
      </c>
      <c r="F10" s="66">
        <f>Elektrolyser!D29</f>
        <v>643135680</v>
      </c>
      <c r="G10" s="66">
        <f t="shared" si="389"/>
        <v>643135680</v>
      </c>
      <c r="H10" s="66">
        <f>Elektrolyser!E29</f>
        <v>289080422.39999998</v>
      </c>
      <c r="I10" s="66">
        <f>Elektrolyser!F29</f>
        <v>1168091168.0911682</v>
      </c>
      <c r="J10" s="66">
        <f>I10</f>
        <v>1168091168.0911682</v>
      </c>
      <c r="K10" s="66">
        <f>Elektrolyser!G29</f>
        <v>267190669.43999997</v>
      </c>
      <c r="L10" s="67">
        <f>Elektrolyser!H29</f>
        <v>391960800</v>
      </c>
      <c r="M10" s="67">
        <f>Elektrolyser!I29</f>
        <v>643135680</v>
      </c>
      <c r="N10" s="67">
        <f t="shared" si="391"/>
        <v>643135680</v>
      </c>
      <c r="O10" s="67">
        <f>Elektrolyser!J29</f>
        <v>289080422.39999998</v>
      </c>
      <c r="P10" s="67">
        <f>Elektrolyser!K29</f>
        <v>1214814814.8148148</v>
      </c>
      <c r="Q10" s="67">
        <f t="shared" si="392"/>
        <v>1214814814.8148148</v>
      </c>
      <c r="R10" s="67">
        <f>Elektrolyser!L29</f>
        <v>267190669.43999997</v>
      </c>
      <c r="S10" s="68">
        <f>Elektrolyser!M29</f>
        <v>391960800</v>
      </c>
      <c r="T10" s="68">
        <f>Elektrolyser!N29</f>
        <v>643135680</v>
      </c>
      <c r="U10" s="68">
        <f t="shared" si="393"/>
        <v>643135680</v>
      </c>
      <c r="V10" s="68">
        <f>Elektrolyser!O29</f>
        <v>289080422.39999998</v>
      </c>
      <c r="W10" s="68">
        <f>Elektrolyser!P29</f>
        <v>1188405797.1014495</v>
      </c>
      <c r="X10" s="68">
        <f t="shared" si="394"/>
        <v>1188405797.1014495</v>
      </c>
      <c r="Y10" s="76">
        <f>Elektrolyser!Q29</f>
        <v>267190669.43999997</v>
      </c>
    </row>
    <row r="11">
      <c r="A11" s="75"/>
      <c r="C11" s="65" t="s">
        <v>551</v>
      </c>
      <c r="D11" s="65" t="s">
        <v>555</v>
      </c>
      <c r="E11" s="66">
        <f>Elektrolyser!C30</f>
        <v>379567216</v>
      </c>
      <c r="F11" s="66">
        <f>Elektrolyser!D30</f>
        <v>628836820.79815376</v>
      </c>
      <c r="G11" s="66">
        <f t="shared" si="389"/>
        <v>628836820.79815376</v>
      </c>
      <c r="H11" s="66">
        <f>Elektrolyser!E30</f>
        <v>268014425.72799999</v>
      </c>
      <c r="I11" s="66">
        <f>Elektrolyser!F30</f>
        <v>1152201957.8347578</v>
      </c>
      <c r="J11" s="66">
        <f t="shared" si="390"/>
        <v>1152201957.8347578</v>
      </c>
      <c r="K11" s="66">
        <f>Elektrolyser!G30</f>
        <v>260659778.98394662</v>
      </c>
      <c r="L11" s="67">
        <f>Elektrolyser!H30</f>
        <v>379567216</v>
      </c>
      <c r="M11" s="67">
        <f>Elektrolyser!I30</f>
        <v>628836820.79815376</v>
      </c>
      <c r="N11" s="67">
        <f t="shared" si="391"/>
        <v>628836820.79815376</v>
      </c>
      <c r="O11" s="67">
        <f>Elektrolyser!J30</f>
        <v>268014425.72799999</v>
      </c>
      <c r="P11" s="67">
        <f>Elektrolyser!K30</f>
        <v>1195611479.9817674</v>
      </c>
      <c r="Q11" s="67">
        <f t="shared" si="392"/>
        <v>1195611479.9817674</v>
      </c>
      <c r="R11" s="67">
        <f>Elektrolyser!L30</f>
        <v>260659778.98394662</v>
      </c>
      <c r="S11" s="68">
        <f>Elektrolyser!M30</f>
        <v>379567216</v>
      </c>
      <c r="T11" s="68">
        <f>Elektrolyser!N30</f>
        <v>628836820.79815376</v>
      </c>
      <c r="U11" s="68">
        <f t="shared" si="393"/>
        <v>628836820.79815376</v>
      </c>
      <c r="V11" s="68">
        <f>Elektrolyser!O30</f>
        <v>268014425.72799999</v>
      </c>
      <c r="W11" s="68">
        <f>Elektrolyser!P30</f>
        <v>1172240252.7536232</v>
      </c>
      <c r="X11" s="68">
        <f t="shared" si="394"/>
        <v>1172240252.7536232</v>
      </c>
      <c r="Y11" s="76">
        <f>Elektrolyser!Q30</f>
        <v>260659778.98394662</v>
      </c>
    </row>
    <row r="12">
      <c r="A12" s="75"/>
      <c r="C12" s="65" t="s">
        <v>552</v>
      </c>
      <c r="D12" s="65" t="s">
        <v>555</v>
      </c>
      <c r="E12" s="66">
        <f>Elektrolyser!C31</f>
        <v>361217599.99999994</v>
      </c>
      <c r="F12" s="66">
        <f>Elektrolyser!D31</f>
        <v>607666304.2153846</v>
      </c>
      <c r="G12" s="66">
        <f t="shared" si="389"/>
        <v>607666304.2153846</v>
      </c>
      <c r="H12" s="66">
        <f>Elektrolyser!E31</f>
        <v>240992397.05599996</v>
      </c>
      <c r="I12" s="66">
        <f>Elektrolyser!F31</f>
        <v>1128676809.1168094</v>
      </c>
      <c r="J12" s="66">
        <f t="shared" si="390"/>
        <v>1128676809.1168094</v>
      </c>
      <c r="K12" s="66">
        <f>Elektrolyser!G31</f>
        <v>250990313.55678335</v>
      </c>
      <c r="L12" s="67">
        <f>Elektrolyser!H31</f>
        <v>361217599.99999994</v>
      </c>
      <c r="M12" s="67">
        <f>Elektrolyser!I31</f>
        <v>607666304.2153846</v>
      </c>
      <c r="N12" s="67">
        <f t="shared" si="391"/>
        <v>607666304.2153846</v>
      </c>
      <c r="O12" s="67">
        <f>Elektrolyser!J31</f>
        <v>240992397.05599996</v>
      </c>
      <c r="P12" s="67">
        <f>Elektrolyser!K31</f>
        <v>1172941669.9061012</v>
      </c>
      <c r="Q12" s="67">
        <f t="shared" si="392"/>
        <v>1172941669.9061012</v>
      </c>
      <c r="R12" s="67">
        <f>Elektrolyser!L31</f>
        <v>250990313.55678335</v>
      </c>
      <c r="S12" s="68">
        <f>Elektrolyser!M31</f>
        <v>361217599.99999994</v>
      </c>
      <c r="T12" s="68">
        <f>Elektrolyser!N31</f>
        <v>607666304.2153846</v>
      </c>
      <c r="U12" s="68">
        <f t="shared" si="393"/>
        <v>607666304.2153846</v>
      </c>
      <c r="V12" s="68">
        <f>Elektrolyser!O31</f>
        <v>240992397.05599996</v>
      </c>
      <c r="W12" s="68">
        <f>Elektrolyser!P31</f>
        <v>1148305971.014493</v>
      </c>
      <c r="X12" s="68">
        <f t="shared" si="394"/>
        <v>1148305971.014493</v>
      </c>
      <c r="Y12" s="76">
        <f>Elektrolyser!Q31</f>
        <v>250990313.55678335</v>
      </c>
    </row>
    <row r="13">
      <c r="A13" s="75"/>
      <c r="C13" s="65" t="s">
        <v>553</v>
      </c>
      <c r="D13" s="65" t="s">
        <v>555</v>
      </c>
      <c r="E13" s="66">
        <f>Elektrolyser!C32</f>
        <v>319273504</v>
      </c>
      <c r="F13" s="66">
        <f>Elektrolyser!D32</f>
        <v>559274110.07261527</v>
      </c>
      <c r="G13" s="66">
        <f t="shared" si="389"/>
        <v>559274110.07261527</v>
      </c>
      <c r="H13" s="66">
        <f>Elektrolyser!E32</f>
        <v>173031063.03999999</v>
      </c>
      <c r="I13" s="66">
        <f>Elektrolyser!F32</f>
        <v>1074902327.0655272</v>
      </c>
      <c r="J13" s="66">
        <f t="shared" si="390"/>
        <v>1074902327.0655272</v>
      </c>
      <c r="K13" s="66">
        <f>Elektrolyser!G32</f>
        <v>228887562.95177791</v>
      </c>
      <c r="L13" s="67">
        <f>Elektrolyser!H32</f>
        <v>319273504</v>
      </c>
      <c r="M13" s="67">
        <f>Elektrolyser!I32</f>
        <v>559274110.07261527</v>
      </c>
      <c r="N13" s="67">
        <f t="shared" si="391"/>
        <v>559274110.07261527</v>
      </c>
      <c r="O13" s="67">
        <f>Elektrolyser!J32</f>
        <v>173031063.03999999</v>
      </c>
      <c r="P13" s="67">
        <f>Elektrolyser!K32</f>
        <v>1122723472.5223999</v>
      </c>
      <c r="Q13" s="67">
        <f t="shared" si="392"/>
        <v>1122723472.5223999</v>
      </c>
      <c r="R13" s="67">
        <f>Elektrolyser!L32</f>
        <v>228887562.95177791</v>
      </c>
      <c r="S13" s="68">
        <f>Elektrolyser!M32</f>
        <v>319273504</v>
      </c>
      <c r="T13" s="68">
        <f>Elektrolyser!N32</f>
        <v>559274110.07261527</v>
      </c>
      <c r="U13" s="68">
        <f t="shared" si="393"/>
        <v>559274110.07261527</v>
      </c>
      <c r="V13" s="68">
        <f>Elektrolyser!O32</f>
        <v>173031063.03999999</v>
      </c>
      <c r="W13" s="68">
        <f>Elektrolyser!P32</f>
        <v>1093596280.5797102</v>
      </c>
      <c r="X13" s="68">
        <f t="shared" si="394"/>
        <v>1093596280.5797102</v>
      </c>
      <c r="Y13" s="76">
        <f>Elektrolyser!Q32</f>
        <v>228887562.95177791</v>
      </c>
    </row>
    <row r="14">
      <c r="A14" s="75"/>
      <c r="B14" s="65" t="s">
        <v>784</v>
      </c>
      <c r="C14" s="65" t="s">
        <v>550</v>
      </c>
      <c r="E14" s="66">
        <f>Elektrolyser!C41</f>
        <v>10568105.555456104</v>
      </c>
      <c r="F14" s="66">
        <f>Elektrolyser!D41</f>
        <v>17340320.13589124</v>
      </c>
      <c r="G14" s="66">
        <f>F14</f>
        <v>17340320.13589124</v>
      </c>
      <c r="H14" s="66">
        <f>Elektrolyser!E41</f>
        <v>7794229.4687097212</v>
      </c>
      <c r="I14" s="66">
        <f>Elektrolyser!F41</f>
        <v>31494248.309482697</v>
      </c>
      <c r="J14" s="66">
        <f>I14</f>
        <v>31494248.309482697</v>
      </c>
      <c r="K14" s="66">
        <f>Elektrolyser!G41</f>
        <v>7204034.6842717417</v>
      </c>
      <c r="L14" s="67">
        <f>Elektrolyser!H41</f>
        <v>88385084.143506989</v>
      </c>
      <c r="M14" s="67">
        <f>Elektrolyser!I41</f>
        <v>145023689.08444822</v>
      </c>
      <c r="N14" s="67">
        <f t="shared" si="391"/>
        <v>145023689.08444822</v>
      </c>
      <c r="O14" s="67">
        <f>Elektrolyser!J41</f>
        <v>65186103.962601729</v>
      </c>
      <c r="P14" s="67">
        <f>Elektrolyser!K41</f>
        <v>273934305.74227393</v>
      </c>
      <c r="Q14" s="67">
        <f t="shared" si="392"/>
        <v>273934305.74227393</v>
      </c>
      <c r="R14" s="67">
        <f>Elektrolyser!L41</f>
        <v>60250080.622384593</v>
      </c>
      <c r="S14" s="68">
        <f>Elektrolyser!M41</f>
        <v>36197234.415400952</v>
      </c>
      <c r="T14" s="68">
        <f>Elektrolyser!N41</f>
        <v>59393013.204045646</v>
      </c>
      <c r="U14" s="68">
        <f t="shared" si="393"/>
        <v>59393013.204045646</v>
      </c>
      <c r="V14" s="68">
        <f>Elektrolyser!O41</f>
        <v>26696322.220272854</v>
      </c>
      <c r="W14" s="68">
        <f>Elektrolyser!P41</f>
        <v>109748227.93070786</v>
      </c>
      <c r="X14" s="68">
        <f t="shared" si="394"/>
        <v>109748227.93070786</v>
      </c>
      <c r="Y14" s="76">
        <f>Elektrolyser!Q41</f>
        <v>24674822.827506188</v>
      </c>
    </row>
    <row r="15">
      <c r="A15" s="75"/>
      <c r="C15" s="65" t="s">
        <v>551</v>
      </c>
      <c r="D15" s="65" t="s">
        <v>785</v>
      </c>
      <c r="E15" s="66">
        <f>Elektrolyser!C42</f>
        <v>10233947.894990027</v>
      </c>
      <c r="F15" s="66">
        <f>Elektrolyser!D42</f>
        <v>16954792.161237359</v>
      </c>
      <c r="G15" s="66">
        <f t="shared" si="389"/>
        <v>16954792.161237359</v>
      </c>
      <c r="H15" s="66">
        <f>Elektrolyser!E42</f>
        <v>7226244.9241823526</v>
      </c>
      <c r="I15" s="66">
        <f>Elektrolyser!F42</f>
        <v>31065841.052474901</v>
      </c>
      <c r="J15" s="66">
        <f t="shared" si="390"/>
        <v>31065841.052474901</v>
      </c>
      <c r="K15" s="66">
        <f>Elektrolyser!G42</f>
        <v>7027947.8416316295</v>
      </c>
      <c r="L15" s="67">
        <f>Elektrolyser!H42</f>
        <v>85590396.601590514</v>
      </c>
      <c r="M15" s="67">
        <f>Elektrolyser!I42</f>
        <v>141799372.07695323</v>
      </c>
      <c r="N15" s="67">
        <f t="shared" si="391"/>
        <v>141799372.07695323</v>
      </c>
      <c r="O15" s="67">
        <f>Elektrolyser!J42</f>
        <v>60435833.301807187</v>
      </c>
      <c r="P15" s="67">
        <f>Elektrolyser!K42</f>
        <v>269604055.45945275</v>
      </c>
      <c r="Q15" s="67">
        <f t="shared" si="392"/>
        <v>269604055.45945275</v>
      </c>
      <c r="R15" s="67">
        <f>Elektrolyser!L42</f>
        <v>58777399.419340044</v>
      </c>
      <c r="S15" s="68">
        <f>Elektrolyser!M42</f>
        <v>35052697.856400765</v>
      </c>
      <c r="T15" s="68">
        <f>Elektrolyser!N42</f>
        <v>58072526.159417614</v>
      </c>
      <c r="U15" s="68">
        <f t="shared" si="393"/>
        <v>58072526.159417614</v>
      </c>
      <c r="V15" s="68">
        <f>Elektrolyser!O42</f>
        <v>24750895.994664479</v>
      </c>
      <c r="W15" s="68">
        <f>Elektrolyser!P42</f>
        <v>108255354.15809889</v>
      </c>
      <c r="X15" s="68">
        <f t="shared" si="394"/>
        <v>108255354.15809889</v>
      </c>
      <c r="Y15" s="76">
        <f>Elektrolyser!Q42</f>
        <v>24071700.850055717</v>
      </c>
    </row>
    <row r="16">
      <c r="A16" s="75"/>
      <c r="C16" s="65" t="s">
        <v>552</v>
      </c>
      <c r="D16" s="65" t="s">
        <v>785</v>
      </c>
      <c r="E16" s="66">
        <f>Elektrolyser!C43</f>
        <v>9739202.8113232758</v>
      </c>
      <c r="F16" s="66">
        <f>Elektrolyser!D43</f>
        <v>16383989.535285378</v>
      </c>
      <c r="G16" s="66">
        <f t="shared" si="389"/>
        <v>16383989.535285378</v>
      </c>
      <c r="H16" s="66">
        <f>Elektrolyser!E43</f>
        <v>6497672.9564543106</v>
      </c>
      <c r="I16" s="66">
        <f>Elektrolyser!F43</f>
        <v>30431552.483671378</v>
      </c>
      <c r="J16" s="66">
        <f t="shared" si="390"/>
        <v>30431552.483671378</v>
      </c>
      <c r="K16" s="66">
        <f>Elektrolyser!G43</f>
        <v>6767238.272462735</v>
      </c>
      <c r="L16" s="67">
        <f>Elektrolyser!H43</f>
        <v>81452655.393385381</v>
      </c>
      <c r="M16" s="67">
        <f>Elektrolyser!I43</f>
        <v>137025532.7299329</v>
      </c>
      <c r="N16" s="67">
        <f t="shared" si="391"/>
        <v>137025532.7299329</v>
      </c>
      <c r="O16" s="67">
        <f>Elektrolyser!J43</f>
        <v>54342508.974724017</v>
      </c>
      <c r="P16" s="67">
        <f>Elektrolyser!K43</f>
        <v>264492133.37169525</v>
      </c>
      <c r="Q16" s="67">
        <f t="shared" si="392"/>
        <v>264492133.37169525</v>
      </c>
      <c r="R16" s="67">
        <f>Elektrolyser!L43</f>
        <v>56596986.185663216</v>
      </c>
      <c r="S16" s="68">
        <f>Elektrolyser!M43</f>
        <v>33358126.991700534</v>
      </c>
      <c r="T16" s="68">
        <f>Elektrolyser!N43</f>
        <v>56117447.612170979</v>
      </c>
      <c r="U16" s="68">
        <f t="shared" si="393"/>
        <v>56117447.612170979</v>
      </c>
      <c r="V16" s="68">
        <f>Elektrolyser!O43</f>
        <v>22255435.463356063</v>
      </c>
      <c r="W16" s="68">
        <f>Elektrolyser!P43</f>
        <v>106045044.33457686</v>
      </c>
      <c r="X16" s="68">
        <f t="shared" si="394"/>
        <v>106045044.33457686</v>
      </c>
      <c r="Y16" s="76">
        <f>Elektrolyser!Q43</f>
        <v>23178734.240285955</v>
      </c>
    </row>
    <row r="17">
      <c r="A17" s="75"/>
      <c r="C17" s="65" t="s">
        <v>553</v>
      </c>
      <c r="D17" s="65" t="s">
        <v>785</v>
      </c>
      <c r="E17" s="66">
        <f>Elektrolyser!C44</f>
        <v>8608299.8384847064</v>
      </c>
      <c r="F17" s="66">
        <f>Elektrolyser!D44</f>
        <v>15079231.978506969</v>
      </c>
      <c r="G17" s="66">
        <f t="shared" si="389"/>
        <v>15079231.978506969</v>
      </c>
      <c r="H17" s="66">
        <f>Elektrolyser!E44</f>
        <v>4665289.3314318657</v>
      </c>
      <c r="I17" s="66">
        <f>Elektrolyser!F44</f>
        <v>28981676.877468083</v>
      </c>
      <c r="J17" s="66">
        <f t="shared" si="390"/>
        <v>28981676.877468083</v>
      </c>
      <c r="K17" s="66">
        <f>Elektrolyser!G44</f>
        <v>6171300.6137488568</v>
      </c>
      <c r="L17" s="67">
        <f>Elektrolyser!H44</f>
        <v>71994483.927556828</v>
      </c>
      <c r="M17" s="67">
        <f>Elektrolyser!I44</f>
        <v>126113349.28914599</v>
      </c>
      <c r="N17" s="67">
        <f t="shared" si="391"/>
        <v>126113349.28914599</v>
      </c>
      <c r="O17" s="67">
        <f>Elektrolyser!J44</f>
        <v>39017588.152261302</v>
      </c>
      <c r="P17" s="67">
        <f>Elektrolyser!K44</f>
        <v>253168195.87260428</v>
      </c>
      <c r="Q17" s="67">
        <f t="shared" si="392"/>
        <v>253168195.87260428</v>
      </c>
      <c r="R17" s="67">
        <f>Elektrolyser!L44</f>
        <v>51612933.004767686</v>
      </c>
      <c r="S17" s="68">
        <f>Elektrolyser!M44</f>
        <v>29484626.694594085</v>
      </c>
      <c r="T17" s="68">
        <f>Elektrolyser!N44</f>
        <v>51648471.13477473</v>
      </c>
      <c r="U17" s="68">
        <f t="shared" si="393"/>
        <v>51648471.13477473</v>
      </c>
      <c r="V17" s="68">
        <f>Elektrolyser!O44</f>
        <v>15979266.16642506</v>
      </c>
      <c r="W17" s="68">
        <f>Elektrolyser!P44</f>
        <v>100992652.64269888</v>
      </c>
      <c r="X17" s="68">
        <f t="shared" si="394"/>
        <v>100992652.64269888</v>
      </c>
      <c r="Y17" s="76">
        <f>Elektrolyser!Q44</f>
        <v>21137564.702733915</v>
      </c>
    </row>
    <row r="18" s="70" customFormat="1">
      <c r="A18" s="69" t="s">
        <v>786</v>
      </c>
      <c r="B18" s="70" t="s">
        <v>781</v>
      </c>
      <c r="C18" s="70" t="s">
        <v>550</v>
      </c>
      <c r="E18" s="71">
        <v>0</v>
      </c>
      <c r="F18" s="71">
        <f>Conversion!C32*Conversion!C6</f>
        <v>643135680</v>
      </c>
      <c r="G18" s="71">
        <f>F18</f>
        <v>643135680</v>
      </c>
      <c r="H18" s="71">
        <f>Conversion!D32*Conversion!D6</f>
        <v>289080422.39999998</v>
      </c>
      <c r="I18" s="71">
        <f>Conversion!E32*Conversion!E6</f>
        <v>1168091168.0911682</v>
      </c>
      <c r="J18" s="71">
        <f>I18</f>
        <v>1168091168.0911682</v>
      </c>
      <c r="K18" s="71">
        <f>Conversion!F32*Conversion!F6</f>
        <v>267190669.43999997</v>
      </c>
      <c r="L18" s="72">
        <v>0</v>
      </c>
      <c r="M18" s="72">
        <f>Conversion!G32*Conversion!G6</f>
        <v>643135680</v>
      </c>
      <c r="N18" s="72">
        <f t="shared" si="391"/>
        <v>643135680</v>
      </c>
      <c r="O18" s="72">
        <f>Conversion!H32*Conversion!H6</f>
        <v>289080422.39999998</v>
      </c>
      <c r="P18" s="72">
        <f>Conversion!I32*Conversion!I6</f>
        <v>1214814814.8148148</v>
      </c>
      <c r="Q18" s="72">
        <f t="shared" si="392"/>
        <v>1214814814.8148148</v>
      </c>
      <c r="R18" s="72">
        <f>Conversion!J32*Conversion!J6</f>
        <v>267190669.43999997</v>
      </c>
      <c r="S18" s="73">
        <v>0</v>
      </c>
      <c r="T18" s="73">
        <f>Conversion!K32*Conversion!K6</f>
        <v>643135680</v>
      </c>
      <c r="U18" s="73">
        <f t="shared" si="393"/>
        <v>643135680</v>
      </c>
      <c r="V18" s="73">
        <f>Conversion!L32*Conversion!L6</f>
        <v>289080422.39999998</v>
      </c>
      <c r="W18" s="73">
        <f>Conversion!M32*Conversion!M6</f>
        <v>1188405797.1014495</v>
      </c>
      <c r="X18" s="73">
        <f t="shared" si="394"/>
        <v>1188405797.1014495</v>
      </c>
      <c r="Y18" s="73">
        <f>Conversion!N32*Conversion!N6</f>
        <v>267190669.43999997</v>
      </c>
    </row>
    <row r="19">
      <c r="A19" s="75"/>
      <c r="C19" s="65" t="s">
        <v>551</v>
      </c>
      <c r="D19" s="65" t="s">
        <v>555</v>
      </c>
      <c r="E19" s="66">
        <v>0</v>
      </c>
      <c r="F19" s="66">
        <f>Conversion!C33*Conversion!C6</f>
        <v>628836820.79815376</v>
      </c>
      <c r="G19" s="66">
        <f t="shared" si="389"/>
        <v>628836820.79815376</v>
      </c>
      <c r="H19" s="66">
        <f>Conversion!D33*Conversion!D6</f>
        <v>268014425.72799999</v>
      </c>
      <c r="I19" s="66">
        <f>Conversion!E33*Conversion!E6</f>
        <v>1152201957.8347578</v>
      </c>
      <c r="J19" s="66">
        <f t="shared" si="390"/>
        <v>1152201957.8347578</v>
      </c>
      <c r="K19" s="66">
        <f>Conversion!F33*Conversion!F6</f>
        <v>260659778.98394662</v>
      </c>
      <c r="L19" s="67">
        <v>0</v>
      </c>
      <c r="M19" s="67">
        <f>Conversion!G33*Conversion!G6</f>
        <v>628836820.79815376</v>
      </c>
      <c r="N19" s="67">
        <f t="shared" si="391"/>
        <v>628836820.79815376</v>
      </c>
      <c r="O19" s="67">
        <f>Conversion!H33*Conversion!H6</f>
        <v>268014425.72799999</v>
      </c>
      <c r="P19" s="67">
        <f>Conversion!I33*Conversion!I6</f>
        <v>1195611479.9817674</v>
      </c>
      <c r="Q19" s="67">
        <f t="shared" si="392"/>
        <v>1195611479.9817674</v>
      </c>
      <c r="R19" s="67">
        <f>Conversion!J33*Conversion!J6</f>
        <v>260659778.98394662</v>
      </c>
      <c r="S19" s="68">
        <v>0</v>
      </c>
      <c r="T19" s="68">
        <f>Conversion!K33*Conversion!K6</f>
        <v>628836820.79815376</v>
      </c>
      <c r="U19" s="68">
        <f t="shared" ref="U19:U33" si="395">T19</f>
        <v>628836820.79815376</v>
      </c>
      <c r="V19" s="68">
        <f>Conversion!L33*Conversion!L6</f>
        <v>268014425.72799999</v>
      </c>
      <c r="W19" s="68">
        <f>Conversion!M33*Conversion!M6</f>
        <v>1172240252.7536232</v>
      </c>
      <c r="X19" s="68">
        <f t="shared" si="394"/>
        <v>1172240252.7536232</v>
      </c>
      <c r="Y19" s="68">
        <f>Conversion!N33*Conversion!N6</f>
        <v>260659778.98394662</v>
      </c>
    </row>
    <row r="20">
      <c r="A20" s="75"/>
      <c r="C20" s="65" t="s">
        <v>552</v>
      </c>
      <c r="D20" s="65" t="s">
        <v>555</v>
      </c>
      <c r="E20" s="66">
        <v>0</v>
      </c>
      <c r="F20" s="66">
        <f>Conversion!C34*Conversion!C6</f>
        <v>607666304.2153846</v>
      </c>
      <c r="G20" s="66">
        <f t="shared" ref="G20:G33" si="396">F20</f>
        <v>607666304.2153846</v>
      </c>
      <c r="H20" s="66">
        <f>Conversion!D34*Conversion!D6</f>
        <v>240992397.05599996</v>
      </c>
      <c r="I20" s="66">
        <f>Conversion!E34*Conversion!E6</f>
        <v>1128676809.1168094</v>
      </c>
      <c r="J20" s="66">
        <f t="shared" si="390"/>
        <v>1128676809.1168094</v>
      </c>
      <c r="K20" s="66">
        <f>Conversion!F34*Conversion!F6</f>
        <v>250990313.55678335</v>
      </c>
      <c r="L20" s="67">
        <v>0</v>
      </c>
      <c r="M20" s="67">
        <f>Conversion!G34*Conversion!G6</f>
        <v>607666304.2153846</v>
      </c>
      <c r="N20" s="67">
        <f t="shared" si="391"/>
        <v>607666304.2153846</v>
      </c>
      <c r="O20" s="67">
        <f>Conversion!H34*Conversion!H6</f>
        <v>240992397.05599996</v>
      </c>
      <c r="P20" s="67">
        <f>Conversion!I34*Conversion!I6</f>
        <v>1172941669.9061012</v>
      </c>
      <c r="Q20" s="67">
        <f t="shared" si="392"/>
        <v>1172941669.9061012</v>
      </c>
      <c r="R20" s="67">
        <f>Conversion!J34*Conversion!J6</f>
        <v>250990313.55678335</v>
      </c>
      <c r="S20" s="68">
        <v>0</v>
      </c>
      <c r="T20" s="68">
        <f>Conversion!K34*Conversion!K6</f>
        <v>607666304.2153846</v>
      </c>
      <c r="U20" s="68">
        <f t="shared" si="395"/>
        <v>607666304.2153846</v>
      </c>
      <c r="V20" s="68">
        <f>Conversion!L34*Conversion!L6</f>
        <v>240992397.05599996</v>
      </c>
      <c r="W20" s="68">
        <f>Conversion!M34*Conversion!M6</f>
        <v>1148305971.014493</v>
      </c>
      <c r="X20" s="68">
        <f t="shared" si="394"/>
        <v>1148305971.014493</v>
      </c>
      <c r="Y20" s="68">
        <f>Conversion!N34*Conversion!N6</f>
        <v>250990313.55678335</v>
      </c>
    </row>
    <row r="21">
      <c r="A21" s="75"/>
      <c r="C21" s="65" t="s">
        <v>553</v>
      </c>
      <c r="D21" s="65" t="s">
        <v>555</v>
      </c>
      <c r="E21" s="66">
        <v>0</v>
      </c>
      <c r="F21" s="66">
        <f>Conversion!C35*Conversion!C6</f>
        <v>559274110.07261527</v>
      </c>
      <c r="G21" s="66">
        <f t="shared" si="396"/>
        <v>559274110.07261527</v>
      </c>
      <c r="H21" s="66">
        <f>Conversion!D35*Conversion!D6</f>
        <v>173031063.03999999</v>
      </c>
      <c r="I21" s="66">
        <f>Conversion!E35*Conversion!E6</f>
        <v>1074902327.0655272</v>
      </c>
      <c r="J21" s="66">
        <f t="shared" si="390"/>
        <v>1074902327.0655272</v>
      </c>
      <c r="K21" s="66">
        <f>Conversion!F35*Conversion!F6</f>
        <v>228887562.95177791</v>
      </c>
      <c r="L21" s="67">
        <v>0</v>
      </c>
      <c r="M21" s="67">
        <f>Conversion!G35*Conversion!G6</f>
        <v>559274110.07261527</v>
      </c>
      <c r="N21" s="67">
        <f t="shared" si="391"/>
        <v>559274110.07261527</v>
      </c>
      <c r="O21" s="67">
        <f>Conversion!H35*Conversion!H6</f>
        <v>173031063.03999999</v>
      </c>
      <c r="P21" s="67">
        <f>Conversion!I35*Conversion!I6</f>
        <v>1122723472.5223999</v>
      </c>
      <c r="Q21" s="67">
        <f t="shared" si="392"/>
        <v>1122723472.5223999</v>
      </c>
      <c r="R21" s="67">
        <f>Conversion!J35*Conversion!J6</f>
        <v>228887562.95177791</v>
      </c>
      <c r="S21" s="68">
        <v>0</v>
      </c>
      <c r="T21" s="68">
        <f>Conversion!K35*Conversion!K6</f>
        <v>559274110.07261527</v>
      </c>
      <c r="U21" s="68">
        <f t="shared" si="395"/>
        <v>559274110.07261527</v>
      </c>
      <c r="V21" s="68">
        <f>Conversion!L35*Conversion!L6</f>
        <v>173031063.03999999</v>
      </c>
      <c r="W21" s="68">
        <f>Conversion!M35*Conversion!M6</f>
        <v>1093596280.5797102</v>
      </c>
      <c r="X21" s="68">
        <f t="shared" si="394"/>
        <v>1093596280.5797102</v>
      </c>
      <c r="Y21" s="68">
        <f>Conversion!N35*Conversion!N6</f>
        <v>228887562.95177791</v>
      </c>
    </row>
    <row r="22">
      <c r="A22" s="75"/>
      <c r="B22" s="65" t="s">
        <v>782</v>
      </c>
      <c r="C22" s="65" t="s">
        <v>550</v>
      </c>
      <c r="E22" s="66">
        <v>0</v>
      </c>
      <c r="F22" s="66">
        <f>Conversion!C56</f>
        <v>56893184</v>
      </c>
      <c r="G22" s="66">
        <f t="shared" si="396"/>
        <v>56893184</v>
      </c>
      <c r="H22" s="66">
        <f>Conversion!D56</f>
        <v>1734656.0000000002</v>
      </c>
      <c r="I22" s="66">
        <f>Conversion!E56</f>
        <v>132508206.13333333</v>
      </c>
      <c r="J22" s="66">
        <f>I22</f>
        <v>132508206.13333333</v>
      </c>
      <c r="K22" s="66">
        <f>Conversion!F56</f>
        <v>185549076</v>
      </c>
      <c r="L22" s="67">
        <v>0</v>
      </c>
      <c r="M22" s="67">
        <f>Conversion!G56</f>
        <v>152974400</v>
      </c>
      <c r="N22" s="67">
        <f t="shared" si="391"/>
        <v>152974400</v>
      </c>
      <c r="O22" s="67">
        <f>Conversion!H56</f>
        <v>29142220.800000001</v>
      </c>
      <c r="P22" s="67">
        <f>Conversion!I56</f>
        <v>592041822.22222221</v>
      </c>
      <c r="Q22" s="67">
        <f t="shared" si="392"/>
        <v>592041822.22222221</v>
      </c>
      <c r="R22" s="67">
        <f>Conversion!J56</f>
        <v>196212816.00000003</v>
      </c>
      <c r="S22" s="68">
        <v>0</v>
      </c>
      <c r="T22" s="68">
        <f>Conversion!K56</f>
        <v>103338656</v>
      </c>
      <c r="U22" s="68">
        <f t="shared" si="395"/>
        <v>103338656</v>
      </c>
      <c r="V22" s="68">
        <f>Conversion!L56</f>
        <v>15091138.5856</v>
      </c>
      <c r="W22" s="68">
        <f>Conversion!M56</f>
        <v>326485152.5428223</v>
      </c>
      <c r="X22" s="68">
        <f t="shared" si="394"/>
        <v>326485152.5428223</v>
      </c>
      <c r="Y22" s="68">
        <f>Conversion!N56</f>
        <v>190880946</v>
      </c>
    </row>
    <row r="23">
      <c r="A23" s="75"/>
      <c r="C23" s="65" t="s">
        <v>551</v>
      </c>
      <c r="D23" s="65" t="s">
        <v>555</v>
      </c>
      <c r="E23" s="66">
        <v>0</v>
      </c>
      <c r="F23" s="66">
        <f>Conversion!C57</f>
        <v>55628275.749907695</v>
      </c>
      <c r="G23" s="66">
        <f t="shared" si="396"/>
        <v>55628275.749907695</v>
      </c>
      <c r="H23" s="66">
        <f>Conversion!D57</f>
        <v>1608247.3791059107</v>
      </c>
      <c r="I23" s="66">
        <f>Conversion!E57</f>
        <v>130705734.88325711</v>
      </c>
      <c r="J23" s="66">
        <f t="shared" si="390"/>
        <v>130705734.88325711</v>
      </c>
      <c r="K23" s="66">
        <f>Conversion!F57</f>
        <v>181013735.40551847</v>
      </c>
      <c r="L23" s="67">
        <v>0</v>
      </c>
      <c r="M23" s="67">
        <f>Conversion!G57</f>
        <v>149573314.54461539</v>
      </c>
      <c r="N23" s="67">
        <f t="shared" si="391"/>
        <v>149573314.54461539</v>
      </c>
      <c r="O23" s="67">
        <f>Conversion!H57</f>
        <v>27018555.968979295</v>
      </c>
      <c r="P23" s="67">
        <f>Conversion!I57</f>
        <v>582683048.18633437</v>
      </c>
      <c r="Q23" s="67">
        <f t="shared" si="392"/>
        <v>582683048.18633437</v>
      </c>
      <c r="R23" s="67">
        <f>Conversion!J57</f>
        <v>191416823.64721498</v>
      </c>
      <c r="S23" s="68">
        <v>0</v>
      </c>
      <c r="T23" s="68">
        <f>Conversion!K57</f>
        <v>101041123.86455384</v>
      </c>
      <c r="U23" s="68">
        <f t="shared" si="395"/>
        <v>101041123.86455384</v>
      </c>
      <c r="V23" s="68">
        <f>Conversion!L57</f>
        <v>13991410.445653362</v>
      </c>
      <c r="W23" s="68">
        <f>Conversion!M57</f>
        <v>322044068.33975756</v>
      </c>
      <c r="X23" s="68">
        <f t="shared" si="394"/>
        <v>322044068.33975756</v>
      </c>
      <c r="Y23" s="68">
        <f>Conversion!N57</f>
        <v>186215279.52636674</v>
      </c>
    </row>
    <row r="24">
      <c r="A24" s="75"/>
      <c r="C24" s="65" t="s">
        <v>552</v>
      </c>
      <c r="D24" s="65" t="s">
        <v>555</v>
      </c>
      <c r="E24" s="66">
        <v>0</v>
      </c>
      <c r="F24" s="66">
        <f>Conversion!C58</f>
        <v>53755485.710769236</v>
      </c>
      <c r="G24" s="66">
        <f t="shared" si="396"/>
        <v>53755485.710769236</v>
      </c>
      <c r="H24" s="66">
        <f>Conversion!D58</f>
        <v>1446098.9922352235</v>
      </c>
      <c r="I24" s="66">
        <f>Conversion!E58</f>
        <v>128037043.14001814</v>
      </c>
      <c r="J24" s="66">
        <f t="shared" si="390"/>
        <v>128037043.14001814</v>
      </c>
      <c r="K24" s="66">
        <f>Conversion!F58</f>
        <v>174298828.85887733</v>
      </c>
      <c r="L24" s="67">
        <v>0</v>
      </c>
      <c r="M24" s="67">
        <f>Conversion!G58</f>
        <v>144537756.46153849</v>
      </c>
      <c r="N24" s="67">
        <f t="shared" si="391"/>
        <v>144537756.46153849</v>
      </c>
      <c r="O24" s="67">
        <f>Conversion!H58</f>
        <v>24294463.069551751</v>
      </c>
      <c r="P24" s="67">
        <f>Conversion!I58</f>
        <v>571634882.24124324</v>
      </c>
      <c r="Q24" s="67">
        <f t="shared" si="392"/>
        <v>571634882.24124324</v>
      </c>
      <c r="R24" s="67">
        <f>Conversion!J58</f>
        <v>184316002.93122664</v>
      </c>
      <c r="S24" s="68">
        <v>0</v>
      </c>
      <c r="T24" s="68">
        <f>Conversion!K58</f>
        <v>97639457.935384601</v>
      </c>
      <c r="U24" s="68">
        <f t="shared" si="395"/>
        <v>97639457.935384601</v>
      </c>
      <c r="V24" s="68">
        <f>Conversion!L58</f>
        <v>12580753.936410595</v>
      </c>
      <c r="W24" s="68">
        <f>Conversion!M58</f>
        <v>315468715.33856738</v>
      </c>
      <c r="X24" s="68">
        <f t="shared" si="394"/>
        <v>315468715.33856738</v>
      </c>
      <c r="Y24" s="68">
        <f>Conversion!N58</f>
        <v>179307415.89505199</v>
      </c>
    </row>
    <row r="25">
      <c r="A25" s="75"/>
      <c r="C25" s="65" t="s">
        <v>553</v>
      </c>
      <c r="D25" s="65" t="s">
        <v>555</v>
      </c>
      <c r="E25" s="66">
        <v>0</v>
      </c>
      <c r="F25" s="66">
        <f>Conversion!C59</f>
        <v>49474606.743630767</v>
      </c>
      <c r="G25" s="66">
        <f t="shared" si="396"/>
        <v>49474606.743630767</v>
      </c>
      <c r="H25" s="66">
        <f>Conversion!D59</f>
        <v>1038290.2072607261</v>
      </c>
      <c r="I25" s="66">
        <f>Conversion!E59</f>
        <v>121936868.47299388</v>
      </c>
      <c r="J25" s="66">
        <f t="shared" si="390"/>
        <v>121936868.47299388</v>
      </c>
      <c r="K25" s="66">
        <f>Conversion!F59</f>
        <v>158949696.4942902</v>
      </c>
      <c r="L25" s="67">
        <v>0</v>
      </c>
      <c r="M25" s="67">
        <f>Conversion!G59</f>
        <v>133027328.57846154</v>
      </c>
      <c r="N25" s="67">
        <f t="shared" si="391"/>
        <v>133027328.57846154</v>
      </c>
      <c r="O25" s="67">
        <f>Conversion!H59</f>
        <v>17443275.481980197</v>
      </c>
      <c r="P25" s="67">
        <f>Conversion!I59</f>
        <v>547160968.41900027</v>
      </c>
      <c r="Q25" s="67">
        <f t="shared" si="392"/>
        <v>547160968.41900027</v>
      </c>
      <c r="R25" s="67">
        <f>Conversion!J59</f>
        <v>168084736.52269772</v>
      </c>
      <c r="S25" s="68">
        <v>0</v>
      </c>
      <c r="T25" s="68">
        <f>Conversion!K59</f>
        <v>89863829.154215366</v>
      </c>
      <c r="U25" s="68">
        <f t="shared" si="395"/>
        <v>89863829.154215366</v>
      </c>
      <c r="V25" s="68">
        <f>Conversion!L59</f>
        <v>9032904.1664992739</v>
      </c>
      <c r="W25" s="68">
        <f>Conversion!M59</f>
        <v>300438578.60350919</v>
      </c>
      <c r="X25" s="68">
        <f t="shared" si="394"/>
        <v>300438578.60350919</v>
      </c>
      <c r="Y25" s="68">
        <f>Conversion!N59</f>
        <v>163517216.50849396</v>
      </c>
    </row>
    <row r="26">
      <c r="A26" s="75"/>
      <c r="B26" s="65" t="s">
        <v>783</v>
      </c>
      <c r="C26" s="65" t="s">
        <v>550</v>
      </c>
      <c r="E26" s="66">
        <v>0</v>
      </c>
      <c r="F26" s="66">
        <f>Conversion!C50</f>
        <v>557440000</v>
      </c>
      <c r="G26" s="66">
        <f t="shared" si="396"/>
        <v>557440000</v>
      </c>
      <c r="H26" s="66">
        <f>Conversion!D50</f>
        <v>289080422.40000004</v>
      </c>
      <c r="I26" s="66">
        <f>Conversion!E50</f>
        <v>911111111.11111116</v>
      </c>
      <c r="J26" s="66">
        <f>I26</f>
        <v>911111111.11111116</v>
      </c>
      <c r="K26" s="66">
        <f>Conversion!F50</f>
        <v>328798650.00000006</v>
      </c>
      <c r="L26" s="67">
        <v>0</v>
      </c>
      <c r="M26" s="67">
        <f>Conversion!G50</f>
        <v>557440000</v>
      </c>
      <c r="N26" s="67">
        <f t="shared" si="391"/>
        <v>557440000</v>
      </c>
      <c r="O26" s="67">
        <f>Conversion!H50</f>
        <v>289080422.40000004</v>
      </c>
      <c r="P26" s="67">
        <f>Conversion!I50</f>
        <v>911111111.11111116</v>
      </c>
      <c r="Q26" s="67">
        <f t="shared" si="392"/>
        <v>911111111.11111116</v>
      </c>
      <c r="R26" s="67">
        <f>Conversion!J50</f>
        <v>328798650.00000006</v>
      </c>
      <c r="S26" s="68">
        <v>0</v>
      </c>
      <c r="T26" s="68">
        <f>Conversion!K50</f>
        <v>557440000</v>
      </c>
      <c r="U26" s="68">
        <f t="shared" si="395"/>
        <v>557440000</v>
      </c>
      <c r="V26" s="68">
        <f>Conversion!L50</f>
        <v>289080422.40000004</v>
      </c>
      <c r="W26" s="68">
        <f>Conversion!M50</f>
        <v>911111111.11111116</v>
      </c>
      <c r="X26" s="68">
        <f t="shared" si="394"/>
        <v>911111111.11111116</v>
      </c>
      <c r="Y26" s="68">
        <f>Conversion!N50</f>
        <v>328798650.00000006</v>
      </c>
    </row>
    <row r="27">
      <c r="A27" s="75"/>
      <c r="C27" s="65" t="s">
        <v>551</v>
      </c>
      <c r="D27" s="65" t="s">
        <v>555</v>
      </c>
      <c r="E27" s="66">
        <v>0</v>
      </c>
      <c r="F27" s="66">
        <f>Conversion!C51</f>
        <v>545046416</v>
      </c>
      <c r="G27" s="66">
        <f t="shared" si="396"/>
        <v>545046416</v>
      </c>
      <c r="H27" s="66">
        <f>Conversion!D51</f>
        <v>268014425.72800002</v>
      </c>
      <c r="I27" s="66">
        <f>Conversion!E51</f>
        <v>898717527.11111116</v>
      </c>
      <c r="J27" s="66">
        <f t="shared" si="390"/>
        <v>898717527.11111116</v>
      </c>
      <c r="K27" s="66">
        <f>Conversion!F51</f>
        <v>320761887.4523077</v>
      </c>
      <c r="L27" s="67">
        <v>0</v>
      </c>
      <c r="M27" s="67">
        <f>Conversion!G51</f>
        <v>545046416</v>
      </c>
      <c r="N27" s="67">
        <f t="shared" si="391"/>
        <v>545046416</v>
      </c>
      <c r="O27" s="67">
        <f>Conversion!H51</f>
        <v>268014425.72800002</v>
      </c>
      <c r="P27" s="67">
        <f>Conversion!I51</f>
        <v>896708609.98632562</v>
      </c>
      <c r="Q27" s="67">
        <f t="shared" si="392"/>
        <v>896708609.98632562</v>
      </c>
      <c r="R27" s="67">
        <f>Conversion!J51</f>
        <v>320761887.4523077</v>
      </c>
      <c r="S27" s="68">
        <v>0</v>
      </c>
      <c r="T27" s="68">
        <f>Conversion!K51</f>
        <v>545046416</v>
      </c>
      <c r="U27" s="68">
        <f t="shared" si="395"/>
        <v>545046416</v>
      </c>
      <c r="V27" s="68">
        <f>Conversion!L51</f>
        <v>268014425.72800002</v>
      </c>
      <c r="W27" s="68">
        <f>Conversion!M51</f>
        <v>898717527.11111116</v>
      </c>
      <c r="X27" s="68">
        <f t="shared" si="394"/>
        <v>898717527.11111116</v>
      </c>
      <c r="Y27" s="68">
        <f>Conversion!N51</f>
        <v>320761887.4523077</v>
      </c>
    </row>
    <row r="28">
      <c r="A28" s="75"/>
      <c r="C28" s="65" t="s">
        <v>552</v>
      </c>
      <c r="D28" s="65" t="s">
        <v>555</v>
      </c>
      <c r="E28" s="66">
        <v>0</v>
      </c>
      <c r="F28" s="66">
        <f>Conversion!C52</f>
        <v>526696800.00000006</v>
      </c>
      <c r="G28" s="66">
        <f t="shared" si="396"/>
        <v>526696800.00000006</v>
      </c>
      <c r="H28" s="66">
        <f>Conversion!D52</f>
        <v>240992397.05599999</v>
      </c>
      <c r="I28" s="66">
        <f>Conversion!E52</f>
        <v>880367911.11111116</v>
      </c>
      <c r="J28" s="66">
        <f t="shared" si="390"/>
        <v>880367911.11111116</v>
      </c>
      <c r="K28" s="66">
        <f>Conversion!F52</f>
        <v>308862867.23076928</v>
      </c>
      <c r="L28" s="67">
        <v>0</v>
      </c>
      <c r="M28" s="67">
        <f>Conversion!G52</f>
        <v>526696800.00000006</v>
      </c>
      <c r="N28" s="67">
        <f t="shared" si="391"/>
        <v>526696800.00000006</v>
      </c>
      <c r="O28" s="67">
        <f>Conversion!H52</f>
        <v>240992397.05599999</v>
      </c>
      <c r="P28" s="67">
        <f>Conversion!I52</f>
        <v>879706252.42957592</v>
      </c>
      <c r="Q28" s="67">
        <f t="shared" si="392"/>
        <v>879706252.42957592</v>
      </c>
      <c r="R28" s="67">
        <f>Conversion!J52</f>
        <v>308862867.23076928</v>
      </c>
      <c r="S28" s="68">
        <v>0</v>
      </c>
      <c r="T28" s="68">
        <f>Conversion!K52</f>
        <v>526696800.00000006</v>
      </c>
      <c r="U28" s="68">
        <f t="shared" si="395"/>
        <v>526696800.00000006</v>
      </c>
      <c r="V28" s="68">
        <f>Conversion!L52</f>
        <v>240992397.05599999</v>
      </c>
      <c r="W28" s="68">
        <f>Conversion!M52</f>
        <v>880367911.11111116</v>
      </c>
      <c r="X28" s="68">
        <f t="shared" si="394"/>
        <v>880367911.11111116</v>
      </c>
      <c r="Y28" s="68">
        <f>Conversion!N52</f>
        <v>308862867.23076928</v>
      </c>
    </row>
    <row r="29">
      <c r="A29" s="75"/>
      <c r="C29" s="65" t="s">
        <v>553</v>
      </c>
      <c r="D29" s="65" t="s">
        <v>555</v>
      </c>
      <c r="E29" s="66">
        <v>0</v>
      </c>
      <c r="F29" s="66">
        <f>Conversion!C53</f>
        <v>484752704</v>
      </c>
      <c r="G29" s="66">
        <f t="shared" si="396"/>
        <v>484752704</v>
      </c>
      <c r="H29" s="66">
        <f>Conversion!D53</f>
        <v>173031063.03999999</v>
      </c>
      <c r="I29" s="66">
        <f>Conversion!E53</f>
        <v>838423815.11111116</v>
      </c>
      <c r="J29" s="66">
        <f t="shared" si="390"/>
        <v>838423815.11111116</v>
      </c>
      <c r="K29" s="66">
        <f>Conversion!F53</f>
        <v>281663734.20923078</v>
      </c>
      <c r="L29" s="67">
        <v>0</v>
      </c>
      <c r="M29" s="67">
        <f>Conversion!G53</f>
        <v>484752704</v>
      </c>
      <c r="N29" s="67">
        <f t="shared" si="391"/>
        <v>484752704</v>
      </c>
      <c r="O29" s="67">
        <f>Conversion!H53</f>
        <v>173031063.03999999</v>
      </c>
      <c r="P29" s="67">
        <f>Conversion!I53</f>
        <v>842042604.39179969</v>
      </c>
      <c r="Q29" s="67">
        <f t="shared" si="392"/>
        <v>842042604.39179969</v>
      </c>
      <c r="R29" s="67">
        <f>Conversion!J53</f>
        <v>281663734.20923078</v>
      </c>
      <c r="S29" s="68">
        <v>0</v>
      </c>
      <c r="T29" s="68">
        <f>Conversion!K53</f>
        <v>484752704</v>
      </c>
      <c r="U29" s="68">
        <f t="shared" si="395"/>
        <v>484752704</v>
      </c>
      <c r="V29" s="68">
        <f>Conversion!L53</f>
        <v>173031063.03999999</v>
      </c>
      <c r="W29" s="68">
        <f>Conversion!M53</f>
        <v>838423815.11111116</v>
      </c>
      <c r="X29" s="68">
        <f t="shared" si="394"/>
        <v>838423815.11111116</v>
      </c>
      <c r="Y29" s="68">
        <f>Conversion!N53</f>
        <v>281663734.20923078</v>
      </c>
    </row>
    <row r="30">
      <c r="A30" s="75"/>
      <c r="B30" s="65" t="s">
        <v>784</v>
      </c>
      <c r="C30" s="65" t="s">
        <v>550</v>
      </c>
      <c r="E30" s="66">
        <v>0</v>
      </c>
      <c r="F30" s="66">
        <f>Conversion!C62</f>
        <v>3758365.1242940715</v>
      </c>
      <c r="G30" s="66">
        <f t="shared" si="396"/>
        <v>3758365.1242940715</v>
      </c>
      <c r="H30" s="66">
        <f>Conversion!D62</f>
        <v>276238.77534896031</v>
      </c>
      <c r="I30" s="66">
        <f>Conversion!E62</f>
        <v>5190718.7867378145</v>
      </c>
      <c r="J30" s="66">
        <f>I30</f>
        <v>5190718.7867378145</v>
      </c>
      <c r="K30" s="66">
        <f>Conversion!F62</f>
        <v>12425025.993730767</v>
      </c>
      <c r="L30" s="67">
        <v>0</v>
      </c>
      <c r="M30" s="67">
        <f>Conversion!G62</f>
        <v>27499404.351157058</v>
      </c>
      <c r="N30" s="67">
        <f t="shared" si="391"/>
        <v>27499404.351157058</v>
      </c>
      <c r="O30" s="67">
        <f>Conversion!H62</f>
        <v>2708245.7474182053</v>
      </c>
      <c r="P30" s="67">
        <f>Conversion!I62</f>
        <v>99539086.824696928</v>
      </c>
      <c r="Q30" s="67">
        <f t="shared" si="392"/>
        <v>99539086.824696928</v>
      </c>
      <c r="R30" s="67">
        <f>Conversion!J62</f>
        <v>31513455.218915585</v>
      </c>
      <c r="S30" s="68">
        <v>0</v>
      </c>
      <c r="T30" s="68">
        <f>Conversion!K62</f>
        <v>11581267.333809422</v>
      </c>
      <c r="U30" s="68">
        <f t="shared" si="395"/>
        <v>11581267.333809422</v>
      </c>
      <c r="V30" s="68">
        <f>Conversion!L62</f>
        <v>1058567.4285045331</v>
      </c>
      <c r="W30" s="68">
        <f>Conversion!M62</f>
        <v>35754617.594441116</v>
      </c>
      <c r="X30" s="68">
        <f t="shared" si="394"/>
        <v>35754617.594441116</v>
      </c>
      <c r="Y30" s="68">
        <f>Conversion!N62</f>
        <v>22322432.007733226</v>
      </c>
    </row>
    <row r="31">
      <c r="A31" s="75"/>
      <c r="C31" s="65" t="s">
        <v>551</v>
      </c>
      <c r="D31" s="65" t="s">
        <v>785</v>
      </c>
      <c r="E31" s="66">
        <v>0</v>
      </c>
      <c r="F31" s="66">
        <f>Conversion!C63</f>
        <v>3674805.2544056368</v>
      </c>
      <c r="G31" s="66">
        <f t="shared" si="396"/>
        <v>3674805.2544056368</v>
      </c>
      <c r="H31" s="66">
        <f>Conversion!D63</f>
        <v>256108.58087274473</v>
      </c>
      <c r="I31" s="66">
        <f>Conversion!E63</f>
        <v>5120110.922867775</v>
      </c>
      <c r="J31" s="66">
        <f t="shared" si="390"/>
        <v>5120110.922867775</v>
      </c>
      <c r="K31" s="66">
        <f>Conversion!F63</f>
        <v>12121323.458575835</v>
      </c>
      <c r="L31" s="67">
        <v>0</v>
      </c>
      <c r="M31" s="67">
        <f>Conversion!G63</f>
        <v>26888009.083906718</v>
      </c>
      <c r="N31" s="67">
        <f t="shared" si="391"/>
        <v>26888009.083906718</v>
      </c>
      <c r="O31" s="67">
        <f>Conversion!H63</f>
        <v>2510889.2629201734</v>
      </c>
      <c r="P31" s="67">
        <f>Conversion!I63</f>
        <v>97965610.447919458</v>
      </c>
      <c r="Q31" s="67">
        <f t="shared" si="392"/>
        <v>97965610.447919458</v>
      </c>
      <c r="R31" s="67">
        <f>Conversion!J63</f>
        <v>30743177.8572179</v>
      </c>
      <c r="S31" s="68">
        <v>0</v>
      </c>
      <c r="T31" s="68">
        <f>Conversion!K63</f>
        <v>11323780.591688255</v>
      </c>
      <c r="U31" s="68">
        <f t="shared" si="395"/>
        <v>11323780.591688255</v>
      </c>
      <c r="V31" s="68">
        <f>Conversion!L63</f>
        <v>981427.03365929553</v>
      </c>
      <c r="W31" s="68">
        <f>Conversion!M63</f>
        <v>35268257.751892187</v>
      </c>
      <c r="X31" s="68">
        <f t="shared" si="394"/>
        <v>35268257.751892187</v>
      </c>
      <c r="Y31" s="68">
        <f>Conversion!N63</f>
        <v>21776809.06939951</v>
      </c>
    </row>
    <row r="32">
      <c r="A32" s="75"/>
      <c r="C32" s="65" t="s">
        <v>552</v>
      </c>
      <c r="D32" s="65" t="s">
        <v>785</v>
      </c>
      <c r="E32" s="66">
        <v>0</v>
      </c>
      <c r="F32" s="66">
        <f>Conversion!C64</f>
        <v>3551088.6986891679</v>
      </c>
      <c r="G32" s="66">
        <f t="shared" si="396"/>
        <v>3551088.6986891679</v>
      </c>
      <c r="H32" s="66">
        <f>Conversion!D64</f>
        <v>230286.93565088627</v>
      </c>
      <c r="I32" s="66">
        <f>Conversion!E64</f>
        <v>5015570.7681719679</v>
      </c>
      <c r="J32" s="66">
        <f t="shared" si="390"/>
        <v>5015570.7681719679</v>
      </c>
      <c r="K32" s="66">
        <f>Conversion!F64</f>
        <v>11671669.436113931</v>
      </c>
      <c r="L32" s="67">
        <v>0</v>
      </c>
      <c r="M32" s="67">
        <f>Conversion!G64</f>
        <v>25982793.257858243</v>
      </c>
      <c r="N32" s="67">
        <f t="shared" si="391"/>
        <v>25982793.257858243</v>
      </c>
      <c r="O32" s="67">
        <f>Conversion!H64</f>
        <v>2257733.7789549027</v>
      </c>
      <c r="P32" s="67">
        <f>Conversion!I64</f>
        <v>96108099.191139847</v>
      </c>
      <c r="Q32" s="67">
        <f t="shared" si="392"/>
        <v>96108099.191139847</v>
      </c>
      <c r="R32" s="67">
        <f>Conversion!J64</f>
        <v>29602725.361745603</v>
      </c>
      <c r="S32" s="68">
        <v>0</v>
      </c>
      <c r="T32" s="68">
        <f>Conversion!K64</f>
        <v>10942552.462438926</v>
      </c>
      <c r="U32" s="68">
        <f t="shared" si="395"/>
        <v>10942552.462438926</v>
      </c>
      <c r="V32" s="68">
        <f>Conversion!L64</f>
        <v>882476.57839562278</v>
      </c>
      <c r="W32" s="68">
        <f>Conversion!M64</f>
        <v>34548166.102164924</v>
      </c>
      <c r="X32" s="68">
        <f t="shared" si="394"/>
        <v>34548166.102164924</v>
      </c>
      <c r="Y32" s="68">
        <f>Conversion!N64</f>
        <v>20968974.031591617</v>
      </c>
    </row>
    <row r="33" s="77" customFormat="1">
      <c r="A33" s="78"/>
      <c r="C33" s="77" t="s">
        <v>553</v>
      </c>
      <c r="D33" s="77" t="s">
        <v>785</v>
      </c>
      <c r="E33" s="79">
        <v>0</v>
      </c>
      <c r="F33" s="79">
        <f>Conversion!C65</f>
        <v>3268293.7295867666</v>
      </c>
      <c r="G33" s="79">
        <f t="shared" si="396"/>
        <v>3268293.7295867666</v>
      </c>
      <c r="H33" s="79">
        <f>Conversion!D65</f>
        <v>165344.6074094928</v>
      </c>
      <c r="I33" s="79">
        <f>Conversion!E65</f>
        <v>4776609.7847696003</v>
      </c>
      <c r="J33" s="79">
        <f t="shared" si="390"/>
        <v>4776609.7847696003</v>
      </c>
      <c r="K33" s="79">
        <f>Conversion!F65</f>
        <v>10643836.947143687</v>
      </c>
      <c r="L33" s="80">
        <v>0</v>
      </c>
      <c r="M33" s="80">
        <f>Conversion!G65</f>
        <v>23913624.098759953</v>
      </c>
      <c r="N33" s="80">
        <f t="shared" si="391"/>
        <v>23913624.098759953</v>
      </c>
      <c r="O33" s="80">
        <f>Conversion!H65</f>
        <v>1621039.0062351429</v>
      </c>
      <c r="P33" s="80">
        <f>Conversion!I65</f>
        <v>91993337.460712627</v>
      </c>
      <c r="Q33" s="80">
        <f t="shared" si="392"/>
        <v>91993337.460712627</v>
      </c>
      <c r="R33" s="80">
        <f>Conversion!J65</f>
        <v>26995845.252999473</v>
      </c>
      <c r="S33" s="81">
        <v>0</v>
      </c>
      <c r="T33" s="81">
        <f>Conversion!K65</f>
        <v>10071129.907812478</v>
      </c>
      <c r="U33" s="81">
        <f t="shared" si="395"/>
        <v>10071129.907812478</v>
      </c>
      <c r="V33" s="81">
        <f>Conversion!L65</f>
        <v>633612.77091332548</v>
      </c>
      <c r="W33" s="81">
        <f>Conversion!M65</f>
        <v>32902159.271016054</v>
      </c>
      <c r="X33" s="81">
        <f t="shared" si="394"/>
        <v>32902159.271016054</v>
      </c>
      <c r="Y33" s="81">
        <f>Conversion!N65</f>
        <v>19122400.763901547</v>
      </c>
    </row>
    <row r="34" s="70" customFormat="1">
      <c r="A34" s="69" t="s">
        <v>377</v>
      </c>
      <c r="B34" s="70" t="s">
        <v>781</v>
      </c>
      <c r="C34" s="70" t="s">
        <v>550</v>
      </c>
      <c r="E34" s="71">
        <f t="shared" ref="E34:I37" si="397">E10</f>
        <v>391960800</v>
      </c>
      <c r="F34" s="71">
        <f t="shared" si="397"/>
        <v>643135680</v>
      </c>
      <c r="G34" s="71">
        <f t="shared" si="397"/>
        <v>643135680</v>
      </c>
      <c r="H34" s="71">
        <f t="shared" si="397"/>
        <v>289080422.39999998</v>
      </c>
      <c r="I34" s="71">
        <f t="shared" si="397"/>
        <v>1168091168.0911682</v>
      </c>
      <c r="J34" s="71">
        <f>I34</f>
        <v>1168091168.0911682</v>
      </c>
      <c r="K34" s="71">
        <f t="shared" ref="K34:P37" si="398">K10</f>
        <v>267190669.43999997</v>
      </c>
      <c r="L34" s="72">
        <f t="shared" si="398"/>
        <v>391960800</v>
      </c>
      <c r="M34" s="72">
        <f t="shared" si="398"/>
        <v>643135680</v>
      </c>
      <c r="N34" s="72">
        <f t="shared" si="398"/>
        <v>643135680</v>
      </c>
      <c r="O34" s="72">
        <f t="shared" si="398"/>
        <v>289080422.39999998</v>
      </c>
      <c r="P34" s="72">
        <f t="shared" si="398"/>
        <v>1214814814.8148148</v>
      </c>
      <c r="Q34" s="72">
        <f t="shared" si="392"/>
        <v>1214814814.8148148</v>
      </c>
      <c r="R34" s="72">
        <f t="shared" ref="R34:W37" si="399">R10</f>
        <v>267190669.43999997</v>
      </c>
      <c r="S34" s="73">
        <f t="shared" si="399"/>
        <v>391960800</v>
      </c>
      <c r="T34" s="73">
        <f t="shared" si="399"/>
        <v>643135680</v>
      </c>
      <c r="U34" s="73">
        <f t="shared" si="399"/>
        <v>643135680</v>
      </c>
      <c r="V34" s="73">
        <f t="shared" si="399"/>
        <v>289080422.39999998</v>
      </c>
      <c r="W34" s="73">
        <f t="shared" si="399"/>
        <v>1188405797.1014495</v>
      </c>
      <c r="X34" s="73">
        <f t="shared" si="394"/>
        <v>1188405797.1014495</v>
      </c>
      <c r="Y34" s="73">
        <f t="shared" ref="Y34:Y37" si="400">Y10</f>
        <v>267190669.43999997</v>
      </c>
    </row>
    <row r="35">
      <c r="A35" s="75"/>
      <c r="C35" s="65" t="s">
        <v>551</v>
      </c>
      <c r="D35" s="65" t="s">
        <v>555</v>
      </c>
      <c r="E35" s="66">
        <f t="shared" si="397"/>
        <v>379567216</v>
      </c>
      <c r="F35" s="66">
        <f t="shared" si="397"/>
        <v>628836820.79815376</v>
      </c>
      <c r="G35" s="66">
        <f t="shared" si="397"/>
        <v>628836820.79815376</v>
      </c>
      <c r="H35" s="66">
        <f t="shared" si="397"/>
        <v>268014425.72799999</v>
      </c>
      <c r="I35" s="66">
        <f t="shared" si="397"/>
        <v>1152201957.8347578</v>
      </c>
      <c r="J35" s="66">
        <f t="shared" si="390"/>
        <v>1152201957.8347578</v>
      </c>
      <c r="K35" s="66">
        <f t="shared" si="398"/>
        <v>260659778.98394662</v>
      </c>
      <c r="L35" s="67">
        <f t="shared" si="398"/>
        <v>379567216</v>
      </c>
      <c r="M35" s="67">
        <f t="shared" si="398"/>
        <v>628836820.79815376</v>
      </c>
      <c r="N35" s="67">
        <f t="shared" si="398"/>
        <v>628836820.79815376</v>
      </c>
      <c r="O35" s="67">
        <f t="shared" si="398"/>
        <v>268014425.72799999</v>
      </c>
      <c r="P35" s="67">
        <f t="shared" si="398"/>
        <v>1195611479.9817674</v>
      </c>
      <c r="Q35" s="67">
        <f t="shared" si="392"/>
        <v>1195611479.9817674</v>
      </c>
      <c r="R35" s="67">
        <f t="shared" si="399"/>
        <v>260659778.98394662</v>
      </c>
      <c r="S35" s="68">
        <f t="shared" si="399"/>
        <v>379567216</v>
      </c>
      <c r="T35" s="68">
        <f t="shared" si="399"/>
        <v>628836820.79815376</v>
      </c>
      <c r="U35" s="68">
        <f t="shared" si="399"/>
        <v>628836820.79815376</v>
      </c>
      <c r="V35" s="68">
        <f t="shared" si="399"/>
        <v>268014425.72799999</v>
      </c>
      <c r="W35" s="68">
        <f t="shared" si="399"/>
        <v>1172240252.7536232</v>
      </c>
      <c r="X35" s="68">
        <f t="shared" si="394"/>
        <v>1172240252.7536232</v>
      </c>
      <c r="Y35" s="68">
        <f t="shared" si="400"/>
        <v>260659778.98394662</v>
      </c>
    </row>
    <row r="36">
      <c r="A36" s="75"/>
      <c r="C36" s="65" t="s">
        <v>552</v>
      </c>
      <c r="D36" s="65" t="s">
        <v>555</v>
      </c>
      <c r="E36" s="66">
        <f t="shared" si="397"/>
        <v>361217599.99999994</v>
      </c>
      <c r="F36" s="66">
        <f t="shared" si="397"/>
        <v>607666304.2153846</v>
      </c>
      <c r="G36" s="66">
        <f t="shared" si="397"/>
        <v>607666304.2153846</v>
      </c>
      <c r="H36" s="66">
        <f t="shared" si="397"/>
        <v>240992397.05599996</v>
      </c>
      <c r="I36" s="66">
        <f t="shared" si="397"/>
        <v>1128676809.1168094</v>
      </c>
      <c r="J36" s="66">
        <f t="shared" si="390"/>
        <v>1128676809.1168094</v>
      </c>
      <c r="K36" s="66">
        <f t="shared" si="398"/>
        <v>250990313.55678335</v>
      </c>
      <c r="L36" s="67">
        <f t="shared" si="398"/>
        <v>361217599.99999994</v>
      </c>
      <c r="M36" s="67">
        <f t="shared" si="398"/>
        <v>607666304.2153846</v>
      </c>
      <c r="N36" s="67">
        <f t="shared" si="398"/>
        <v>607666304.2153846</v>
      </c>
      <c r="O36" s="67">
        <f t="shared" si="398"/>
        <v>240992397.05599996</v>
      </c>
      <c r="P36" s="67">
        <f t="shared" si="398"/>
        <v>1172941669.9061012</v>
      </c>
      <c r="Q36" s="67">
        <f t="shared" si="392"/>
        <v>1172941669.9061012</v>
      </c>
      <c r="R36" s="67">
        <f t="shared" si="399"/>
        <v>250990313.55678335</v>
      </c>
      <c r="S36" s="68">
        <f t="shared" si="399"/>
        <v>361217599.99999994</v>
      </c>
      <c r="T36" s="68">
        <f t="shared" si="399"/>
        <v>607666304.2153846</v>
      </c>
      <c r="U36" s="68">
        <f t="shared" si="399"/>
        <v>607666304.2153846</v>
      </c>
      <c r="V36" s="68">
        <f t="shared" si="399"/>
        <v>240992397.05599996</v>
      </c>
      <c r="W36" s="68">
        <f t="shared" si="399"/>
        <v>1148305971.014493</v>
      </c>
      <c r="X36" s="68">
        <f t="shared" si="394"/>
        <v>1148305971.014493</v>
      </c>
      <c r="Y36" s="68">
        <f t="shared" si="400"/>
        <v>250990313.55678335</v>
      </c>
    </row>
    <row r="37">
      <c r="A37" s="75"/>
      <c r="C37" s="65" t="s">
        <v>553</v>
      </c>
      <c r="D37" s="65" t="s">
        <v>555</v>
      </c>
      <c r="E37" s="66">
        <f t="shared" si="397"/>
        <v>319273504</v>
      </c>
      <c r="F37" s="66">
        <f t="shared" si="397"/>
        <v>559274110.07261527</v>
      </c>
      <c r="G37" s="66">
        <f t="shared" si="397"/>
        <v>559274110.07261527</v>
      </c>
      <c r="H37" s="66">
        <f t="shared" si="397"/>
        <v>173031063.03999999</v>
      </c>
      <c r="I37" s="66">
        <f t="shared" si="397"/>
        <v>1074902327.0655272</v>
      </c>
      <c r="J37" s="66">
        <f t="shared" si="390"/>
        <v>1074902327.0655272</v>
      </c>
      <c r="K37" s="66">
        <f t="shared" si="398"/>
        <v>228887562.95177791</v>
      </c>
      <c r="L37" s="67">
        <f t="shared" si="398"/>
        <v>319273504</v>
      </c>
      <c r="M37" s="67">
        <f t="shared" si="398"/>
        <v>559274110.07261527</v>
      </c>
      <c r="N37" s="67">
        <f t="shared" si="398"/>
        <v>559274110.07261527</v>
      </c>
      <c r="O37" s="67">
        <f t="shared" si="398"/>
        <v>173031063.03999999</v>
      </c>
      <c r="P37" s="67">
        <f t="shared" si="398"/>
        <v>1122723472.5223999</v>
      </c>
      <c r="Q37" s="67">
        <f t="shared" si="392"/>
        <v>1122723472.5223999</v>
      </c>
      <c r="R37" s="67">
        <f t="shared" si="399"/>
        <v>228887562.95177791</v>
      </c>
      <c r="S37" s="68">
        <f t="shared" si="399"/>
        <v>319273504</v>
      </c>
      <c r="T37" s="68">
        <f t="shared" si="399"/>
        <v>559274110.07261527</v>
      </c>
      <c r="U37" s="68">
        <f t="shared" si="399"/>
        <v>559274110.07261527</v>
      </c>
      <c r="V37" s="68">
        <f t="shared" si="399"/>
        <v>173031063.03999999</v>
      </c>
      <c r="W37" s="68">
        <f t="shared" si="399"/>
        <v>1093596280.5797102</v>
      </c>
      <c r="X37" s="68">
        <f t="shared" si="394"/>
        <v>1093596280.5797102</v>
      </c>
      <c r="Y37" s="68">
        <f t="shared" si="400"/>
        <v>228887562.95177791</v>
      </c>
    </row>
    <row r="38">
      <c r="A38" s="75"/>
      <c r="B38" s="65" t="s">
        <v>782</v>
      </c>
      <c r="C38" s="65" t="s">
        <v>550</v>
      </c>
      <c r="E38" s="66">
        <f>Water!C33</f>
        <v>365148</v>
      </c>
      <c r="F38" s="66">
        <f>Water!D33</f>
        <v>599140.80000000005</v>
      </c>
      <c r="G38" s="66">
        <f t="shared" ref="G38:G41" si="401">F38</f>
        <v>599140.80000000005</v>
      </c>
      <c r="H38" s="66">
        <f>Water!E33</f>
        <v>269305.34399999998</v>
      </c>
      <c r="I38" s="66">
        <f>Water!F33</f>
        <v>826529.14824449504</v>
      </c>
      <c r="J38" s="66">
        <f>I38</f>
        <v>826529.14824449504</v>
      </c>
      <c r="K38" s="66">
        <f>Water!G33</f>
        <v>248912.99988334833</v>
      </c>
      <c r="L38" s="67">
        <f>Water!H33</f>
        <v>972493.19999999995</v>
      </c>
      <c r="M38" s="67">
        <f>Water!K33</f>
        <v>2426447.1217597951</v>
      </c>
      <c r="N38" s="67">
        <f t="shared" ref="N38:N41" si="402">M38</f>
        <v>2426447.1217597951</v>
      </c>
      <c r="O38" s="67">
        <f>Water!L33</f>
        <v>662926.26490671467</v>
      </c>
      <c r="P38" s="67">
        <f>Water!M33</f>
        <v>542763.19999999995</v>
      </c>
      <c r="Q38" s="67">
        <f t="shared" si="392"/>
        <v>542763.19999999995</v>
      </c>
      <c r="R38" s="67">
        <f>Water!N33</f>
        <v>890574.71999999986</v>
      </c>
      <c r="S38" s="68">
        <f>Water!M33</f>
        <v>542763.19999999995</v>
      </c>
      <c r="T38" s="68">
        <f>Water!N33</f>
        <v>890574.71999999986</v>
      </c>
      <c r="U38" s="68">
        <f t="shared" ref="U38:U41" si="403">T38</f>
        <v>890574.71999999986</v>
      </c>
      <c r="V38" s="68">
        <f>Water!O33</f>
        <v>400300.78293333331</v>
      </c>
      <c r="W38" s="68">
        <f>Water!P33</f>
        <v>1290688.3726467888</v>
      </c>
      <c r="X38" s="68">
        <f t="shared" si="394"/>
        <v>1290688.3726467888</v>
      </c>
      <c r="Y38" s="68">
        <f>Water!Q33</f>
        <v>369989.19982660661</v>
      </c>
    </row>
    <row r="39">
      <c r="A39" s="75"/>
      <c r="C39" s="65" t="s">
        <v>551</v>
      </c>
      <c r="D39" s="65" t="s">
        <v>555</v>
      </c>
      <c r="E39" s="66">
        <f>Water!C34</f>
        <v>353602.22192619269</v>
      </c>
      <c r="F39" s="66">
        <f>Water!D34</f>
        <v>585820.08058153861</v>
      </c>
      <c r="G39" s="66">
        <f t="shared" si="401"/>
        <v>585820.08058153861</v>
      </c>
      <c r="H39" s="66">
        <f>Water!E34</f>
        <v>249680.40560619265</v>
      </c>
      <c r="I39" s="66">
        <f>Water!F34</f>
        <v>815286.10850730597</v>
      </c>
      <c r="J39" s="66">
        <f t="shared" si="390"/>
        <v>815286.10850730597</v>
      </c>
      <c r="K39" s="66">
        <f>Water!G34</f>
        <v>242828.86701024734</v>
      </c>
      <c r="L39" s="67">
        <f>Water!H34</f>
        <v>941743.50216381648</v>
      </c>
      <c r="M39" s="67">
        <f>Water!I34</f>
        <v>1560205.8474618462</v>
      </c>
      <c r="N39" s="67">
        <f t="shared" si="402"/>
        <v>1560205.8474618462</v>
      </c>
      <c r="O39" s="67">
        <f>Water!L34</f>
        <v>646722.48494081805</v>
      </c>
      <c r="P39" s="67">
        <f>Water!M34</f>
        <v>525601.32740634063</v>
      </c>
      <c r="Q39" s="67">
        <f t="shared" si="392"/>
        <v>525601.32740634063</v>
      </c>
      <c r="R39" s="67">
        <f>Water!N34</f>
        <v>870774.53953107679</v>
      </c>
      <c r="S39" s="68">
        <f>Water!M34</f>
        <v>525601.32740634063</v>
      </c>
      <c r="T39" s="68">
        <f>Water!N34</f>
        <v>870774.53953107679</v>
      </c>
      <c r="U39" s="68">
        <f t="shared" si="403"/>
        <v>870774.53953107679</v>
      </c>
      <c r="V39" s="68">
        <f>Water!O34</f>
        <v>371129.88685167389</v>
      </c>
      <c r="W39" s="68">
        <f>Water!P34</f>
        <v>1273131.5076616677</v>
      </c>
      <c r="X39" s="68">
        <f t="shared" si="394"/>
        <v>1273131.5076616677</v>
      </c>
      <c r="Y39" s="68">
        <f>Water!Q34</f>
        <v>360945.62454362685</v>
      </c>
    </row>
    <row r="40">
      <c r="A40" s="75"/>
      <c r="C40" s="65" t="s">
        <v>552</v>
      </c>
      <c r="D40" s="65" t="s">
        <v>555</v>
      </c>
      <c r="E40" s="66">
        <f>Water!C35</f>
        <v>336507.84518451837</v>
      </c>
      <c r="F40" s="66">
        <f>Water!D35</f>
        <v>566097.77215384622</v>
      </c>
      <c r="G40" s="66">
        <f t="shared" si="401"/>
        <v>566097.77215384622</v>
      </c>
      <c r="H40" s="66">
        <f>Water!E35</f>
        <v>224506.86854451845</v>
      </c>
      <c r="I40" s="66">
        <f>Water!F35</f>
        <v>798639.95822098374</v>
      </c>
      <c r="J40" s="66">
        <f t="shared" si="390"/>
        <v>798639.95822098374</v>
      </c>
      <c r="K40" s="66">
        <f>Water!G35</f>
        <v>233820.85916406012</v>
      </c>
      <c r="L40" s="67">
        <f>Water!H35</f>
        <v>896216.30459045898</v>
      </c>
      <c r="M40" s="67">
        <f>Water!I35</f>
        <v>1507679.7187846152</v>
      </c>
      <c r="N40" s="67">
        <f t="shared" si="402"/>
        <v>1507679.7187846152</v>
      </c>
      <c r="O40" s="67">
        <f>Water!L35</f>
        <v>622731.59254660073</v>
      </c>
      <c r="P40" s="67">
        <f>Water!M35</f>
        <v>500191.908150815</v>
      </c>
      <c r="Q40" s="67">
        <f t="shared" si="392"/>
        <v>500191.908150815</v>
      </c>
      <c r="R40" s="67">
        <f>Water!N35</f>
        <v>841458.91070769215</v>
      </c>
      <c r="S40" s="68">
        <f>Water!M35</f>
        <v>500191.908150815</v>
      </c>
      <c r="T40" s="68">
        <f>Water!N35</f>
        <v>841458.91070769215</v>
      </c>
      <c r="U40" s="68">
        <f t="shared" si="403"/>
        <v>841458.91070769215</v>
      </c>
      <c r="V40" s="68">
        <f>Water!O35</f>
        <v>333711.4441081484</v>
      </c>
      <c r="W40" s="68">
        <f>Water!P35</f>
        <v>1247137.2730124481</v>
      </c>
      <c r="X40" s="68">
        <f t="shared" si="394"/>
        <v>1247137.2730124481</v>
      </c>
      <c r="Y40" s="68">
        <f>Water!Q35</f>
        <v>347555.94374509668</v>
      </c>
    </row>
    <row r="41">
      <c r="A41" s="75"/>
      <c r="C41" s="65" t="s">
        <v>553</v>
      </c>
      <c r="D41" s="65" t="s">
        <v>555</v>
      </c>
      <c r="E41" s="66">
        <f>Water!C36</f>
        <v>297433.01227722771</v>
      </c>
      <c r="F41" s="66">
        <f>Water!D36</f>
        <v>521015.93512615375</v>
      </c>
      <c r="G41" s="66">
        <f t="shared" si="401"/>
        <v>521015.93512615375</v>
      </c>
      <c r="H41" s="66">
        <f>Water!E36</f>
        <v>161194.55467722774</v>
      </c>
      <c r="I41" s="66">
        <f>Water!F36</f>
        <v>760589.69462746079</v>
      </c>
      <c r="J41" s="66">
        <f t="shared" si="390"/>
        <v>760589.69462746079</v>
      </c>
      <c r="K41" s="66">
        <f>Water!G36</f>
        <v>213230.08789837098</v>
      </c>
      <c r="L41" s="67">
        <f>Water!H36</f>
        <v>792148.88728712872</v>
      </c>
      <c r="M41" s="67">
        <f>Water!I36</f>
        <v>1387613.9373673843</v>
      </c>
      <c r="N41" s="67">
        <f t="shared" si="402"/>
        <v>1387613.9373673843</v>
      </c>
      <c r="O41" s="67">
        <f>Water!L36</f>
        <v>567892.49979889812</v>
      </c>
      <c r="P41" s="67">
        <f>Water!M36</f>
        <v>442110.3046688668</v>
      </c>
      <c r="Q41" s="67">
        <f t="shared" si="392"/>
        <v>442110.3046688668</v>
      </c>
      <c r="R41" s="67">
        <f>Water!N36</f>
        <v>774448.37764430756</v>
      </c>
      <c r="S41" s="68">
        <f>Water!M36</f>
        <v>442110.3046688668</v>
      </c>
      <c r="T41" s="68">
        <f>Water!N36</f>
        <v>774448.37764430756</v>
      </c>
      <c r="U41" s="68">
        <f t="shared" si="403"/>
        <v>774448.37764430756</v>
      </c>
      <c r="V41" s="68">
        <f>Water!O36</f>
        <v>239602.77016220018</v>
      </c>
      <c r="W41" s="68">
        <f>Water!P36</f>
        <v>1187718.8811739814</v>
      </c>
      <c r="X41" s="68">
        <f t="shared" si="394"/>
        <v>1187718.8811739814</v>
      </c>
      <c r="Y41" s="68">
        <f>Water!Q36</f>
        <v>316949.41460449214</v>
      </c>
    </row>
    <row r="42">
      <c r="A42" s="75"/>
      <c r="B42" s="65" t="s">
        <v>783</v>
      </c>
      <c r="C42" s="65" t="s">
        <v>550</v>
      </c>
      <c r="E42" s="66">
        <f t="shared" ref="E42:I45" si="404">E34</f>
        <v>391960800</v>
      </c>
      <c r="F42" s="66">
        <f t="shared" si="404"/>
        <v>643135680</v>
      </c>
      <c r="G42" s="66">
        <f t="shared" si="404"/>
        <v>643135680</v>
      </c>
      <c r="H42" s="66">
        <f t="shared" si="404"/>
        <v>289080422.39999998</v>
      </c>
      <c r="I42" s="66">
        <f t="shared" si="404"/>
        <v>1168091168.0911682</v>
      </c>
      <c r="J42" s="66">
        <f>I42</f>
        <v>1168091168.0911682</v>
      </c>
      <c r="K42" s="66">
        <f t="shared" ref="K42:K45" si="405">K10</f>
        <v>267190669.43999997</v>
      </c>
      <c r="L42" s="67">
        <f t="shared" ref="L42:P45" si="406">L34</f>
        <v>391960800</v>
      </c>
      <c r="M42" s="67">
        <f t="shared" si="406"/>
        <v>643135680</v>
      </c>
      <c r="N42" s="67">
        <f t="shared" si="406"/>
        <v>643135680</v>
      </c>
      <c r="O42" s="67">
        <f t="shared" si="406"/>
        <v>289080422.39999998</v>
      </c>
      <c r="P42" s="67">
        <f t="shared" si="406"/>
        <v>1214814814.8148148</v>
      </c>
      <c r="Q42" s="67">
        <f t="shared" si="392"/>
        <v>1214814814.8148148</v>
      </c>
      <c r="R42" s="67">
        <f t="shared" ref="R42:R45" si="407">R10</f>
        <v>267190669.43999997</v>
      </c>
      <c r="S42" s="68">
        <f t="shared" ref="S42:W45" si="408">S34</f>
        <v>391960800</v>
      </c>
      <c r="T42" s="68">
        <f t="shared" si="408"/>
        <v>643135680</v>
      </c>
      <c r="U42" s="68">
        <f t="shared" si="408"/>
        <v>643135680</v>
      </c>
      <c r="V42" s="68">
        <f t="shared" si="408"/>
        <v>289080422.39999998</v>
      </c>
      <c r="W42" s="68">
        <f t="shared" si="408"/>
        <v>1188405797.1014495</v>
      </c>
      <c r="X42" s="68">
        <f t="shared" si="394"/>
        <v>1188405797.1014495</v>
      </c>
      <c r="Y42" s="68">
        <f t="shared" ref="Y42:Y45" si="409">Y10</f>
        <v>267190669.43999997</v>
      </c>
    </row>
    <row r="43">
      <c r="A43" s="75"/>
      <c r="C43" s="65" t="s">
        <v>551</v>
      </c>
      <c r="D43" s="65" t="s">
        <v>555</v>
      </c>
      <c r="E43" s="66">
        <f t="shared" si="404"/>
        <v>379567216</v>
      </c>
      <c r="F43" s="66">
        <f t="shared" si="404"/>
        <v>628836820.79815376</v>
      </c>
      <c r="G43" s="66">
        <f t="shared" si="404"/>
        <v>628836820.79815376</v>
      </c>
      <c r="H43" s="66">
        <f t="shared" si="404"/>
        <v>268014425.72799999</v>
      </c>
      <c r="I43" s="66">
        <f t="shared" si="404"/>
        <v>1152201957.8347578</v>
      </c>
      <c r="J43" s="66">
        <f t="shared" si="390"/>
        <v>1152201957.8347578</v>
      </c>
      <c r="K43" s="66">
        <f t="shared" si="405"/>
        <v>260659778.98394662</v>
      </c>
      <c r="L43" s="67">
        <f t="shared" si="406"/>
        <v>379567216</v>
      </c>
      <c r="M43" s="67">
        <f t="shared" si="406"/>
        <v>628836820.79815376</v>
      </c>
      <c r="N43" s="67">
        <f t="shared" si="406"/>
        <v>628836820.79815376</v>
      </c>
      <c r="O43" s="67">
        <f t="shared" si="406"/>
        <v>268014425.72799999</v>
      </c>
      <c r="P43" s="67">
        <f t="shared" si="406"/>
        <v>1195611479.9817674</v>
      </c>
      <c r="Q43" s="67">
        <f t="shared" si="392"/>
        <v>1195611479.9817674</v>
      </c>
      <c r="R43" s="67">
        <f t="shared" si="407"/>
        <v>260659778.98394662</v>
      </c>
      <c r="S43" s="68">
        <f t="shared" si="408"/>
        <v>379567216</v>
      </c>
      <c r="T43" s="68">
        <f t="shared" si="408"/>
        <v>628836820.79815376</v>
      </c>
      <c r="U43" s="68">
        <f t="shared" si="408"/>
        <v>628836820.79815376</v>
      </c>
      <c r="V43" s="68">
        <f t="shared" si="408"/>
        <v>268014425.72799999</v>
      </c>
      <c r="W43" s="68">
        <f t="shared" si="408"/>
        <v>1172240252.7536232</v>
      </c>
      <c r="X43" s="68">
        <f t="shared" si="394"/>
        <v>1172240252.7536232</v>
      </c>
      <c r="Y43" s="68">
        <f t="shared" si="409"/>
        <v>260659778.98394662</v>
      </c>
    </row>
    <row r="44">
      <c r="A44" s="75"/>
      <c r="C44" s="65" t="s">
        <v>552</v>
      </c>
      <c r="D44" s="65" t="s">
        <v>555</v>
      </c>
      <c r="E44" s="66">
        <f t="shared" si="404"/>
        <v>361217599.99999994</v>
      </c>
      <c r="F44" s="66">
        <f t="shared" si="404"/>
        <v>607666304.2153846</v>
      </c>
      <c r="G44" s="66">
        <f t="shared" si="404"/>
        <v>607666304.2153846</v>
      </c>
      <c r="H44" s="66">
        <f t="shared" si="404"/>
        <v>240992397.05599996</v>
      </c>
      <c r="I44" s="66">
        <f t="shared" si="404"/>
        <v>1128676809.1168094</v>
      </c>
      <c r="J44" s="66">
        <f t="shared" si="390"/>
        <v>1128676809.1168094</v>
      </c>
      <c r="K44" s="66">
        <f t="shared" si="405"/>
        <v>250990313.55678335</v>
      </c>
      <c r="L44" s="67">
        <f t="shared" si="406"/>
        <v>361217599.99999994</v>
      </c>
      <c r="M44" s="67">
        <f t="shared" si="406"/>
        <v>607666304.2153846</v>
      </c>
      <c r="N44" s="67">
        <f t="shared" si="406"/>
        <v>607666304.2153846</v>
      </c>
      <c r="O44" s="67">
        <f t="shared" si="406"/>
        <v>240992397.05599996</v>
      </c>
      <c r="P44" s="67">
        <f t="shared" si="406"/>
        <v>1172941669.9061012</v>
      </c>
      <c r="Q44" s="67">
        <f t="shared" si="392"/>
        <v>1172941669.9061012</v>
      </c>
      <c r="R44" s="67">
        <f t="shared" si="407"/>
        <v>250990313.55678335</v>
      </c>
      <c r="S44" s="68">
        <f t="shared" si="408"/>
        <v>361217599.99999994</v>
      </c>
      <c r="T44" s="68">
        <f t="shared" si="408"/>
        <v>607666304.2153846</v>
      </c>
      <c r="U44" s="68">
        <f t="shared" si="408"/>
        <v>607666304.2153846</v>
      </c>
      <c r="V44" s="68">
        <f t="shared" si="408"/>
        <v>240992397.05599996</v>
      </c>
      <c r="W44" s="68">
        <f t="shared" si="408"/>
        <v>1148305971.014493</v>
      </c>
      <c r="X44" s="68">
        <f t="shared" si="394"/>
        <v>1148305971.014493</v>
      </c>
      <c r="Y44" s="68">
        <f t="shared" si="409"/>
        <v>250990313.55678335</v>
      </c>
    </row>
    <row r="45">
      <c r="A45" s="75"/>
      <c r="C45" s="65" t="s">
        <v>553</v>
      </c>
      <c r="D45" s="65" t="s">
        <v>555</v>
      </c>
      <c r="E45" s="66">
        <f t="shared" si="404"/>
        <v>319273504</v>
      </c>
      <c r="F45" s="66">
        <f t="shared" si="404"/>
        <v>559274110.07261527</v>
      </c>
      <c r="G45" s="66">
        <f t="shared" si="404"/>
        <v>559274110.07261527</v>
      </c>
      <c r="H45" s="66">
        <f t="shared" si="404"/>
        <v>173031063.03999999</v>
      </c>
      <c r="I45" s="66">
        <f t="shared" si="404"/>
        <v>1074902327.0655272</v>
      </c>
      <c r="J45" s="66">
        <f t="shared" si="390"/>
        <v>1074902327.0655272</v>
      </c>
      <c r="K45" s="66">
        <f t="shared" si="405"/>
        <v>228887562.95177791</v>
      </c>
      <c r="L45" s="67">
        <f t="shared" si="406"/>
        <v>319273504</v>
      </c>
      <c r="M45" s="67">
        <f t="shared" si="406"/>
        <v>559274110.07261527</v>
      </c>
      <c r="N45" s="67">
        <f t="shared" si="406"/>
        <v>559274110.07261527</v>
      </c>
      <c r="O45" s="67">
        <f t="shared" si="406"/>
        <v>173031063.03999999</v>
      </c>
      <c r="P45" s="67">
        <f t="shared" si="406"/>
        <v>1122723472.5223999</v>
      </c>
      <c r="Q45" s="67">
        <f t="shared" si="392"/>
        <v>1122723472.5223999</v>
      </c>
      <c r="R45" s="67">
        <f t="shared" si="407"/>
        <v>228887562.95177791</v>
      </c>
      <c r="S45" s="68">
        <f t="shared" si="408"/>
        <v>319273504</v>
      </c>
      <c r="T45" s="68">
        <f t="shared" si="408"/>
        <v>559274110.07261527</v>
      </c>
      <c r="U45" s="68">
        <f t="shared" si="408"/>
        <v>559274110.07261527</v>
      </c>
      <c r="V45" s="68">
        <f t="shared" si="408"/>
        <v>173031063.03999999</v>
      </c>
      <c r="W45" s="68">
        <f t="shared" si="408"/>
        <v>1093596280.5797102</v>
      </c>
      <c r="X45" s="68">
        <f t="shared" si="394"/>
        <v>1093596280.5797102</v>
      </c>
      <c r="Y45" s="68">
        <f t="shared" si="409"/>
        <v>228887562.95177791</v>
      </c>
    </row>
    <row r="46">
      <c r="A46" s="75"/>
      <c r="B46" s="65" t="s">
        <v>784</v>
      </c>
      <c r="C46" s="65" t="s">
        <v>550</v>
      </c>
      <c r="E46" s="66">
        <f>Water!C39</f>
        <v>82801.108153182155</v>
      </c>
      <c r="F46" s="66">
        <f>Water!D39</f>
        <v>135861.41011256826</v>
      </c>
      <c r="G46" s="66">
        <f t="shared" ref="G46:G109" si="410">F46</f>
        <v>135861.41011256826</v>
      </c>
      <c r="H46" s="66">
        <f>Water!E39</f>
        <v>61067.788717927862</v>
      </c>
      <c r="I46" s="66">
        <f>Water!F39</f>
        <v>187424.08392090318</v>
      </c>
      <c r="J46" s="66">
        <f>I46</f>
        <v>187424.08392090318</v>
      </c>
      <c r="K46" s="66">
        <f>Water!G39</f>
        <v>42871.624938179761</v>
      </c>
      <c r="L46" s="67">
        <f>Water!H39</f>
        <v>376346.13228777755</v>
      </c>
      <c r="M46" s="67">
        <f>Water!I39</f>
        <v>617514.87828443502</v>
      </c>
      <c r="N46" s="67">
        <f t="shared" ref="N46:N81" si="411">M46</f>
        <v>617514.87828443502</v>
      </c>
      <c r="O46" s="67">
        <f>Water!J39</f>
        <v>277564.23318443331</v>
      </c>
      <c r="P46" s="67">
        <f>Water!K39</f>
        <v>939013.23883304175</v>
      </c>
      <c r="Q46" s="67">
        <f t="shared" si="392"/>
        <v>939013.23883304175</v>
      </c>
      <c r="R46" s="67">
        <f>Water!L39</f>
        <v>256546.50931196712</v>
      </c>
      <c r="S46" s="68">
        <f>Water!M39</f>
        <v>178699.68498232879</v>
      </c>
      <c r="T46" s="68">
        <f>Water!N39</f>
        <v>293213.36066488235</v>
      </c>
      <c r="U46" s="68">
        <f t="shared" ref="U46:U81" si="412">T46</f>
        <v>293213.36066488235</v>
      </c>
      <c r="V46" s="68">
        <f>Water!O39</f>
        <v>131795.27242887183</v>
      </c>
      <c r="W46" s="68">
        <f>Water!P39</f>
        <v>424947.02220477693</v>
      </c>
      <c r="X46" s="68">
        <f t="shared" si="394"/>
        <v>424947.02220477693</v>
      </c>
      <c r="Y46" s="68">
        <f>Water!Q39</f>
        <v>121815.46843241861</v>
      </c>
    </row>
    <row r="47">
      <c r="A47" s="75"/>
      <c r="C47" s="65" t="s">
        <v>551</v>
      </c>
      <c r="D47" s="65" t="s">
        <v>785</v>
      </c>
      <c r="E47" s="66">
        <f>Water!C40</f>
        <v>80182.982847821142</v>
      </c>
      <c r="F47" s="66">
        <f>Water!D40</f>
        <v>132840.79839007155</v>
      </c>
      <c r="G47" s="66">
        <f t="shared" si="410"/>
        <v>132840.79839007155</v>
      </c>
      <c r="H47" s="66">
        <f>Water!E40</f>
        <v>56617.629751029017</v>
      </c>
      <c r="I47" s="66">
        <f>Water!F40</f>
        <v>184874.60768318721</v>
      </c>
      <c r="J47" s="66">
        <f t="shared" si="390"/>
        <v>184874.60768318721</v>
      </c>
      <c r="K47" s="66">
        <f>Water!G40</f>
        <v>41823.722005300093</v>
      </c>
      <c r="L47" s="67">
        <f>Water!H40</f>
        <v>364446.2754562177</v>
      </c>
      <c r="M47" s="67">
        <f>Water!I40</f>
        <v>603785.64730842342</v>
      </c>
      <c r="N47" s="67">
        <f t="shared" si="411"/>
        <v>603785.64730842342</v>
      </c>
      <c r="O47" s="67">
        <f>Water!J40</f>
        <v>257337.4493573404</v>
      </c>
      <c r="P47" s="67">
        <f>Water!K40</f>
        <v>924169.67138714762</v>
      </c>
      <c r="Q47" s="67">
        <f t="shared" si="392"/>
        <v>924169.67138714762</v>
      </c>
      <c r="R47" s="67">
        <f>Water!L40</f>
        <v>250275.79202714976</v>
      </c>
      <c r="S47" s="68">
        <f>Water!M40</f>
        <v>173049.29964634107</v>
      </c>
      <c r="T47" s="68">
        <f>Water!N40</f>
        <v>286694.33724474296</v>
      </c>
      <c r="U47" s="68">
        <f t="shared" si="412"/>
        <v>286694.33724474296</v>
      </c>
      <c r="V47" s="68">
        <f>Water!O40</f>
        <v>122191.02892001792</v>
      </c>
      <c r="W47" s="68">
        <f>Water!P40</f>
        <v>419166.58933438628</v>
      </c>
      <c r="X47" s="68">
        <f t="shared" si="394"/>
        <v>419166.58933438628</v>
      </c>
      <c r="Y47" s="68">
        <f>Water!Q40</f>
        <v>118837.95622418037</v>
      </c>
    </row>
    <row r="48">
      <c r="A48" s="75"/>
      <c r="C48" s="65" t="s">
        <v>552</v>
      </c>
      <c r="D48" s="65" t="s">
        <v>785</v>
      </c>
      <c r="E48" s="66">
        <f>Water!C41</f>
        <v>76306.655064569946</v>
      </c>
      <c r="F48" s="66">
        <f>Water!D41</f>
        <v>128368.55975491056</v>
      </c>
      <c r="G48" s="66">
        <f t="shared" si="410"/>
        <v>128368.55975491056</v>
      </c>
      <c r="H48" s="66">
        <f>Water!E41</f>
        <v>50909.268306239981</v>
      </c>
      <c r="I48" s="66">
        <f>Water!F41</f>
        <v>181099.91991222341</v>
      </c>
      <c r="J48" s="66">
        <f t="shared" si="390"/>
        <v>181099.91991222341</v>
      </c>
      <c r="K48" s="66">
        <f>Water!G41</f>
        <v>40272.224357515915</v>
      </c>
      <c r="L48" s="67">
        <f>Water!H41</f>
        <v>346827.65897577896</v>
      </c>
      <c r="M48" s="67">
        <f>Water!I41</f>
        <v>583458.50736366503</v>
      </c>
      <c r="N48" s="67">
        <f t="shared" si="411"/>
        <v>583458.50736366503</v>
      </c>
      <c r="O48" s="67">
        <f>Water!J41</f>
        <v>231391.9058813687</v>
      </c>
      <c r="P48" s="67">
        <f>Water!K41</f>
        <v>906646.62876099534</v>
      </c>
      <c r="Q48" s="67">
        <f t="shared" si="392"/>
        <v>906646.62876099534</v>
      </c>
      <c r="R48" s="67">
        <f>Water!L41</f>
        <v>240991.53218585113</v>
      </c>
      <c r="S48" s="68">
        <f>Water!M41</f>
        <v>164683.48704787021</v>
      </c>
      <c r="T48" s="68">
        <f>Water!N41</f>
        <v>277042.44184026873</v>
      </c>
      <c r="U48" s="68">
        <f t="shared" si="412"/>
        <v>277042.44184026873</v>
      </c>
      <c r="V48" s="68">
        <f>Water!O41</f>
        <v>109871.35814868094</v>
      </c>
      <c r="W48" s="68">
        <f>Water!P41</f>
        <v>410608.23176118993</v>
      </c>
      <c r="X48" s="68">
        <f t="shared" si="394"/>
        <v>410608.23176118993</v>
      </c>
      <c r="Y48" s="68">
        <f>Water!Q41</f>
        <v>114429.52960146299</v>
      </c>
    </row>
    <row r="49" s="77" customFormat="1">
      <c r="A49" s="78"/>
      <c r="C49" s="77" t="s">
        <v>553</v>
      </c>
      <c r="D49" s="77" t="s">
        <v>785</v>
      </c>
      <c r="E49" s="79">
        <f>Water!C42</f>
        <v>67446.03015186578</v>
      </c>
      <c r="F49" s="79">
        <f>Water!D42</f>
        <v>118145.78415851104</v>
      </c>
      <c r="G49" s="79">
        <f t="shared" si="410"/>
        <v>118145.78415851104</v>
      </c>
      <c r="H49" s="79">
        <f>Water!E42</f>
        <v>36552.542408922316</v>
      </c>
      <c r="I49" s="79">
        <f>Water!F42</f>
        <v>172471.62675146564</v>
      </c>
      <c r="J49" s="79">
        <f t="shared" si="390"/>
        <v>172471.62675146564</v>
      </c>
      <c r="K49" s="79">
        <f>Water!G42</f>
        <v>36725.765059270445</v>
      </c>
      <c r="L49" s="80">
        <f>Water!H42</f>
        <v>306554.50333902339</v>
      </c>
      <c r="M49" s="80">
        <f>Water!I42</f>
        <v>536994.12853152037</v>
      </c>
      <c r="N49" s="80">
        <f t="shared" si="411"/>
        <v>536994.12853152037</v>
      </c>
      <c r="O49" s="80">
        <f>Water!J42</f>
        <v>166137.96925801411</v>
      </c>
      <c r="P49" s="80">
        <f>Water!K42</f>
        <v>867829.55837416858</v>
      </c>
      <c r="Q49" s="80">
        <f t="shared" si="392"/>
        <v>867829.55837416858</v>
      </c>
      <c r="R49" s="80">
        <f>Water!L42</f>
        <v>219769.29592366589</v>
      </c>
      <c r="S49" s="81">
        <f>Water!M42</f>
        <v>145560.66470933903</v>
      </c>
      <c r="T49" s="81">
        <f>Water!N42</f>
        <v>254979.85331377177</v>
      </c>
      <c r="U49" s="81">
        <f t="shared" si="412"/>
        <v>254979.85331377177</v>
      </c>
      <c r="V49" s="81">
        <f>Water!O42</f>
        <v>78886.961291551284</v>
      </c>
      <c r="W49" s="81">
        <f>Water!P42</f>
        <v>391045.28441381903</v>
      </c>
      <c r="X49" s="81">
        <f t="shared" si="394"/>
        <v>391045.28441381903</v>
      </c>
      <c r="Y49" s="81">
        <f>Water!Q42</f>
        <v>104352.61739402426</v>
      </c>
    </row>
    <row r="50" s="70" customFormat="1">
      <c r="A50" s="69" t="s">
        <v>787</v>
      </c>
      <c r="B50" s="70" t="s">
        <v>781</v>
      </c>
      <c r="C50" s="70" t="s">
        <v>550</v>
      </c>
      <c r="E50" s="71">
        <f>Liquefaction!C20*Liquefaction!C7</f>
        <v>391960800</v>
      </c>
      <c r="F50" s="71">
        <f t="shared" ref="F50:F53" si="413">F10</f>
        <v>643135680</v>
      </c>
      <c r="G50" s="71">
        <f t="shared" si="410"/>
        <v>643135680</v>
      </c>
      <c r="H50" s="71">
        <f t="shared" ref="H50:H61" si="414">H42</f>
        <v>289080422.39999998</v>
      </c>
      <c r="I50" s="71">
        <f>Liquefaction!D20*Liquefaction!D7</f>
        <v>911111111.11111116</v>
      </c>
      <c r="J50" s="71">
        <f>I50</f>
        <v>911111111.11111116</v>
      </c>
      <c r="K50" s="71">
        <f t="shared" ref="K50:K53" si="415">K26</f>
        <v>328798650.00000006</v>
      </c>
      <c r="L50" s="72">
        <f>Liquefaction!E20*Liquefaction!E7</f>
        <v>391960800</v>
      </c>
      <c r="M50" s="72">
        <f t="shared" ref="M50:M53" si="416">M10</f>
        <v>643135680</v>
      </c>
      <c r="N50" s="72">
        <f t="shared" si="411"/>
        <v>643135680</v>
      </c>
      <c r="O50" s="72">
        <f t="shared" ref="O50:O61" si="417">O42</f>
        <v>289080422.39999998</v>
      </c>
      <c r="P50" s="72">
        <f>Liquefaction!F20*Liquefaction!F7</f>
        <v>911111111.11111116</v>
      </c>
      <c r="Q50" s="72">
        <f t="shared" si="392"/>
        <v>911111111.11111116</v>
      </c>
      <c r="R50" s="72">
        <f t="shared" ref="R50:R53" si="418">R26</f>
        <v>328798650.00000006</v>
      </c>
      <c r="S50" s="73">
        <f>Liquefaction!G20*Liquefaction!G7</f>
        <v>391960800</v>
      </c>
      <c r="T50" s="73">
        <f t="shared" ref="T50:T53" si="419">T10</f>
        <v>643135680</v>
      </c>
      <c r="U50" s="73">
        <f t="shared" si="412"/>
        <v>643135680</v>
      </c>
      <c r="V50" s="73">
        <f t="shared" ref="V50:V61" si="420">V42</f>
        <v>289080422.39999998</v>
      </c>
      <c r="W50" s="73">
        <f>Liquefaction!H20*Liquefaction!H7</f>
        <v>911111111.11111116</v>
      </c>
      <c r="X50" s="73">
        <f t="shared" si="394"/>
        <v>911111111.11111116</v>
      </c>
      <c r="Y50" s="73">
        <f t="shared" ref="Y50:Y53" si="421">Y26</f>
        <v>328798650.00000006</v>
      </c>
    </row>
    <row r="51">
      <c r="A51" s="75"/>
      <c r="C51" s="65" t="s">
        <v>551</v>
      </c>
      <c r="D51" s="65" t="s">
        <v>555</v>
      </c>
      <c r="E51" s="66">
        <f>Liquefaction!C21*Liquefaction!C7</f>
        <v>379567216</v>
      </c>
      <c r="F51" s="66">
        <f t="shared" si="413"/>
        <v>628836820.79815376</v>
      </c>
      <c r="G51" s="66">
        <f t="shared" si="410"/>
        <v>628836820.79815376</v>
      </c>
      <c r="H51" s="66">
        <f t="shared" si="414"/>
        <v>268014425.72799999</v>
      </c>
      <c r="I51" s="66">
        <f>Liquefaction!D21*Liquefaction!D7</f>
        <v>898717527.11111116</v>
      </c>
      <c r="J51" s="66">
        <f t="shared" si="390"/>
        <v>898717527.11111116</v>
      </c>
      <c r="K51" s="66">
        <f t="shared" si="415"/>
        <v>320761887.4523077</v>
      </c>
      <c r="L51" s="67">
        <f>Liquefaction!E21*Liquefaction!E7</f>
        <v>379567216</v>
      </c>
      <c r="M51" s="67">
        <f t="shared" si="416"/>
        <v>628836820.79815376</v>
      </c>
      <c r="N51" s="67">
        <f t="shared" si="411"/>
        <v>628836820.79815376</v>
      </c>
      <c r="O51" s="67">
        <f t="shared" si="417"/>
        <v>268014425.72799999</v>
      </c>
      <c r="P51" s="67">
        <f>Liquefaction!F21*Liquefaction!F7</f>
        <v>896708609.98632562</v>
      </c>
      <c r="Q51" s="67">
        <f t="shared" si="392"/>
        <v>896708609.98632562</v>
      </c>
      <c r="R51" s="67">
        <f t="shared" si="418"/>
        <v>320761887.4523077</v>
      </c>
      <c r="S51" s="68">
        <f>Liquefaction!G21*Liquefaction!G7</f>
        <v>379567216</v>
      </c>
      <c r="T51" s="68">
        <f t="shared" si="419"/>
        <v>628836820.79815376</v>
      </c>
      <c r="U51" s="68">
        <f t="shared" si="412"/>
        <v>628836820.79815376</v>
      </c>
      <c r="V51" s="68">
        <f t="shared" si="420"/>
        <v>268014425.72799999</v>
      </c>
      <c r="W51" s="68">
        <f>Liquefaction!H21*Liquefaction!H7</f>
        <v>898717527.11111116</v>
      </c>
      <c r="X51" s="68">
        <f t="shared" si="394"/>
        <v>898717527.11111116</v>
      </c>
      <c r="Y51" s="68">
        <f t="shared" si="421"/>
        <v>320761887.4523077</v>
      </c>
    </row>
    <row r="52">
      <c r="A52" s="75"/>
      <c r="C52" s="65" t="s">
        <v>552</v>
      </c>
      <c r="D52" s="65" t="s">
        <v>555</v>
      </c>
      <c r="E52" s="66">
        <f>Liquefaction!C22*Liquefaction!C7</f>
        <v>361217599.99999994</v>
      </c>
      <c r="F52" s="66">
        <f t="shared" si="413"/>
        <v>607666304.2153846</v>
      </c>
      <c r="G52" s="66">
        <f t="shared" si="410"/>
        <v>607666304.2153846</v>
      </c>
      <c r="H52" s="66">
        <f t="shared" si="414"/>
        <v>240992397.05599996</v>
      </c>
      <c r="I52" s="66">
        <f>Liquefaction!D22*Liquefaction!D7</f>
        <v>880367911.11111116</v>
      </c>
      <c r="J52" s="66">
        <f t="shared" si="390"/>
        <v>880367911.11111116</v>
      </c>
      <c r="K52" s="66">
        <f t="shared" si="415"/>
        <v>308862867.23076928</v>
      </c>
      <c r="L52" s="67">
        <f>Liquefaction!E22*Liquefaction!E7</f>
        <v>361217599.99999994</v>
      </c>
      <c r="M52" s="67">
        <f t="shared" si="416"/>
        <v>607666304.2153846</v>
      </c>
      <c r="N52" s="67">
        <f t="shared" si="411"/>
        <v>607666304.2153846</v>
      </c>
      <c r="O52" s="67">
        <f t="shared" si="417"/>
        <v>240992397.05599996</v>
      </c>
      <c r="P52" s="67">
        <f>Liquefaction!F22*Liquefaction!F7</f>
        <v>879706252.42957592</v>
      </c>
      <c r="Q52" s="67">
        <f t="shared" si="392"/>
        <v>879706252.42957592</v>
      </c>
      <c r="R52" s="67">
        <f t="shared" si="418"/>
        <v>308862867.23076928</v>
      </c>
      <c r="S52" s="68">
        <f>Liquefaction!G22*Liquefaction!G7</f>
        <v>361217599.99999994</v>
      </c>
      <c r="T52" s="68">
        <f t="shared" si="419"/>
        <v>607666304.2153846</v>
      </c>
      <c r="U52" s="68">
        <f t="shared" si="412"/>
        <v>607666304.2153846</v>
      </c>
      <c r="V52" s="68">
        <f t="shared" si="420"/>
        <v>240992397.05599996</v>
      </c>
      <c r="W52" s="68">
        <f>Liquefaction!H22*Liquefaction!H7</f>
        <v>880367911.11111116</v>
      </c>
      <c r="X52" s="68">
        <f t="shared" si="394"/>
        <v>880367911.11111116</v>
      </c>
      <c r="Y52" s="68">
        <f t="shared" si="421"/>
        <v>308862867.23076928</v>
      </c>
    </row>
    <row r="53">
      <c r="A53" s="75"/>
      <c r="C53" s="65" t="s">
        <v>553</v>
      </c>
      <c r="D53" s="65" t="s">
        <v>555</v>
      </c>
      <c r="E53" s="66">
        <f>Liquefaction!C23*Liquefaction!C7</f>
        <v>319273504</v>
      </c>
      <c r="F53" s="66">
        <f t="shared" si="413"/>
        <v>559274110.07261527</v>
      </c>
      <c r="G53" s="66">
        <f t="shared" si="410"/>
        <v>559274110.07261527</v>
      </c>
      <c r="H53" s="66">
        <f t="shared" si="414"/>
        <v>173031063.03999999</v>
      </c>
      <c r="I53" s="66">
        <f>Liquefaction!D23*Liquefaction!D7</f>
        <v>838423815.11111116</v>
      </c>
      <c r="J53" s="66">
        <f t="shared" si="390"/>
        <v>838423815.11111116</v>
      </c>
      <c r="K53" s="66">
        <f t="shared" si="415"/>
        <v>281663734.20923078</v>
      </c>
      <c r="L53" s="67">
        <f>Liquefaction!E23*Liquefaction!E7</f>
        <v>319273504</v>
      </c>
      <c r="M53" s="67">
        <f t="shared" si="416"/>
        <v>559274110.07261527</v>
      </c>
      <c r="N53" s="67">
        <f t="shared" si="411"/>
        <v>559274110.07261527</v>
      </c>
      <c r="O53" s="67">
        <f t="shared" si="417"/>
        <v>173031063.03999999</v>
      </c>
      <c r="P53" s="67">
        <f>Liquefaction!F23*Liquefaction!F7</f>
        <v>842042604.39179969</v>
      </c>
      <c r="Q53" s="67">
        <f t="shared" si="392"/>
        <v>842042604.39179969</v>
      </c>
      <c r="R53" s="67">
        <f t="shared" si="418"/>
        <v>281663734.20923078</v>
      </c>
      <c r="S53" s="68">
        <f>Liquefaction!G23*Liquefaction!G7</f>
        <v>319273504</v>
      </c>
      <c r="T53" s="68">
        <f t="shared" si="419"/>
        <v>559274110.07261527</v>
      </c>
      <c r="U53" s="68">
        <f t="shared" si="412"/>
        <v>559274110.07261527</v>
      </c>
      <c r="V53" s="68">
        <f t="shared" si="420"/>
        <v>173031063.03999999</v>
      </c>
      <c r="W53" s="68">
        <f>Liquefaction!H23*Liquefaction!H7</f>
        <v>838423815.11111116</v>
      </c>
      <c r="X53" s="68">
        <f t="shared" si="394"/>
        <v>838423815.11111116</v>
      </c>
      <c r="Y53" s="68">
        <f t="shared" si="421"/>
        <v>281663734.20923078</v>
      </c>
    </row>
    <row r="54">
      <c r="A54" s="75"/>
      <c r="B54" s="65" t="s">
        <v>782</v>
      </c>
      <c r="C54" s="65" t="s">
        <v>550</v>
      </c>
      <c r="E54" s="66">
        <f>Liquefaction!C26</f>
        <v>70560000</v>
      </c>
      <c r="F54" s="66">
        <f t="shared" ref="F54:F57" si="422">0</f>
        <v>0</v>
      </c>
      <c r="G54" s="66">
        <f t="shared" si="410"/>
        <v>0</v>
      </c>
      <c r="H54" s="66">
        <v>0</v>
      </c>
      <c r="I54" s="66">
        <f>Liquefaction!D26</f>
        <v>15744000</v>
      </c>
      <c r="J54" s="66">
        <f>I54</f>
        <v>15744000</v>
      </c>
      <c r="K54" s="66">
        <v>0</v>
      </c>
      <c r="L54" s="67">
        <f>Liquefaction!E26</f>
        <v>176400000</v>
      </c>
      <c r="M54" s="67">
        <f t="shared" ref="M54:M57" si="423">0</f>
        <v>0</v>
      </c>
      <c r="N54" s="67">
        <f t="shared" si="411"/>
        <v>0</v>
      </c>
      <c r="O54" s="67">
        <v>0</v>
      </c>
      <c r="P54" s="67">
        <f>Liquefaction!F26</f>
        <v>120048000</v>
      </c>
      <c r="Q54" s="67">
        <f t="shared" si="392"/>
        <v>120048000</v>
      </c>
      <c r="R54" s="67">
        <v>0</v>
      </c>
      <c r="S54" s="68">
        <f>Liquefaction!G26</f>
        <v>123926880</v>
      </c>
      <c r="T54" s="68">
        <f t="shared" ref="T54:T57" si="424">0</f>
        <v>0</v>
      </c>
      <c r="U54" s="68">
        <f t="shared" si="412"/>
        <v>0</v>
      </c>
      <c r="V54" s="68">
        <v>0</v>
      </c>
      <c r="W54" s="68">
        <f>Liquefaction!H26</f>
        <v>48839199.999999993</v>
      </c>
      <c r="X54" s="68">
        <f t="shared" si="394"/>
        <v>48839199.999999993</v>
      </c>
      <c r="Y54" s="68">
        <v>0</v>
      </c>
    </row>
    <row r="55">
      <c r="A55" s="75"/>
      <c r="C55" s="65" t="s">
        <v>551</v>
      </c>
      <c r="D55" s="65" t="s">
        <v>555</v>
      </c>
      <c r="E55" s="66">
        <f>Liquefaction!C27</f>
        <v>68328931.773177326</v>
      </c>
      <c r="F55" s="66">
        <f t="shared" si="422"/>
        <v>0</v>
      </c>
      <c r="G55" s="66">
        <f t="shared" si="410"/>
        <v>0</v>
      </c>
      <c r="H55" s="66">
        <v>0</v>
      </c>
      <c r="I55" s="66">
        <f>Liquefaction!D27</f>
        <v>15529838.868479999</v>
      </c>
      <c r="J55" s="66">
        <f t="shared" si="390"/>
        <v>15529838.868479999</v>
      </c>
      <c r="K55" s="66">
        <v>0</v>
      </c>
      <c r="L55" s="67">
        <f>Liquefaction!E27</f>
        <v>170822329.43294331</v>
      </c>
      <c r="M55" s="67">
        <f t="shared" si="423"/>
        <v>0</v>
      </c>
      <c r="N55" s="67">
        <f t="shared" si="411"/>
        <v>0</v>
      </c>
      <c r="O55" s="67">
        <v>0</v>
      </c>
      <c r="P55" s="67">
        <f>Liquefaction!F27</f>
        <v>118150326.45179828</v>
      </c>
      <c r="Q55" s="67">
        <f t="shared" si="392"/>
        <v>118150326.45179828</v>
      </c>
      <c r="R55" s="67">
        <v>0</v>
      </c>
      <c r="S55" s="68">
        <f>Liquefaction!G27</f>
        <v>120008380.50429045</v>
      </c>
      <c r="T55" s="68">
        <f t="shared" si="424"/>
        <v>0</v>
      </c>
      <c r="U55" s="68">
        <f t="shared" si="412"/>
        <v>0</v>
      </c>
      <c r="V55" s="68">
        <v>0</v>
      </c>
      <c r="W55" s="68">
        <f>Liquefaction!H27</f>
        <v>48174854.323263995</v>
      </c>
      <c r="X55" s="68">
        <f t="shared" si="394"/>
        <v>48174854.323263995</v>
      </c>
      <c r="Y55" s="68">
        <v>0</v>
      </c>
    </row>
    <row r="56">
      <c r="A56" s="75"/>
      <c r="C56" s="65" t="s">
        <v>552</v>
      </c>
      <c r="D56" s="65" t="s">
        <v>555</v>
      </c>
      <c r="E56" s="66">
        <f>Liquefaction!C28</f>
        <v>65025670.567056701</v>
      </c>
      <c r="F56" s="66">
        <f t="shared" si="422"/>
        <v>0</v>
      </c>
      <c r="G56" s="66">
        <f t="shared" si="410"/>
        <v>0</v>
      </c>
      <c r="H56" s="66">
        <v>0</v>
      </c>
      <c r="I56" s="66">
        <f>Liquefaction!D28</f>
        <v>15212757.504000001</v>
      </c>
      <c r="J56" s="66">
        <f t="shared" si="390"/>
        <v>15212757.504000001</v>
      </c>
      <c r="K56" s="66">
        <v>0</v>
      </c>
      <c r="L56" s="67">
        <f>Liquefaction!E28</f>
        <v>162564176.41764176</v>
      </c>
      <c r="M56" s="67">
        <f t="shared" si="423"/>
        <v>0</v>
      </c>
      <c r="N56" s="67">
        <f t="shared" si="411"/>
        <v>0</v>
      </c>
      <c r="O56" s="67">
        <v>0</v>
      </c>
      <c r="P56" s="67">
        <f>Liquefaction!F28</f>
        <v>115910095.82012092</v>
      </c>
      <c r="Q56" s="67">
        <f t="shared" si="392"/>
        <v>115910095.82012092</v>
      </c>
      <c r="R56" s="67">
        <v>0</v>
      </c>
      <c r="S56" s="68">
        <f>Liquefaction!G28</f>
        <v>114206752.73927392</v>
      </c>
      <c r="T56" s="68">
        <f t="shared" si="424"/>
        <v>0</v>
      </c>
      <c r="U56" s="68">
        <f t="shared" si="412"/>
        <v>0</v>
      </c>
      <c r="V56" s="68">
        <v>0</v>
      </c>
      <c r="W56" s="68">
        <f>Liquefaction!H28</f>
        <v>47191241.507199995</v>
      </c>
      <c r="X56" s="68">
        <f t="shared" si="394"/>
        <v>47191241.507199995</v>
      </c>
      <c r="Y56" s="68">
        <v>0</v>
      </c>
    </row>
    <row r="57">
      <c r="A57" s="75"/>
      <c r="C57" s="65" t="s">
        <v>553</v>
      </c>
      <c r="D57" s="65" t="s">
        <v>555</v>
      </c>
      <c r="E57" s="66">
        <f>Liquefaction!C29</f>
        <v>57474978.217821777</v>
      </c>
      <c r="F57" s="66">
        <f t="shared" si="422"/>
        <v>0</v>
      </c>
      <c r="G57" s="66">
        <f t="shared" si="410"/>
        <v>0</v>
      </c>
      <c r="H57" s="66">
        <v>0</v>
      </c>
      <c r="I57" s="66">
        <f>Liquefaction!D29</f>
        <v>14487963.525119999</v>
      </c>
      <c r="J57" s="66">
        <f t="shared" si="390"/>
        <v>14487963.525119999</v>
      </c>
      <c r="K57" s="66">
        <v>0</v>
      </c>
      <c r="L57" s="67">
        <f>Liquefaction!E29</f>
        <v>143687445.54455444</v>
      </c>
      <c r="M57" s="67">
        <f t="shared" si="423"/>
        <v>0</v>
      </c>
      <c r="N57" s="67">
        <f t="shared" si="411"/>
        <v>0</v>
      </c>
      <c r="O57" s="67">
        <v>0</v>
      </c>
      <c r="P57" s="67">
        <f>Liquefaction!F29</f>
        <v>110947533.55466354</v>
      </c>
      <c r="Q57" s="67">
        <f t="shared" si="392"/>
        <v>110947533.55466354</v>
      </c>
      <c r="R57" s="67">
        <v>0</v>
      </c>
      <c r="S57" s="68">
        <f>Liquefaction!G29</f>
        <v>100945220.07656765</v>
      </c>
      <c r="T57" s="68">
        <f t="shared" si="424"/>
        <v>0</v>
      </c>
      <c r="U57" s="68">
        <f t="shared" si="412"/>
        <v>0</v>
      </c>
      <c r="V57" s="68">
        <v>0</v>
      </c>
      <c r="W57" s="68">
        <f>Liquefaction!H29</f>
        <v>44942870.185215995</v>
      </c>
      <c r="X57" s="68">
        <f t="shared" si="394"/>
        <v>44942870.185215995</v>
      </c>
      <c r="Y57" s="68">
        <v>0</v>
      </c>
    </row>
    <row r="58">
      <c r="A58" s="75"/>
      <c r="B58" s="65" t="s">
        <v>783</v>
      </c>
      <c r="C58" s="65" t="s">
        <v>550</v>
      </c>
      <c r="E58" s="66">
        <f>Liquefaction!C20*Liquefaction!C7</f>
        <v>391960800</v>
      </c>
      <c r="F58" s="66">
        <f t="shared" ref="F58:F61" si="425">F10</f>
        <v>643135680</v>
      </c>
      <c r="G58" s="66">
        <f t="shared" si="410"/>
        <v>643135680</v>
      </c>
      <c r="H58" s="66">
        <f t="shared" si="414"/>
        <v>289080422.39999998</v>
      </c>
      <c r="I58" s="66">
        <f>Liquefaction!D20*Liquefaction!D7</f>
        <v>911111111.11111116</v>
      </c>
      <c r="J58" s="66">
        <f>I58</f>
        <v>911111111.11111116</v>
      </c>
      <c r="K58" s="66">
        <f t="shared" ref="K58:K61" si="426">K26</f>
        <v>328798650.00000006</v>
      </c>
      <c r="L58" s="67">
        <f>Liquefaction!E20*Liquefaction!E7</f>
        <v>391960800</v>
      </c>
      <c r="M58" s="67">
        <f t="shared" ref="M58:M61" si="427">M10</f>
        <v>643135680</v>
      </c>
      <c r="N58" s="67">
        <f t="shared" si="411"/>
        <v>643135680</v>
      </c>
      <c r="O58" s="67">
        <f t="shared" si="417"/>
        <v>289080422.39999998</v>
      </c>
      <c r="P58" s="67">
        <f>Liquefaction!F20*Liquefaction!F7</f>
        <v>911111111.11111116</v>
      </c>
      <c r="Q58" s="67">
        <f t="shared" si="392"/>
        <v>911111111.11111116</v>
      </c>
      <c r="R58" s="67">
        <f t="shared" ref="R58:R61" si="428">R26</f>
        <v>328798650.00000006</v>
      </c>
      <c r="S58" s="68">
        <f>Liquefaction!G20*Liquefaction!G7</f>
        <v>391960800</v>
      </c>
      <c r="T58" s="68">
        <f t="shared" ref="T58:T61" si="429">T10</f>
        <v>643135680</v>
      </c>
      <c r="U58" s="68">
        <f t="shared" si="412"/>
        <v>643135680</v>
      </c>
      <c r="V58" s="68">
        <f t="shared" si="420"/>
        <v>289080422.39999998</v>
      </c>
      <c r="W58" s="68">
        <f>Liquefaction!H20*Liquefaction!H7</f>
        <v>911111111.11111116</v>
      </c>
      <c r="X58" s="68">
        <f t="shared" si="394"/>
        <v>911111111.11111116</v>
      </c>
      <c r="Y58" s="68">
        <f t="shared" ref="Y58:Y61" si="430">Y26</f>
        <v>328798650.00000006</v>
      </c>
    </row>
    <row r="59">
      <c r="A59" s="75"/>
      <c r="C59" s="65" t="s">
        <v>551</v>
      </c>
      <c r="D59" s="65" t="s">
        <v>555</v>
      </c>
      <c r="E59" s="66">
        <f>Liquefaction!C21*Liquefaction!C7</f>
        <v>379567216</v>
      </c>
      <c r="F59" s="66">
        <f t="shared" si="425"/>
        <v>628836820.79815376</v>
      </c>
      <c r="G59" s="66">
        <f t="shared" si="410"/>
        <v>628836820.79815376</v>
      </c>
      <c r="H59" s="66">
        <f t="shared" si="414"/>
        <v>268014425.72799999</v>
      </c>
      <c r="I59" s="66">
        <f>Liquefaction!D21*Liquefaction!D7</f>
        <v>898717527.11111116</v>
      </c>
      <c r="J59" s="66">
        <f t="shared" si="390"/>
        <v>898717527.11111116</v>
      </c>
      <c r="K59" s="66">
        <f t="shared" si="426"/>
        <v>320761887.4523077</v>
      </c>
      <c r="L59" s="67">
        <f>Liquefaction!E21*Liquefaction!E7</f>
        <v>379567216</v>
      </c>
      <c r="M59" s="67">
        <f t="shared" si="427"/>
        <v>628836820.79815376</v>
      </c>
      <c r="N59" s="67">
        <f t="shared" si="411"/>
        <v>628836820.79815376</v>
      </c>
      <c r="O59" s="67">
        <f t="shared" si="417"/>
        <v>268014425.72799999</v>
      </c>
      <c r="P59" s="67">
        <f>Liquefaction!F21*Liquefaction!F7</f>
        <v>896708609.98632562</v>
      </c>
      <c r="Q59" s="67">
        <f t="shared" si="392"/>
        <v>896708609.98632562</v>
      </c>
      <c r="R59" s="67">
        <f t="shared" si="428"/>
        <v>320761887.4523077</v>
      </c>
      <c r="S59" s="68">
        <f>Liquefaction!G21*Liquefaction!G7</f>
        <v>379567216</v>
      </c>
      <c r="T59" s="68">
        <f t="shared" si="429"/>
        <v>628836820.79815376</v>
      </c>
      <c r="U59" s="68">
        <f t="shared" si="412"/>
        <v>628836820.79815376</v>
      </c>
      <c r="V59" s="68">
        <f t="shared" si="420"/>
        <v>268014425.72799999</v>
      </c>
      <c r="W59" s="68">
        <f>Liquefaction!H21*Liquefaction!H7</f>
        <v>898717527.11111116</v>
      </c>
      <c r="X59" s="68">
        <f t="shared" si="394"/>
        <v>898717527.11111116</v>
      </c>
      <c r="Y59" s="68">
        <f t="shared" si="430"/>
        <v>320761887.4523077</v>
      </c>
    </row>
    <row r="60">
      <c r="A60" s="75"/>
      <c r="C60" s="65" t="s">
        <v>552</v>
      </c>
      <c r="D60" s="65" t="s">
        <v>555</v>
      </c>
      <c r="E60" s="66">
        <f>Liquefaction!C22*Liquefaction!C7</f>
        <v>361217599.99999994</v>
      </c>
      <c r="F60" s="66">
        <f t="shared" si="425"/>
        <v>607666304.2153846</v>
      </c>
      <c r="G60" s="66">
        <f t="shared" si="410"/>
        <v>607666304.2153846</v>
      </c>
      <c r="H60" s="66">
        <f t="shared" si="414"/>
        <v>240992397.05599996</v>
      </c>
      <c r="I60" s="66">
        <f>Liquefaction!D22*Liquefaction!D7</f>
        <v>880367911.11111116</v>
      </c>
      <c r="J60" s="66">
        <f t="shared" si="390"/>
        <v>880367911.11111116</v>
      </c>
      <c r="K60" s="66">
        <f t="shared" si="426"/>
        <v>308862867.23076928</v>
      </c>
      <c r="L60" s="67">
        <f>Liquefaction!E22*Liquefaction!E7</f>
        <v>361217599.99999994</v>
      </c>
      <c r="M60" s="67">
        <f t="shared" si="427"/>
        <v>607666304.2153846</v>
      </c>
      <c r="N60" s="67">
        <f t="shared" si="411"/>
        <v>607666304.2153846</v>
      </c>
      <c r="O60" s="67">
        <f t="shared" si="417"/>
        <v>240992397.05599996</v>
      </c>
      <c r="P60" s="67">
        <f>Liquefaction!F22*Liquefaction!F7</f>
        <v>879706252.42957592</v>
      </c>
      <c r="Q60" s="67">
        <f t="shared" si="392"/>
        <v>879706252.42957592</v>
      </c>
      <c r="R60" s="67">
        <f t="shared" si="428"/>
        <v>308862867.23076928</v>
      </c>
      <c r="S60" s="68">
        <f>Liquefaction!G22*Liquefaction!G7</f>
        <v>361217599.99999994</v>
      </c>
      <c r="T60" s="68">
        <f t="shared" si="429"/>
        <v>607666304.2153846</v>
      </c>
      <c r="U60" s="68">
        <f t="shared" si="412"/>
        <v>607666304.2153846</v>
      </c>
      <c r="V60" s="68">
        <f t="shared" si="420"/>
        <v>240992397.05599996</v>
      </c>
      <c r="W60" s="68">
        <f>Liquefaction!H22*Liquefaction!H7</f>
        <v>880367911.11111116</v>
      </c>
      <c r="X60" s="68">
        <f t="shared" si="394"/>
        <v>880367911.11111116</v>
      </c>
      <c r="Y60" s="68">
        <f t="shared" si="430"/>
        <v>308862867.23076928</v>
      </c>
    </row>
    <row r="61">
      <c r="A61" s="75"/>
      <c r="C61" s="65" t="s">
        <v>553</v>
      </c>
      <c r="D61" s="65" t="s">
        <v>555</v>
      </c>
      <c r="E61" s="66">
        <f>Liquefaction!C23*Liquefaction!C7</f>
        <v>319273504</v>
      </c>
      <c r="F61" s="66">
        <f t="shared" si="425"/>
        <v>559274110.07261527</v>
      </c>
      <c r="G61" s="66">
        <f t="shared" si="410"/>
        <v>559274110.07261527</v>
      </c>
      <c r="H61" s="66">
        <f t="shared" si="414"/>
        <v>173031063.03999999</v>
      </c>
      <c r="I61" s="66">
        <f>Liquefaction!D23*Liquefaction!D7</f>
        <v>838423815.11111116</v>
      </c>
      <c r="J61" s="66">
        <f t="shared" si="390"/>
        <v>838423815.11111116</v>
      </c>
      <c r="K61" s="66">
        <f t="shared" si="426"/>
        <v>281663734.20923078</v>
      </c>
      <c r="L61" s="67">
        <f>Liquefaction!E23*Liquefaction!E7</f>
        <v>319273504</v>
      </c>
      <c r="M61" s="67">
        <f t="shared" si="427"/>
        <v>559274110.07261527</v>
      </c>
      <c r="N61" s="67">
        <f t="shared" si="411"/>
        <v>559274110.07261527</v>
      </c>
      <c r="O61" s="67">
        <f t="shared" si="417"/>
        <v>173031063.03999999</v>
      </c>
      <c r="P61" s="67">
        <f>Liquefaction!F23*Liquefaction!F7</f>
        <v>842042604.39179969</v>
      </c>
      <c r="Q61" s="67">
        <f t="shared" si="392"/>
        <v>842042604.39179969</v>
      </c>
      <c r="R61" s="67">
        <f t="shared" si="428"/>
        <v>281663734.20923078</v>
      </c>
      <c r="S61" s="68">
        <f>Liquefaction!G23*Liquefaction!G7</f>
        <v>319273504</v>
      </c>
      <c r="T61" s="68">
        <f t="shared" si="429"/>
        <v>559274110.07261527</v>
      </c>
      <c r="U61" s="68">
        <f t="shared" si="412"/>
        <v>559274110.07261527</v>
      </c>
      <c r="V61" s="68">
        <f t="shared" si="420"/>
        <v>173031063.03999999</v>
      </c>
      <c r="W61" s="68">
        <f>Liquefaction!H23*Liquefaction!H7</f>
        <v>838423815.11111116</v>
      </c>
      <c r="X61" s="68">
        <f t="shared" si="394"/>
        <v>838423815.11111116</v>
      </c>
      <c r="Y61" s="68">
        <f t="shared" si="430"/>
        <v>281663734.20923078</v>
      </c>
    </row>
    <row r="62">
      <c r="A62" s="75"/>
      <c r="B62" s="65" t="s">
        <v>784</v>
      </c>
      <c r="C62" s="65" t="s">
        <v>550</v>
      </c>
      <c r="E62" s="66">
        <f>Liquefaction!C32</f>
        <v>4688256.6078966316</v>
      </c>
      <c r="F62" s="66">
        <f t="shared" ref="F62:F65" si="431">0</f>
        <v>0</v>
      </c>
      <c r="G62" s="66">
        <f t="shared" si="410"/>
        <v>0</v>
      </c>
      <c r="H62" s="66">
        <v>0</v>
      </c>
      <c r="I62" s="66">
        <f>Liquefaction!D32</f>
        <v>3407200.4701798633</v>
      </c>
      <c r="J62" s="66">
        <f>I62</f>
        <v>3407200.4701798633</v>
      </c>
      <c r="K62" s="66">
        <v>0</v>
      </c>
      <c r="L62" s="67">
        <f>Liquefaction!E32</f>
        <v>38063273.598279752</v>
      </c>
      <c r="M62" s="67">
        <f t="shared" ref="M62:M65" si="432">0</f>
        <v>0</v>
      </c>
      <c r="N62" s="67">
        <f t="shared" si="411"/>
        <v>0</v>
      </c>
      <c r="O62" s="67">
        <v>0</v>
      </c>
      <c r="P62" s="67">
        <f>Liquefaction!F32</f>
        <v>28577435.140858538</v>
      </c>
      <c r="Q62" s="67">
        <f t="shared" si="392"/>
        <v>28577435.140858538</v>
      </c>
      <c r="R62" s="67">
        <v>0</v>
      </c>
      <c r="S62" s="68">
        <f>Liquefaction!G32</f>
        <v>14834075.995869577</v>
      </c>
      <c r="T62" s="68">
        <f t="shared" ref="T62:T65" si="433">0</f>
        <v>0</v>
      </c>
      <c r="U62" s="68">
        <f t="shared" si="412"/>
        <v>0</v>
      </c>
      <c r="V62" s="68">
        <v>0</v>
      </c>
      <c r="W62" s="68">
        <f>Liquefaction!H32</f>
        <v>10937120.37985778</v>
      </c>
      <c r="X62" s="68">
        <f t="shared" si="394"/>
        <v>10937120.37985778</v>
      </c>
      <c r="Y62" s="68">
        <v>0</v>
      </c>
    </row>
    <row r="63">
      <c r="A63" s="75"/>
      <c r="C63" s="65" t="s">
        <v>551</v>
      </c>
      <c r="D63" s="65" t="s">
        <v>785</v>
      </c>
      <c r="E63" s="66">
        <f>Liquefaction!C33</f>
        <v>4540016.5234710416</v>
      </c>
      <c r="F63" s="66">
        <f t="shared" si="431"/>
        <v>0</v>
      </c>
      <c r="G63" s="66">
        <f t="shared" si="410"/>
        <v>0</v>
      </c>
      <c r="H63" s="66">
        <v>0</v>
      </c>
      <c r="I63" s="66">
        <f>Liquefaction!D33</f>
        <v>3360853.2961447267</v>
      </c>
      <c r="J63" s="66">
        <f t="shared" si="390"/>
        <v>3360853.2961447267</v>
      </c>
      <c r="K63" s="66">
        <v>0</v>
      </c>
      <c r="L63" s="67">
        <f>Liquefaction!E33</f>
        <v>36859733.911006786</v>
      </c>
      <c r="M63" s="67">
        <f t="shared" si="432"/>
        <v>0</v>
      </c>
      <c r="N63" s="67">
        <f t="shared" si="411"/>
        <v>0</v>
      </c>
      <c r="O63" s="67">
        <v>0</v>
      </c>
      <c r="P63" s="67">
        <f>Liquefaction!F33</f>
        <v>28125693.814536918</v>
      </c>
      <c r="Q63" s="67">
        <f t="shared" si="392"/>
        <v>28125693.814536918</v>
      </c>
      <c r="R63" s="67">
        <v>0</v>
      </c>
      <c r="S63" s="68">
        <f>Liquefaction!G33</f>
        <v>14365030.706347786</v>
      </c>
      <c r="T63" s="68">
        <f t="shared" si="433"/>
        <v>0</v>
      </c>
      <c r="U63" s="68">
        <f t="shared" si="412"/>
        <v>0</v>
      </c>
      <c r="V63" s="68">
        <v>0</v>
      </c>
      <c r="W63" s="68">
        <f>Liquefaction!H33</f>
        <v>10788345.857746448</v>
      </c>
      <c r="X63" s="68">
        <f t="shared" si="394"/>
        <v>10788345.857746448</v>
      </c>
      <c r="Y63" s="68">
        <v>0</v>
      </c>
    </row>
    <row r="64">
      <c r="A64" s="75"/>
      <c r="C64" s="65" t="s">
        <v>552</v>
      </c>
      <c r="D64" s="65" t="s">
        <v>785</v>
      </c>
      <c r="E64" s="66">
        <f>Liquefaction!C34</f>
        <v>4320536.1354721244</v>
      </c>
      <c r="F64" s="66">
        <f t="shared" si="431"/>
        <v>0</v>
      </c>
      <c r="G64" s="66">
        <f t="shared" si="410"/>
        <v>0</v>
      </c>
      <c r="H64" s="66">
        <v>0</v>
      </c>
      <c r="I64" s="66">
        <f>Liquefaction!D34</f>
        <v>3292232.8836611439</v>
      </c>
      <c r="J64" s="66">
        <f t="shared" si="390"/>
        <v>3292232.8836611439</v>
      </c>
      <c r="K64" s="66">
        <v>0</v>
      </c>
      <c r="L64" s="67">
        <f>Liquefaction!E34</f>
        <v>35077804.559318118</v>
      </c>
      <c r="M64" s="67">
        <f t="shared" si="432"/>
        <v>0</v>
      </c>
      <c r="N64" s="67">
        <f t="shared" si="411"/>
        <v>0</v>
      </c>
      <c r="O64" s="67">
        <v>0</v>
      </c>
      <c r="P64" s="67">
        <f>Liquefaction!F34</f>
        <v>27592406.749551881</v>
      </c>
      <c r="Q64" s="67">
        <f t="shared" si="392"/>
        <v>27592406.749551881</v>
      </c>
      <c r="R64" s="67">
        <v>0</v>
      </c>
      <c r="S64" s="68">
        <f>Liquefaction!G34</f>
        <v>13670574.530528609</v>
      </c>
      <c r="T64" s="68">
        <f t="shared" si="433"/>
        <v>0</v>
      </c>
      <c r="U64" s="68">
        <f t="shared" si="412"/>
        <v>0</v>
      </c>
      <c r="V64" s="68">
        <v>0</v>
      </c>
      <c r="W64" s="68">
        <f>Liquefaction!H34</f>
        <v>10568074.195301879</v>
      </c>
      <c r="X64" s="68">
        <f t="shared" si="394"/>
        <v>10568074.195301879</v>
      </c>
      <c r="Y64" s="68">
        <v>0</v>
      </c>
    </row>
    <row r="65" s="77" customFormat="1">
      <c r="A65" s="78"/>
      <c r="C65" s="77" t="s">
        <v>553</v>
      </c>
      <c r="D65" s="77" t="s">
        <v>785</v>
      </c>
      <c r="E65" s="79">
        <f>Liquefaction!C35</f>
        <v>3818841.3608052433</v>
      </c>
      <c r="F65" s="79">
        <f t="shared" si="431"/>
        <v>0</v>
      </c>
      <c r="G65" s="79">
        <f t="shared" si="410"/>
        <v>0</v>
      </c>
      <c r="H65" s="79">
        <v>0</v>
      </c>
      <c r="I65" s="79">
        <f>Liquefaction!D35</f>
        <v>3135378.3114035553</v>
      </c>
      <c r="J65" s="79">
        <f t="shared" si="390"/>
        <v>3135378.3114035553</v>
      </c>
      <c r="K65" s="79">
        <v>0</v>
      </c>
      <c r="L65" s="80">
        <f>Liquefaction!E35</f>
        <v>31004617.643992629</v>
      </c>
      <c r="M65" s="80">
        <f t="shared" si="432"/>
        <v>0</v>
      </c>
      <c r="N65" s="80">
        <f t="shared" si="411"/>
        <v>0</v>
      </c>
      <c r="O65" s="80">
        <v>0</v>
      </c>
      <c r="P65" s="80">
        <f>Liquefaction!F35</f>
        <v>26411068.440928824</v>
      </c>
      <c r="Q65" s="80">
        <f t="shared" si="392"/>
        <v>26411068.440928824</v>
      </c>
      <c r="R65" s="80">
        <v>0</v>
      </c>
      <c r="S65" s="81">
        <f>Liquefaction!G35</f>
        <v>12083166.025285102</v>
      </c>
      <c r="T65" s="81">
        <f t="shared" si="433"/>
        <v>0</v>
      </c>
      <c r="U65" s="81">
        <f t="shared" si="412"/>
        <v>0</v>
      </c>
      <c r="V65" s="81">
        <v>0</v>
      </c>
      <c r="W65" s="81">
        <f>Liquefaction!H35</f>
        <v>10064570.702059586</v>
      </c>
      <c r="X65" s="81">
        <f t="shared" si="394"/>
        <v>10064570.702059586</v>
      </c>
      <c r="Y65" s="81">
        <v>0</v>
      </c>
    </row>
    <row r="66">
      <c r="A66" s="65" t="s">
        <v>788</v>
      </c>
      <c r="B66" s="65" t="s">
        <v>781</v>
      </c>
      <c r="C66" s="65" t="s">
        <v>550</v>
      </c>
      <c r="E66" s="66">
        <f>'Storage 1'!C21*'Storage 1'!C6</f>
        <v>391960800</v>
      </c>
      <c r="F66" s="66">
        <f>'Storage 1'!D21*'Storage 1'!D6</f>
        <v>557440000</v>
      </c>
      <c r="G66" s="66">
        <f t="shared" si="410"/>
        <v>557440000</v>
      </c>
      <c r="H66" s="66">
        <f>'Storage 1'!E21*'Storage 1'!E6</f>
        <v>289080422.40000004</v>
      </c>
      <c r="I66" s="66">
        <f>'Storage 1'!F21*'Storage 1'!F6</f>
        <v>911111111.11111116</v>
      </c>
      <c r="J66" s="66">
        <f>I66</f>
        <v>911111111.11111116</v>
      </c>
      <c r="K66" s="66">
        <f>'Storage 1'!G21*'Storage 1'!G6</f>
        <v>328798650.00000006</v>
      </c>
      <c r="L66" s="67">
        <f>'Storage 1'!H21*'Storage 1'!H6</f>
        <v>391960800</v>
      </c>
      <c r="M66" s="67">
        <f>'Storage 1'!I21*'Storage 1'!I6</f>
        <v>557440000</v>
      </c>
      <c r="N66" s="67">
        <f t="shared" si="411"/>
        <v>557440000</v>
      </c>
      <c r="O66" s="67">
        <f>'Storage 1'!J21*'Storage 1'!J6</f>
        <v>289080422.40000004</v>
      </c>
      <c r="P66" s="67">
        <f>'Storage 1'!K21*'Storage 1'!K6</f>
        <v>911111111.11111116</v>
      </c>
      <c r="Q66" s="67">
        <f t="shared" ref="Q66:Q70" si="434">P66</f>
        <v>911111111.11111116</v>
      </c>
      <c r="R66" s="67">
        <f>'Storage 1'!L21*'Storage 1'!L6</f>
        <v>328798650.00000006</v>
      </c>
      <c r="S66" s="68">
        <f>'Storage 1'!M21*'Storage 1'!M6</f>
        <v>391960800</v>
      </c>
      <c r="T66" s="68">
        <f>'Storage 1'!N21*'Storage 1'!N6</f>
        <v>557440000</v>
      </c>
      <c r="U66" s="68">
        <f t="shared" si="412"/>
        <v>557440000</v>
      </c>
      <c r="V66" s="68">
        <f>'Storage 1'!O21*'Storage 1'!O6</f>
        <v>289080422.40000004</v>
      </c>
      <c r="W66" s="68">
        <f>'Storage 1'!P21*'Storage 1'!P6</f>
        <v>911111111.11111116</v>
      </c>
      <c r="X66" s="68">
        <f t="shared" ref="X66:X70" si="435">W66</f>
        <v>911111111.11111116</v>
      </c>
      <c r="Y66" s="68">
        <f>'Storage 1'!Q21*'Storage 1'!Q6</f>
        <v>328798650.00000006</v>
      </c>
    </row>
    <row r="67">
      <c r="C67" s="65" t="s">
        <v>551</v>
      </c>
      <c r="D67" s="65" t="s">
        <v>555</v>
      </c>
      <c r="E67" s="66">
        <f>'Storage 1'!C22*'Storage 1'!C6</f>
        <v>379567216</v>
      </c>
      <c r="F67" s="66">
        <f>'Storage 1'!D22*'Storage 1'!D6</f>
        <v>545046416</v>
      </c>
      <c r="G67" s="66">
        <f t="shared" si="410"/>
        <v>545046416</v>
      </c>
      <c r="H67" s="66">
        <f>'Storage 1'!E22*'Storage 1'!E6</f>
        <v>268014425.72800002</v>
      </c>
      <c r="I67" s="66">
        <f>'Storage 1'!F22*'Storage 1'!F6</f>
        <v>898717527.11111116</v>
      </c>
      <c r="J67" s="66">
        <f t="shared" ref="J66:J81" si="436">I67</f>
        <v>898717527.11111116</v>
      </c>
      <c r="K67" s="66">
        <f>'Storage 1'!G22*'Storage 1'!G6</f>
        <v>320761887.4523077</v>
      </c>
      <c r="L67" s="67">
        <f>'Storage 1'!H22*'Storage 1'!H6</f>
        <v>379567216</v>
      </c>
      <c r="M67" s="67">
        <f>'Storage 1'!I22*'Storage 1'!I6</f>
        <v>545046416</v>
      </c>
      <c r="N67" s="67">
        <f t="shared" si="411"/>
        <v>545046416</v>
      </c>
      <c r="O67" s="67">
        <f>'Storage 1'!J22*'Storage 1'!J6</f>
        <v>268014425.72800002</v>
      </c>
      <c r="P67" s="67">
        <f>'Storage 1'!K22*'Storage 1'!K6</f>
        <v>896708609.98632562</v>
      </c>
      <c r="Q67" s="67">
        <f t="shared" si="434"/>
        <v>896708609.98632562</v>
      </c>
      <c r="R67" s="67">
        <f>'Storage 1'!L22*'Storage 1'!L6</f>
        <v>320761887.4523077</v>
      </c>
      <c r="S67" s="68">
        <f>'Storage 1'!M22*'Storage 1'!M6</f>
        <v>379567216</v>
      </c>
      <c r="T67" s="68">
        <f>'Storage 1'!N22*'Storage 1'!N6</f>
        <v>545046416</v>
      </c>
      <c r="U67" s="68">
        <f t="shared" si="412"/>
        <v>545046416</v>
      </c>
      <c r="V67" s="68">
        <f>'Storage 1'!O22*'Storage 1'!O6</f>
        <v>268014425.72800002</v>
      </c>
      <c r="W67" s="68">
        <f>'Storage 1'!P22*'Storage 1'!P6</f>
        <v>898717527.11111116</v>
      </c>
      <c r="X67" s="68">
        <f t="shared" si="435"/>
        <v>898717527.11111116</v>
      </c>
      <c r="Y67" s="68">
        <f>'Storage 1'!Q22*'Storage 1'!Q6</f>
        <v>320761887.4523077</v>
      </c>
    </row>
    <row r="68">
      <c r="C68" s="65" t="s">
        <v>552</v>
      </c>
      <c r="D68" s="65" t="s">
        <v>555</v>
      </c>
      <c r="E68" s="66">
        <f>'Storage 1'!C23*'Storage 1'!C6</f>
        <v>361217599.99999994</v>
      </c>
      <c r="F68" s="66">
        <f>'Storage 1'!D23*'Storage 1'!D6</f>
        <v>526696800.00000006</v>
      </c>
      <c r="G68" s="66">
        <f t="shared" si="410"/>
        <v>526696800.00000006</v>
      </c>
      <c r="H68" s="66">
        <f>'Storage 1'!E23*'Storage 1'!E6</f>
        <v>240992397.05599999</v>
      </c>
      <c r="I68" s="66">
        <f>'Storage 1'!F23*'Storage 1'!F6</f>
        <v>880367911.11111116</v>
      </c>
      <c r="J68" s="66">
        <f t="shared" si="436"/>
        <v>880367911.11111116</v>
      </c>
      <c r="K68" s="66">
        <f>'Storage 1'!G23*'Storage 1'!G6</f>
        <v>308862867.23076928</v>
      </c>
      <c r="L68" s="67">
        <f>'Storage 1'!H23*'Storage 1'!H6</f>
        <v>361217599.99999994</v>
      </c>
      <c r="M68" s="67">
        <f>'Storage 1'!I23*'Storage 1'!I6</f>
        <v>526696800.00000006</v>
      </c>
      <c r="N68" s="67">
        <f t="shared" si="411"/>
        <v>526696800.00000006</v>
      </c>
      <c r="O68" s="67">
        <f>'Storage 1'!J23*'Storage 1'!J6</f>
        <v>240992397.05599999</v>
      </c>
      <c r="P68" s="67">
        <f>'Storage 1'!K23*'Storage 1'!K6</f>
        <v>879706252.42957592</v>
      </c>
      <c r="Q68" s="67">
        <f t="shared" si="434"/>
        <v>879706252.42957592</v>
      </c>
      <c r="R68" s="67">
        <f>'Storage 1'!L23*'Storage 1'!L6</f>
        <v>308862867.23076928</v>
      </c>
      <c r="S68" s="68">
        <f>'Storage 1'!M23*'Storage 1'!M6</f>
        <v>361217599.99999994</v>
      </c>
      <c r="T68" s="68">
        <f>'Storage 1'!N23*'Storage 1'!N6</f>
        <v>526696800.00000006</v>
      </c>
      <c r="U68" s="68">
        <f t="shared" si="412"/>
        <v>526696800.00000006</v>
      </c>
      <c r="V68" s="68">
        <f>'Storage 1'!O23*'Storage 1'!O6</f>
        <v>240992397.05599999</v>
      </c>
      <c r="W68" s="68">
        <f>'Storage 1'!P23*'Storage 1'!P6</f>
        <v>880367911.11111116</v>
      </c>
      <c r="X68" s="68">
        <f t="shared" si="435"/>
        <v>880367911.11111116</v>
      </c>
      <c r="Y68" s="68">
        <f>'Storage 1'!Q23*'Storage 1'!Q6</f>
        <v>308862867.23076928</v>
      </c>
    </row>
    <row r="69">
      <c r="C69" s="65" t="s">
        <v>553</v>
      </c>
      <c r="D69" s="65" t="s">
        <v>555</v>
      </c>
      <c r="E69" s="66">
        <f>'Storage 1'!C24*'Storage 1'!C6</f>
        <v>319273504</v>
      </c>
      <c r="F69" s="66">
        <f>'Storage 1'!D24*'Storage 1'!D6</f>
        <v>484752704</v>
      </c>
      <c r="G69" s="66">
        <f t="shared" si="410"/>
        <v>484752704</v>
      </c>
      <c r="H69" s="66">
        <f>'Storage 1'!E24*'Storage 1'!E6</f>
        <v>173031063.03999999</v>
      </c>
      <c r="I69" s="66">
        <f>'Storage 1'!F24*'Storage 1'!F6</f>
        <v>838423815.11111116</v>
      </c>
      <c r="J69" s="66">
        <f t="shared" si="436"/>
        <v>838423815.11111116</v>
      </c>
      <c r="K69" s="66">
        <f>'Storage 1'!G24*'Storage 1'!G6</f>
        <v>281663734.20923078</v>
      </c>
      <c r="L69" s="67">
        <f>'Storage 1'!H24*'Storage 1'!H6</f>
        <v>319273504</v>
      </c>
      <c r="M69" s="67">
        <f>'Storage 1'!I24*'Storage 1'!I6</f>
        <v>484752704</v>
      </c>
      <c r="N69" s="67">
        <f t="shared" si="411"/>
        <v>484752704</v>
      </c>
      <c r="O69" s="67">
        <f>'Storage 1'!J24*'Storage 1'!J6</f>
        <v>173031063.03999999</v>
      </c>
      <c r="P69" s="67">
        <f>'Storage 1'!K24*'Storage 1'!K6</f>
        <v>842042604.39179969</v>
      </c>
      <c r="Q69" s="67">
        <f t="shared" si="434"/>
        <v>842042604.39179969</v>
      </c>
      <c r="R69" s="67">
        <f>'Storage 1'!L24*'Storage 1'!L6</f>
        <v>281663734.20923078</v>
      </c>
      <c r="S69" s="68">
        <f>'Storage 1'!M24*'Storage 1'!M6</f>
        <v>319273504</v>
      </c>
      <c r="T69" s="68">
        <f>'Storage 1'!N24*'Storage 1'!N6</f>
        <v>484752704</v>
      </c>
      <c r="U69" s="68">
        <f t="shared" si="412"/>
        <v>484752704</v>
      </c>
      <c r="V69" s="68">
        <f>'Storage 1'!O24*'Storage 1'!O6</f>
        <v>173031063.03999999</v>
      </c>
      <c r="W69" s="68">
        <f>'Storage 1'!P24*'Storage 1'!P6</f>
        <v>838423815.11111116</v>
      </c>
      <c r="X69" s="68">
        <f t="shared" si="435"/>
        <v>838423815.11111116</v>
      </c>
      <c r="Y69" s="68">
        <f>'Storage 1'!Q24*'Storage 1'!Q6</f>
        <v>281663734.20923078</v>
      </c>
    </row>
    <row r="70">
      <c r="B70" s="65" t="s">
        <v>782</v>
      </c>
      <c r="C70" s="65" t="s">
        <v>550</v>
      </c>
      <c r="E70" s="66">
        <f>'Storage 1'!C39</f>
        <v>0</v>
      </c>
      <c r="F70" s="66">
        <f>'Storage 1'!D39</f>
        <v>0</v>
      </c>
      <c r="G70" s="66">
        <f t="shared" si="410"/>
        <v>0</v>
      </c>
      <c r="H70" s="66">
        <f>'Storage 1'!E39</f>
        <v>0</v>
      </c>
      <c r="I70" s="66">
        <f>'Storage 1'!F39</f>
        <v>0</v>
      </c>
      <c r="J70" s="66">
        <f>I70</f>
        <v>0</v>
      </c>
      <c r="K70" s="66">
        <f>'Storage 1'!G39</f>
        <v>0</v>
      </c>
      <c r="L70" s="67">
        <f>'Storage 1'!H39</f>
        <v>0</v>
      </c>
      <c r="M70" s="67">
        <f>'Storage 1'!I39</f>
        <v>0</v>
      </c>
      <c r="N70" s="67">
        <f t="shared" si="411"/>
        <v>0</v>
      </c>
      <c r="O70" s="67">
        <f>'Storage 1'!J39</f>
        <v>0</v>
      </c>
      <c r="P70" s="67">
        <f>'Storage 1'!K39</f>
        <v>0</v>
      </c>
      <c r="Q70" s="67">
        <f t="shared" si="434"/>
        <v>0</v>
      </c>
      <c r="R70" s="67">
        <f>'Storage 1'!L39</f>
        <v>0</v>
      </c>
      <c r="S70" s="68">
        <f>'Storage 1'!M39</f>
        <v>0</v>
      </c>
      <c r="T70" s="68">
        <f>'Storage 1'!N39</f>
        <v>0</v>
      </c>
      <c r="U70" s="68">
        <f t="shared" si="412"/>
        <v>0</v>
      </c>
      <c r="V70" s="68">
        <f>'Storage 1'!O39</f>
        <v>0</v>
      </c>
      <c r="W70" s="68">
        <f>'Storage 1'!P39</f>
        <v>0</v>
      </c>
      <c r="X70" s="68">
        <f t="shared" si="435"/>
        <v>0</v>
      </c>
      <c r="Y70" s="68">
        <f>'Storage 1'!Q39</f>
        <v>0</v>
      </c>
    </row>
    <row r="71">
      <c r="C71" s="65" t="s">
        <v>551</v>
      </c>
      <c r="D71" s="65" t="s">
        <v>555</v>
      </c>
      <c r="E71" s="66">
        <f>'Storage 1'!C40</f>
        <v>293135.69983539562</v>
      </c>
      <c r="F71" s="66">
        <f>'Storage 1'!D40</f>
        <v>11868.985612105962</v>
      </c>
      <c r="G71" s="66">
        <f t="shared" si="410"/>
        <v>11868.985612105962</v>
      </c>
      <c r="H71" s="66">
        <f>'Storage 1'!E40</f>
        <v>0</v>
      </c>
      <c r="I71" s="66">
        <f>'Storage 1'!F40</f>
        <v>116271.35391678021</v>
      </c>
      <c r="J71" s="66">
        <f t="shared" si="436"/>
        <v>116271.35391678021</v>
      </c>
      <c r="K71" s="66">
        <f>'Storage 1'!G40</f>
        <v>0</v>
      </c>
      <c r="L71" s="67">
        <f>'Storage 1'!H40</f>
        <v>9805504.129172748</v>
      </c>
      <c r="M71" s="67">
        <f>'Storage 1'!I40</f>
        <v>296677.64601863723</v>
      </c>
      <c r="N71" s="67">
        <f t="shared" si="411"/>
        <v>296677.64601863723</v>
      </c>
      <c r="O71" s="67">
        <f>'Storage 1'!J40</f>
        <v>0</v>
      </c>
      <c r="P71" s="67">
        <f>'Storage 1'!K40</f>
        <v>3610636.1969134491</v>
      </c>
      <c r="Q71" s="67">
        <f t="shared" ref="Q71:Q81" si="437">P71</f>
        <v>3610636.1969134491</v>
      </c>
      <c r="R71" s="67">
        <f>'Storage 1'!L40</f>
        <v>0</v>
      </c>
      <c r="S71" s="68">
        <f>'Storage 1'!M40</f>
        <v>3281117.3352942509</v>
      </c>
      <c r="T71" s="68">
        <f>'Storage 1'!N40</f>
        <v>106751.4559604549</v>
      </c>
      <c r="U71" s="68">
        <f t="shared" si="412"/>
        <v>106751.4559604549</v>
      </c>
      <c r="V71" s="68">
        <f>'Storage 1'!O40</f>
        <v>0</v>
      </c>
      <c r="W71" s="68">
        <f>'Storage 1'!P40</f>
        <v>1066195.0533277958</v>
      </c>
      <c r="X71" s="68">
        <f t="shared" ref="X71:X81" si="438">W71</f>
        <v>1066195.0533277958</v>
      </c>
      <c r="Y71" s="68">
        <f>'Storage 1'!Q40</f>
        <v>0</v>
      </c>
    </row>
    <row r="72">
      <c r="C72" s="65" t="s">
        <v>552</v>
      </c>
      <c r="D72" s="65" t="s">
        <v>555</v>
      </c>
      <c r="E72" s="66">
        <f>'Storage 1'!C41</f>
        <v>278964.48772557318</v>
      </c>
      <c r="F72" s="66">
        <f>'Storage 1'!D41</f>
        <v>11469.402527256048</v>
      </c>
      <c r="G72" s="66">
        <f t="shared" si="410"/>
        <v>11469.402527256048</v>
      </c>
      <c r="H72" s="66">
        <f>'Storage 1'!E41</f>
        <v>0</v>
      </c>
      <c r="I72" s="66">
        <f>'Storage 1'!F41</f>
        <v>113897.37696427638</v>
      </c>
      <c r="J72" s="66">
        <f t="shared" si="436"/>
        <v>113897.37696427638</v>
      </c>
      <c r="K72" s="66">
        <f>'Storage 1'!G41</f>
        <v>0</v>
      </c>
      <c r="L72" s="67">
        <f>'Storage 1'!H41</f>
        <v>9331471.5260600112</v>
      </c>
      <c r="M72" s="67">
        <f>'Storage 1'!I41</f>
        <v>286689.6510141422</v>
      </c>
      <c r="N72" s="67">
        <f t="shared" si="411"/>
        <v>286689.6510141422</v>
      </c>
      <c r="O72" s="67">
        <f>'Storage 1'!J41</f>
        <v>0</v>
      </c>
      <c r="P72" s="67">
        <f>'Storage 1'!K41</f>
        <v>3542175.465139945</v>
      </c>
      <c r="Q72" s="67">
        <f t="shared" si="437"/>
        <v>3542175.465139945</v>
      </c>
      <c r="R72" s="67">
        <f>'Storage 1'!L41</f>
        <v>0</v>
      </c>
      <c r="S72" s="68">
        <f>'Storage 1'!M41</f>
        <v>3122496.5677051111</v>
      </c>
      <c r="T72" s="68">
        <f>'Storage 1'!N41</f>
        <v>103157.54511761165</v>
      </c>
      <c r="U72" s="68">
        <f t="shared" si="412"/>
        <v>103157.54511761165</v>
      </c>
      <c r="V72" s="68">
        <f>'Storage 1'!O41</f>
        <v>0</v>
      </c>
      <c r="W72" s="68">
        <f>'Storage 1'!P41</f>
        <v>1044425.9554527906</v>
      </c>
      <c r="X72" s="68">
        <f t="shared" si="438"/>
        <v>1044425.9554527906</v>
      </c>
      <c r="Y72" s="68">
        <f>'Storage 1'!Q41</f>
        <v>0</v>
      </c>
    </row>
    <row r="73">
      <c r="C73" s="65" t="s">
        <v>553</v>
      </c>
      <c r="D73" s="65" t="s">
        <v>555</v>
      </c>
      <c r="E73" s="66">
        <f>'Storage 1'!C42</f>
        <v>246571.51115479626</v>
      </c>
      <c r="F73" s="66">
        <f>'Storage 1'!D42</f>
        <v>10556.023671212362</v>
      </c>
      <c r="G73" s="66">
        <f t="shared" si="410"/>
        <v>10556.023671212362</v>
      </c>
      <c r="H73" s="66">
        <f>'Storage 1'!E42</f>
        <v>0</v>
      </c>
      <c r="I73" s="66">
        <f>'Storage 1'!F42</f>
        <v>108470.87009908597</v>
      </c>
      <c r="J73" s="66">
        <f t="shared" si="436"/>
        <v>108470.87009908597</v>
      </c>
      <c r="K73" s="66">
        <f>'Storage 1'!G42</f>
        <v>0</v>
      </c>
      <c r="L73" s="67">
        <f>'Storage 1'!H42</f>
        <v>8247913.7550368719</v>
      </c>
      <c r="M73" s="67">
        <f>'Storage 1'!I42</f>
        <v>263858.79606240586</v>
      </c>
      <c r="N73" s="67">
        <f t="shared" si="411"/>
        <v>263858.79606240586</v>
      </c>
      <c r="O73" s="67">
        <f>'Storage 1'!J42</f>
        <v>0</v>
      </c>
      <c r="P73" s="67">
        <f>'Storage 1'!K42</f>
        <v>3390521.1491240915</v>
      </c>
      <c r="Q73" s="67">
        <f t="shared" si="437"/>
        <v>3390521.1491240915</v>
      </c>
      <c r="R73" s="67">
        <f>'Storage 1'!L42</f>
        <v>0</v>
      </c>
      <c r="S73" s="68">
        <f>'Storage 1'!M42</f>
        <v>2759916.5168009093</v>
      </c>
      <c r="T73" s="68">
        <f>'Storage 1'!N42</f>
        <v>94942.477216045809</v>
      </c>
      <c r="U73" s="68">
        <f t="shared" si="412"/>
        <v>94942.477216045809</v>
      </c>
      <c r="V73" s="68">
        <f>'Storage 1'!O42</f>
        <v>0</v>
      </c>
      <c r="W73" s="68">
        <f>'Storage 1'!P42</f>
        <v>994665.50645469583</v>
      </c>
      <c r="X73" s="68">
        <f t="shared" si="438"/>
        <v>994665.50645469583</v>
      </c>
      <c r="Y73" s="68">
        <f>'Storage 1'!Q42</f>
        <v>0</v>
      </c>
    </row>
    <row r="74">
      <c r="B74" s="65" t="s">
        <v>783</v>
      </c>
      <c r="C74" s="65" t="s">
        <v>550</v>
      </c>
      <c r="E74" s="66">
        <f>'Storage 1'!C21*'Storage 1'!C6</f>
        <v>391960800</v>
      </c>
      <c r="F74" s="66">
        <f>'Storage 1'!D21*'Storage 1'!D6</f>
        <v>557440000</v>
      </c>
      <c r="G74" s="66">
        <f t="shared" si="410"/>
        <v>557440000</v>
      </c>
      <c r="H74" s="66">
        <f>'Storage 1'!E21*'Storage 1'!E6</f>
        <v>289080422.40000004</v>
      </c>
      <c r="I74" s="66">
        <f>'Storage 1'!F21*'Storage 1'!F6</f>
        <v>911111111.11111116</v>
      </c>
      <c r="J74" s="66">
        <f>I74</f>
        <v>911111111.11111116</v>
      </c>
      <c r="K74" s="66">
        <f t="shared" ref="K74:K77" si="439">K66</f>
        <v>328798650.00000006</v>
      </c>
      <c r="L74" s="67">
        <f>'Storage 1'!H21*'Storage 1'!H6</f>
        <v>391960800</v>
      </c>
      <c r="M74" s="67">
        <f>'Storage 1'!I21*'Storage 1'!I6</f>
        <v>557440000</v>
      </c>
      <c r="N74" s="67">
        <f t="shared" si="411"/>
        <v>557440000</v>
      </c>
      <c r="O74" s="67">
        <f>'Storage 1'!J21*'Storage 1'!J6</f>
        <v>289080422.40000004</v>
      </c>
      <c r="P74" s="67">
        <f>'Storage 1'!K21*'Storage 1'!K6</f>
        <v>911111111.11111116</v>
      </c>
      <c r="Q74" s="67">
        <f t="shared" si="437"/>
        <v>911111111.11111116</v>
      </c>
      <c r="R74" s="67">
        <f t="shared" ref="R74:T77" si="440">R66</f>
        <v>328798650.00000006</v>
      </c>
      <c r="S74" s="68">
        <f t="shared" si="440"/>
        <v>391960800</v>
      </c>
      <c r="T74" s="68">
        <f t="shared" si="440"/>
        <v>557440000</v>
      </c>
      <c r="U74" s="68">
        <f t="shared" si="412"/>
        <v>557440000</v>
      </c>
      <c r="V74" s="68">
        <f t="shared" ref="V74:W77" si="441">V66</f>
        <v>289080422.40000004</v>
      </c>
      <c r="W74" s="68">
        <f t="shared" si="441"/>
        <v>911111111.11111116</v>
      </c>
      <c r="X74" s="68">
        <f t="shared" si="438"/>
        <v>911111111.11111116</v>
      </c>
      <c r="Y74" s="68">
        <f>'Storage 1'!Q21*'Storage 1'!Q6</f>
        <v>328798650.00000006</v>
      </c>
    </row>
    <row r="75">
      <c r="C75" s="65" t="s">
        <v>551</v>
      </c>
      <c r="D75" s="65" t="s">
        <v>555</v>
      </c>
      <c r="E75" s="66">
        <f>'Storage 1'!C22*'Storage 1'!C6</f>
        <v>379567216</v>
      </c>
      <c r="F75" s="66">
        <f>'Storage 1'!D22*'Storage 1'!D6</f>
        <v>545046416</v>
      </c>
      <c r="G75" s="66">
        <f t="shared" si="410"/>
        <v>545046416</v>
      </c>
      <c r="H75" s="66">
        <f>'Storage 1'!E22*'Storage 1'!E6</f>
        <v>268014425.72800002</v>
      </c>
      <c r="I75" s="66">
        <f>'Storage 1'!F22*'Storage 1'!F6</f>
        <v>898717527.11111116</v>
      </c>
      <c r="J75" s="66">
        <f t="shared" si="436"/>
        <v>898717527.11111116</v>
      </c>
      <c r="K75" s="66">
        <f t="shared" si="439"/>
        <v>320761887.4523077</v>
      </c>
      <c r="L75" s="67">
        <f>'Storage 1'!H22*'Storage 1'!H6</f>
        <v>379567216</v>
      </c>
      <c r="M75" s="67">
        <f>'Storage 1'!I22*'Storage 1'!I6</f>
        <v>545046416</v>
      </c>
      <c r="N75" s="67">
        <f t="shared" si="411"/>
        <v>545046416</v>
      </c>
      <c r="O75" s="67">
        <f>'Storage 1'!J22*'Storage 1'!J6</f>
        <v>268014425.72800002</v>
      </c>
      <c r="P75" s="67">
        <f>'Storage 1'!K22*'Storage 1'!K6</f>
        <v>896708609.98632562</v>
      </c>
      <c r="Q75" s="67">
        <f t="shared" si="437"/>
        <v>896708609.98632562</v>
      </c>
      <c r="R75" s="67">
        <f t="shared" si="440"/>
        <v>320761887.4523077</v>
      </c>
      <c r="S75" s="68">
        <f t="shared" si="440"/>
        <v>379567216</v>
      </c>
      <c r="T75" s="68">
        <f t="shared" si="440"/>
        <v>545046416</v>
      </c>
      <c r="U75" s="68">
        <f t="shared" si="412"/>
        <v>545046416</v>
      </c>
      <c r="V75" s="68">
        <f t="shared" si="441"/>
        <v>268014425.72800002</v>
      </c>
      <c r="W75" s="68">
        <f t="shared" si="441"/>
        <v>898717527.11111116</v>
      </c>
      <c r="X75" s="68">
        <f t="shared" si="438"/>
        <v>898717527.11111116</v>
      </c>
      <c r="Y75" s="68">
        <f>'Storage 1'!Q22*'Storage 1'!Q6</f>
        <v>320761887.4523077</v>
      </c>
    </row>
    <row r="76">
      <c r="C76" s="65" t="s">
        <v>552</v>
      </c>
      <c r="D76" s="65" t="s">
        <v>555</v>
      </c>
      <c r="E76" s="66">
        <f>'Storage 1'!C23*'Storage 1'!C6</f>
        <v>361217599.99999994</v>
      </c>
      <c r="F76" s="66">
        <f>'Storage 1'!D23*'Storage 1'!D6</f>
        <v>526696800.00000006</v>
      </c>
      <c r="G76" s="66">
        <f t="shared" si="410"/>
        <v>526696800.00000006</v>
      </c>
      <c r="H76" s="66">
        <f>'Storage 1'!E23*'Storage 1'!E6</f>
        <v>240992397.05599999</v>
      </c>
      <c r="I76" s="66">
        <f>'Storage 1'!F23*'Storage 1'!F6</f>
        <v>880367911.11111116</v>
      </c>
      <c r="J76" s="66">
        <f t="shared" si="436"/>
        <v>880367911.11111116</v>
      </c>
      <c r="K76" s="66">
        <f t="shared" si="439"/>
        <v>308862867.23076928</v>
      </c>
      <c r="L76" s="67">
        <f>'Storage 1'!H23*'Storage 1'!H6</f>
        <v>361217599.99999994</v>
      </c>
      <c r="M76" s="67">
        <f>'Storage 1'!I23*'Storage 1'!I6</f>
        <v>526696800.00000006</v>
      </c>
      <c r="N76" s="67">
        <f t="shared" si="411"/>
        <v>526696800.00000006</v>
      </c>
      <c r="O76" s="67">
        <f>'Storage 1'!J23*'Storage 1'!J6</f>
        <v>240992397.05599999</v>
      </c>
      <c r="P76" s="67">
        <f>'Storage 1'!K23*'Storage 1'!K6</f>
        <v>879706252.42957592</v>
      </c>
      <c r="Q76" s="67">
        <f t="shared" si="437"/>
        <v>879706252.42957592</v>
      </c>
      <c r="R76" s="67">
        <f t="shared" si="440"/>
        <v>308862867.23076928</v>
      </c>
      <c r="S76" s="68">
        <f t="shared" si="440"/>
        <v>361217599.99999994</v>
      </c>
      <c r="T76" s="68">
        <f t="shared" si="440"/>
        <v>526696800.00000006</v>
      </c>
      <c r="U76" s="68">
        <f t="shared" si="412"/>
        <v>526696800.00000006</v>
      </c>
      <c r="V76" s="68">
        <f t="shared" si="441"/>
        <v>240992397.05599999</v>
      </c>
      <c r="W76" s="68">
        <f t="shared" si="441"/>
        <v>880367911.11111116</v>
      </c>
      <c r="X76" s="68">
        <f t="shared" si="438"/>
        <v>880367911.11111116</v>
      </c>
      <c r="Y76" s="68">
        <f>'Storage 1'!Q23*'Storage 1'!Q6</f>
        <v>308862867.23076928</v>
      </c>
    </row>
    <row r="77">
      <c r="C77" s="65" t="s">
        <v>553</v>
      </c>
      <c r="D77" s="65" t="s">
        <v>555</v>
      </c>
      <c r="E77" s="66">
        <f>'Storage 1'!C24*'Storage 1'!C6</f>
        <v>319273504</v>
      </c>
      <c r="F77" s="66">
        <f>'Storage 1'!D24*'Storage 1'!D6</f>
        <v>484752704</v>
      </c>
      <c r="G77" s="66">
        <f t="shared" si="410"/>
        <v>484752704</v>
      </c>
      <c r="H77" s="66">
        <f>'Storage 1'!E24*'Storage 1'!E6</f>
        <v>173031063.03999999</v>
      </c>
      <c r="I77" s="66">
        <f>'Storage 1'!F24*'Storage 1'!F6</f>
        <v>838423815.11111116</v>
      </c>
      <c r="J77" s="66">
        <f t="shared" si="436"/>
        <v>838423815.11111116</v>
      </c>
      <c r="K77" s="66">
        <f t="shared" si="439"/>
        <v>281663734.20923078</v>
      </c>
      <c r="L77" s="67">
        <f>'Storage 1'!H24*'Storage 1'!H6</f>
        <v>319273504</v>
      </c>
      <c r="M77" s="67">
        <f>'Storage 1'!I24*'Storage 1'!I6</f>
        <v>484752704</v>
      </c>
      <c r="N77" s="67">
        <f t="shared" si="411"/>
        <v>484752704</v>
      </c>
      <c r="O77" s="67">
        <f>'Storage 1'!J24*'Storage 1'!J6</f>
        <v>173031063.03999999</v>
      </c>
      <c r="P77" s="67">
        <f>'Storage 1'!K24*'Storage 1'!K6</f>
        <v>842042604.39179969</v>
      </c>
      <c r="Q77" s="67">
        <f t="shared" si="437"/>
        <v>842042604.39179969</v>
      </c>
      <c r="R77" s="67">
        <f t="shared" si="440"/>
        <v>281663734.20923078</v>
      </c>
      <c r="S77" s="68">
        <f t="shared" si="440"/>
        <v>319273504</v>
      </c>
      <c r="T77" s="68">
        <f t="shared" si="440"/>
        <v>484752704</v>
      </c>
      <c r="U77" s="68">
        <f t="shared" si="412"/>
        <v>484752704</v>
      </c>
      <c r="V77" s="68">
        <f t="shared" si="441"/>
        <v>173031063.03999999</v>
      </c>
      <c r="W77" s="68">
        <f t="shared" si="441"/>
        <v>838423815.11111116</v>
      </c>
      <c r="X77" s="68">
        <f t="shared" si="438"/>
        <v>838423815.11111116</v>
      </c>
      <c r="Y77" s="68">
        <f>'Storage 1'!Q24*'Storage 1'!Q6</f>
        <v>281663734.20923078</v>
      </c>
    </row>
    <row r="78">
      <c r="B78" s="65" t="s">
        <v>784</v>
      </c>
      <c r="C78" s="65" t="s">
        <v>550</v>
      </c>
      <c r="E78" s="66">
        <f>'Storage 1'!C63</f>
        <v>0</v>
      </c>
      <c r="F78" s="66">
        <f>'Storage 1'!D63</f>
        <v>0</v>
      </c>
      <c r="G78" s="66">
        <f t="shared" si="410"/>
        <v>0</v>
      </c>
      <c r="H78" s="66">
        <f>'Storage 1'!E63</f>
        <v>0</v>
      </c>
      <c r="I78" s="66">
        <f>'Storage 1'!F63</f>
        <v>0</v>
      </c>
      <c r="J78" s="66">
        <f>I78</f>
        <v>0</v>
      </c>
      <c r="K78" s="66">
        <f>'Storage 1'!G63</f>
        <v>0</v>
      </c>
      <c r="L78" s="67">
        <f>'Storage 1'!H63</f>
        <v>0</v>
      </c>
      <c r="M78" s="67">
        <f>'Storage 1'!I63</f>
        <v>0</v>
      </c>
      <c r="N78" s="67">
        <f t="shared" si="411"/>
        <v>0</v>
      </c>
      <c r="O78" s="67">
        <f>'Storage 1'!J63</f>
        <v>0</v>
      </c>
      <c r="P78" s="67">
        <f>'Storage 1'!K63</f>
        <v>0</v>
      </c>
      <c r="Q78" s="67">
        <f t="shared" si="437"/>
        <v>0</v>
      </c>
      <c r="R78" s="67">
        <f>'Storage 1'!L63</f>
        <v>0</v>
      </c>
      <c r="S78" s="68">
        <f>'Storage 1'!M63</f>
        <v>0</v>
      </c>
      <c r="T78" s="68">
        <f>'Storage 1'!N63</f>
        <v>0</v>
      </c>
      <c r="U78" s="68">
        <f t="shared" si="412"/>
        <v>0</v>
      </c>
      <c r="V78" s="68">
        <f>'Storage 1'!O63</f>
        <v>0</v>
      </c>
      <c r="W78" s="68">
        <f>'Storage 1'!P63</f>
        <v>0</v>
      </c>
      <c r="X78" s="68">
        <f t="shared" si="438"/>
        <v>0</v>
      </c>
      <c r="Y78" s="68">
        <f>'Storage 1'!Q63</f>
        <v>0</v>
      </c>
    </row>
    <row r="79">
      <c r="C79" s="65" t="s">
        <v>551</v>
      </c>
      <c r="D79" s="65" t="s">
        <v>785</v>
      </c>
      <c r="E79" s="66">
        <f>'Storage 1'!C64</f>
        <v>2663051.0617586374</v>
      </c>
      <c r="F79" s="66">
        <f>'Storage 1'!D64</f>
        <v>574844.42197867821</v>
      </c>
      <c r="G79" s="66">
        <f t="shared" si="410"/>
        <v>574844.42197867821</v>
      </c>
      <c r="H79" s="66">
        <f>'Storage 1'!E64</f>
        <v>346875.58538673981</v>
      </c>
      <c r="I79" s="66">
        <f>'Storage 1'!F64</f>
        <v>714918.96983017505</v>
      </c>
      <c r="J79" s="66">
        <f t="shared" si="436"/>
        <v>714918.96983017505</v>
      </c>
      <c r="K79" s="66">
        <f>'Storage 1'!G64</f>
        <v>454.7763920293022</v>
      </c>
      <c r="L79" s="67">
        <f>'Storage 1'!H64</f>
        <v>14643146.673351046</v>
      </c>
      <c r="M79" s="67">
        <f>'Storage 1'!I64</f>
        <v>1775919.7947895816</v>
      </c>
      <c r="N79" s="67">
        <f t="shared" si="411"/>
        <v>1775919.7947895816</v>
      </c>
      <c r="O79" s="67">
        <f>'Storage 1'!J64</f>
        <v>1397191.825272793</v>
      </c>
      <c r="P79" s="67">
        <f>'Storage 1'!K64</f>
        <v>28627667.299861364</v>
      </c>
      <c r="Q79" s="67">
        <f t="shared" si="437"/>
        <v>28627667.299861364</v>
      </c>
      <c r="R79" s="67">
        <f>'Storage 1'!L64</f>
        <v>454.7763920293022</v>
      </c>
      <c r="S79" s="68">
        <f>'Storage 1'!M64</f>
        <v>6993366.8226017952</v>
      </c>
      <c r="T79" s="68">
        <f>'Storage 1'!N64</f>
        <v>990790.15520105616</v>
      </c>
      <c r="U79" s="68">
        <f t="shared" si="412"/>
        <v>990790.15520105616</v>
      </c>
      <c r="V79" s="68">
        <f>'Storage 1'!O64</f>
        <v>736606.61731770867</v>
      </c>
      <c r="W79" s="68">
        <f>'Storage 1'!P64</f>
        <v>9312081.929806998</v>
      </c>
      <c r="X79" s="68">
        <f t="shared" si="438"/>
        <v>9312081.929806998</v>
      </c>
      <c r="Y79" s="68">
        <f>'Storage 1'!Q64</f>
        <v>454.7763920293022</v>
      </c>
    </row>
    <row r="80">
      <c r="C80" s="65" t="s">
        <v>552</v>
      </c>
      <c r="D80" s="65" t="s">
        <v>785</v>
      </c>
      <c r="E80" s="66">
        <f>'Storage 1'!C65</f>
        <v>2534309.7945685242</v>
      </c>
      <c r="F80" s="66">
        <f>'Storage 1'!D65</f>
        <v>555491.62175211788</v>
      </c>
      <c r="G80" s="66">
        <f t="shared" si="410"/>
        <v>555491.62175211788</v>
      </c>
      <c r="H80" s="66">
        <f>'Storage 1'!E65</f>
        <v>311902.53500530269</v>
      </c>
      <c r="I80" s="66">
        <f>'Storage 1'!F65</f>
        <v>700322.07128111925</v>
      </c>
      <c r="J80" s="66">
        <f t="shared" si="436"/>
        <v>700322.07128111925</v>
      </c>
      <c r="K80" s="66">
        <f>'Storage 1'!G65</f>
        <v>437.90595418515665</v>
      </c>
      <c r="L80" s="67">
        <f>'Storage 1'!H65</f>
        <v>13935245.392204389</v>
      </c>
      <c r="M80" s="67">
        <f>'Storage 1'!I65</f>
        <v>1716131.4073705042</v>
      </c>
      <c r="N80" s="67">
        <f t="shared" si="411"/>
        <v>1716131.4073705042</v>
      </c>
      <c r="O80" s="67">
        <f>'Storage 1'!J65</f>
        <v>1256322.7005596259</v>
      </c>
      <c r="P80" s="67">
        <f>'Storage 1'!K65</f>
        <v>28084862.390856043</v>
      </c>
      <c r="Q80" s="67">
        <f t="shared" si="437"/>
        <v>28084862.390856043</v>
      </c>
      <c r="R80" s="67">
        <f>'Storage 1'!L65</f>
        <v>437.90595418515665</v>
      </c>
      <c r="S80" s="68">
        <f>'Storage 1'!M65</f>
        <v>6655282.8408126952</v>
      </c>
      <c r="T80" s="68">
        <f>'Storage 1'!N65</f>
        <v>957434.06230543798</v>
      </c>
      <c r="U80" s="68">
        <f t="shared" si="412"/>
        <v>957434.06230543798</v>
      </c>
      <c r="V80" s="68">
        <f>'Storage 1'!O65</f>
        <v>662339.70023263851</v>
      </c>
      <c r="W80" s="68">
        <f>'Storage 1'!P65</f>
        <v>9121951.9697051179</v>
      </c>
      <c r="X80" s="68">
        <f t="shared" si="438"/>
        <v>9121951.9697051179</v>
      </c>
      <c r="Y80" s="68">
        <f>'Storage 1'!Q65</f>
        <v>437.90595418515665</v>
      </c>
    </row>
    <row r="81">
      <c r="C81" s="65" t="s">
        <v>553</v>
      </c>
      <c r="D81" s="65" t="s">
        <v>785</v>
      </c>
      <c r="E81" s="66">
        <f>'Storage 1'!C66</f>
        <v>2240029.191084302</v>
      </c>
      <c r="F81" s="66">
        <f>'Storage 1'!D66</f>
        <v>511254.41752006917</v>
      </c>
      <c r="G81" s="66">
        <f t="shared" si="410"/>
        <v>511254.41752006917</v>
      </c>
      <c r="H81" s="66">
        <f>'Storage 1'!E66</f>
        <v>223944.10718400165</v>
      </c>
      <c r="I81" s="66">
        <f>'Storage 1'!F66</f>
        <v>666956.04803333781</v>
      </c>
      <c r="J81" s="66">
        <f t="shared" si="436"/>
        <v>666956.04803333781</v>
      </c>
      <c r="K81" s="66">
        <f>'Storage 1'!G66</f>
        <v>399.34300744573312</v>
      </c>
      <c r="L81" s="67">
        <f>'Storage 1'!H66</f>
        <v>12317103.666789629</v>
      </c>
      <c r="M81" s="67">
        <f>'Storage 1'!I66</f>
        <v>1579465.3397214059</v>
      </c>
      <c r="N81" s="67">
        <f t="shared" si="411"/>
        <v>1579465.3397214059</v>
      </c>
      <c r="O81" s="67">
        <f>'Storage 1'!J66</f>
        <v>902031.99376701459</v>
      </c>
      <c r="P81" s="67">
        <f>'Storage 1'!K66</f>
        <v>26882440.139840774</v>
      </c>
      <c r="Q81" s="67">
        <f t="shared" si="437"/>
        <v>26882440.139840774</v>
      </c>
      <c r="R81" s="67">
        <f>'Storage 1'!L66</f>
        <v>399.34300744573312</v>
      </c>
      <c r="S81" s="68">
        <f>'Storage 1'!M66</f>
        <v>5882480.4569249768</v>
      </c>
      <c r="T81" s="68">
        <f>'Storage 1'!N66</f>
        <v>881187.71673620469</v>
      </c>
      <c r="U81" s="68">
        <f t="shared" si="412"/>
        <v>881187.71673620469</v>
      </c>
      <c r="V81" s="68">
        <f>'Storage 1'!O66</f>
        <v>475555.84252816596</v>
      </c>
      <c r="W81" s="68">
        <f>'Storage 1'!P66</f>
        <v>8687347.2728553582</v>
      </c>
      <c r="X81" s="68">
        <f t="shared" si="438"/>
        <v>8687347.2728553582</v>
      </c>
      <c r="Y81" s="68">
        <f>'Storage 1'!Q66</f>
        <v>399.34300744573312</v>
      </c>
    </row>
    <row r="82" s="70" customFormat="1">
      <c r="A82" s="69" t="s">
        <v>789</v>
      </c>
      <c r="B82" s="70" t="s">
        <v>781</v>
      </c>
      <c r="C82" s="70" t="s">
        <v>550</v>
      </c>
      <c r="E82" s="71">
        <f t="shared" ref="E82:K85" si="442">E74</f>
        <v>391960800</v>
      </c>
      <c r="F82" s="71">
        <f t="shared" ref="F82:K82" si="443">F74</f>
        <v>557440000</v>
      </c>
      <c r="G82" s="71">
        <f t="shared" si="443"/>
        <v>557440000</v>
      </c>
      <c r="H82" s="71">
        <f t="shared" si="443"/>
        <v>289080422.40000004</v>
      </c>
      <c r="I82" s="71">
        <f t="shared" si="443"/>
        <v>911111111.11111116</v>
      </c>
      <c r="J82" s="71">
        <f t="shared" si="443"/>
        <v>911111111.11111116</v>
      </c>
      <c r="K82" s="71">
        <f t="shared" si="443"/>
        <v>328798650.00000006</v>
      </c>
      <c r="L82" s="72">
        <f t="shared" ref="L82:R85" si="444">L74</f>
        <v>391960800</v>
      </c>
      <c r="M82" s="72">
        <f t="shared" ref="M82:R82" si="445">M74</f>
        <v>557440000</v>
      </c>
      <c r="N82" s="72">
        <f t="shared" si="445"/>
        <v>557440000</v>
      </c>
      <c r="O82" s="72">
        <f t="shared" si="445"/>
        <v>289080422.40000004</v>
      </c>
      <c r="P82" s="72">
        <f t="shared" si="445"/>
        <v>911111111.11111116</v>
      </c>
      <c r="Q82" s="72">
        <f t="shared" si="445"/>
        <v>911111111.11111116</v>
      </c>
      <c r="R82" s="72">
        <f t="shared" si="445"/>
        <v>328798650.00000006</v>
      </c>
      <c r="S82" s="73">
        <f t="shared" ref="S82:Y85" si="446">S74</f>
        <v>391960800</v>
      </c>
      <c r="T82" s="73">
        <f t="shared" ref="T82:Y82" si="447">T74</f>
        <v>557440000</v>
      </c>
      <c r="U82" s="73">
        <f t="shared" si="447"/>
        <v>557440000</v>
      </c>
      <c r="V82" s="73">
        <f t="shared" si="447"/>
        <v>289080422.40000004</v>
      </c>
      <c r="W82" s="73">
        <f t="shared" si="447"/>
        <v>911111111.11111116</v>
      </c>
      <c r="X82" s="73">
        <f t="shared" si="447"/>
        <v>911111111.11111116</v>
      </c>
      <c r="Y82" s="73">
        <f t="shared" si="447"/>
        <v>328798650.00000006</v>
      </c>
    </row>
    <row r="83">
      <c r="A83" s="75"/>
      <c r="C83" s="65" t="s">
        <v>551</v>
      </c>
      <c r="D83" s="65" t="s">
        <v>555</v>
      </c>
      <c r="E83" s="66">
        <f t="shared" si="442"/>
        <v>379567216</v>
      </c>
      <c r="F83" s="66">
        <f t="shared" si="442"/>
        <v>545046416</v>
      </c>
      <c r="G83" s="66">
        <f t="shared" si="442"/>
        <v>545046416</v>
      </c>
      <c r="H83" s="66">
        <f t="shared" si="442"/>
        <v>268014425.72800002</v>
      </c>
      <c r="I83" s="66">
        <f t="shared" si="442"/>
        <v>898717527.11111116</v>
      </c>
      <c r="J83" s="66">
        <f t="shared" si="442"/>
        <v>898717527.11111116</v>
      </c>
      <c r="K83" s="66">
        <f t="shared" si="442"/>
        <v>320761887.4523077</v>
      </c>
      <c r="L83" s="67">
        <f t="shared" si="444"/>
        <v>379567216</v>
      </c>
      <c r="M83" s="67">
        <f t="shared" si="444"/>
        <v>545046416</v>
      </c>
      <c r="N83" s="67">
        <f t="shared" si="444"/>
        <v>545046416</v>
      </c>
      <c r="O83" s="67">
        <f t="shared" si="444"/>
        <v>268014425.72800002</v>
      </c>
      <c r="P83" s="67">
        <f t="shared" si="444"/>
        <v>896708609.98632562</v>
      </c>
      <c r="Q83" s="67">
        <f t="shared" si="444"/>
        <v>896708609.98632562</v>
      </c>
      <c r="R83" s="67">
        <f t="shared" si="444"/>
        <v>320761887.4523077</v>
      </c>
      <c r="S83" s="68">
        <f t="shared" si="446"/>
        <v>379567216</v>
      </c>
      <c r="T83" s="68">
        <f t="shared" si="446"/>
        <v>545046416</v>
      </c>
      <c r="U83" s="68">
        <f t="shared" si="446"/>
        <v>545046416</v>
      </c>
      <c r="V83" s="68">
        <f t="shared" si="446"/>
        <v>268014425.72800002</v>
      </c>
      <c r="W83" s="68">
        <f t="shared" si="446"/>
        <v>898717527.11111116</v>
      </c>
      <c r="X83" s="68">
        <f t="shared" si="446"/>
        <v>898717527.11111116</v>
      </c>
      <c r="Y83" s="68">
        <f t="shared" si="446"/>
        <v>320761887.4523077</v>
      </c>
    </row>
    <row r="84">
      <c r="A84" s="75"/>
      <c r="C84" s="65" t="s">
        <v>552</v>
      </c>
      <c r="D84" s="65" t="s">
        <v>555</v>
      </c>
      <c r="E84" s="66">
        <f t="shared" si="442"/>
        <v>361217599.99999994</v>
      </c>
      <c r="F84" s="66">
        <f t="shared" si="442"/>
        <v>526696800.00000006</v>
      </c>
      <c r="G84" s="66">
        <f t="shared" si="442"/>
        <v>526696800.00000006</v>
      </c>
      <c r="H84" s="66">
        <f t="shared" si="442"/>
        <v>240992397.05599999</v>
      </c>
      <c r="I84" s="66">
        <f t="shared" si="442"/>
        <v>880367911.11111116</v>
      </c>
      <c r="J84" s="66">
        <f t="shared" si="442"/>
        <v>880367911.11111116</v>
      </c>
      <c r="K84" s="66">
        <f t="shared" si="442"/>
        <v>308862867.23076928</v>
      </c>
      <c r="L84" s="67">
        <f t="shared" si="444"/>
        <v>361217599.99999994</v>
      </c>
      <c r="M84" s="67">
        <f t="shared" si="444"/>
        <v>526696800.00000006</v>
      </c>
      <c r="N84" s="67">
        <f t="shared" si="444"/>
        <v>526696800.00000006</v>
      </c>
      <c r="O84" s="67">
        <f t="shared" si="444"/>
        <v>240992397.05599999</v>
      </c>
      <c r="P84" s="67">
        <f t="shared" si="444"/>
        <v>879706252.42957592</v>
      </c>
      <c r="Q84" s="67">
        <f t="shared" si="444"/>
        <v>879706252.42957592</v>
      </c>
      <c r="R84" s="67">
        <f t="shared" si="444"/>
        <v>308862867.23076928</v>
      </c>
      <c r="S84" s="68">
        <f t="shared" si="446"/>
        <v>361217599.99999994</v>
      </c>
      <c r="T84" s="68">
        <f t="shared" si="446"/>
        <v>526696800.00000006</v>
      </c>
      <c r="U84" s="68">
        <f t="shared" si="446"/>
        <v>526696800.00000006</v>
      </c>
      <c r="V84" s="68">
        <f t="shared" si="446"/>
        <v>240992397.05599999</v>
      </c>
      <c r="W84" s="68">
        <f t="shared" si="446"/>
        <v>880367911.11111116</v>
      </c>
      <c r="X84" s="68">
        <f t="shared" si="446"/>
        <v>880367911.11111116</v>
      </c>
      <c r="Y84" s="68">
        <f t="shared" si="446"/>
        <v>308862867.23076928</v>
      </c>
    </row>
    <row r="85">
      <c r="A85" s="75"/>
      <c r="C85" s="65" t="s">
        <v>553</v>
      </c>
      <c r="D85" s="65" t="s">
        <v>555</v>
      </c>
      <c r="E85" s="66">
        <f t="shared" si="442"/>
        <v>319273504</v>
      </c>
      <c r="F85" s="66">
        <f t="shared" si="442"/>
        <v>484752704</v>
      </c>
      <c r="G85" s="66">
        <f t="shared" si="442"/>
        <v>484752704</v>
      </c>
      <c r="H85" s="66">
        <f t="shared" si="442"/>
        <v>173031063.03999999</v>
      </c>
      <c r="I85" s="66">
        <f t="shared" si="442"/>
        <v>838423815.11111116</v>
      </c>
      <c r="J85" s="66">
        <f t="shared" si="442"/>
        <v>838423815.11111116</v>
      </c>
      <c r="K85" s="66">
        <f t="shared" si="442"/>
        <v>281663734.20923078</v>
      </c>
      <c r="L85" s="67">
        <f t="shared" si="444"/>
        <v>319273504</v>
      </c>
      <c r="M85" s="67">
        <f t="shared" si="444"/>
        <v>484752704</v>
      </c>
      <c r="N85" s="67">
        <f t="shared" si="444"/>
        <v>484752704</v>
      </c>
      <c r="O85" s="67">
        <f t="shared" si="444"/>
        <v>173031063.03999999</v>
      </c>
      <c r="P85" s="67">
        <f t="shared" si="444"/>
        <v>842042604.39179969</v>
      </c>
      <c r="Q85" s="67">
        <f t="shared" si="444"/>
        <v>842042604.39179969</v>
      </c>
      <c r="R85" s="67">
        <f t="shared" si="444"/>
        <v>281663734.20923078</v>
      </c>
      <c r="S85" s="68">
        <f t="shared" si="446"/>
        <v>319273504</v>
      </c>
      <c r="T85" s="68">
        <f t="shared" si="446"/>
        <v>484752704</v>
      </c>
      <c r="U85" s="68">
        <f t="shared" si="446"/>
        <v>484752704</v>
      </c>
      <c r="V85" s="68">
        <f t="shared" si="446"/>
        <v>173031063.03999999</v>
      </c>
      <c r="W85" s="68">
        <f t="shared" si="446"/>
        <v>838423815.11111116</v>
      </c>
      <c r="X85" s="68">
        <f t="shared" si="446"/>
        <v>838423815.11111116</v>
      </c>
      <c r="Y85" s="68">
        <f t="shared" si="446"/>
        <v>281663734.20923078</v>
      </c>
    </row>
    <row r="86">
      <c r="A86" s="75"/>
      <c r="B86" s="65" t="s">
        <v>782</v>
      </c>
      <c r="C86" s="65" t="s">
        <v>550</v>
      </c>
      <c r="E86" s="66">
        <f>Shipping!D58</f>
        <v>0</v>
      </c>
      <c r="F86" s="66">
        <f>Shipping!E58</f>
        <v>0</v>
      </c>
      <c r="G86" s="66">
        <f t="shared" ref="G86:G90" si="448">F86</f>
        <v>0</v>
      </c>
      <c r="H86" s="66">
        <f>Shipping!F58</f>
        <v>0</v>
      </c>
      <c r="I86" s="66">
        <f>Shipping!G58</f>
        <v>0</v>
      </c>
      <c r="J86" s="66">
        <f t="shared" ref="J86:J97" si="449">I86</f>
        <v>0</v>
      </c>
      <c r="K86" s="66">
        <f>Shipping!H58</f>
        <v>0</v>
      </c>
      <c r="L86" s="67">
        <f>Shipping!K58</f>
        <v>0</v>
      </c>
      <c r="M86" s="67">
        <f>Shipping!L58</f>
        <v>0</v>
      </c>
      <c r="N86" s="67">
        <f t="shared" ref="N86:N113" si="450">M86</f>
        <v>0</v>
      </c>
      <c r="O86" s="67">
        <f>Shipping!K58</f>
        <v>0</v>
      </c>
      <c r="P86" s="67">
        <f>Shipping!N58</f>
        <v>0</v>
      </c>
      <c r="Q86" s="67">
        <f t="shared" ref="Q86:Q97" si="451">P86</f>
        <v>0</v>
      </c>
      <c r="R86" s="67">
        <f>Shipping!M58</f>
        <v>0</v>
      </c>
      <c r="S86" s="68">
        <f>Shipping!N58</f>
        <v>0</v>
      </c>
      <c r="T86" s="68">
        <f>Shipping!O58</f>
        <v>0</v>
      </c>
      <c r="U86" s="68">
        <f t="shared" ref="U86:U113" si="452">T86</f>
        <v>0</v>
      </c>
      <c r="V86" s="68">
        <f>Shipping!P58</f>
        <v>0</v>
      </c>
      <c r="W86" s="68">
        <f>Shipping!Q58</f>
        <v>0</v>
      </c>
      <c r="X86" s="68">
        <f t="shared" ref="X86:X97" si="453">W86</f>
        <v>0</v>
      </c>
      <c r="Y86" s="68">
        <f>Shipping!R58</f>
        <v>0</v>
      </c>
    </row>
    <row r="87">
      <c r="A87" s="75"/>
      <c r="C87" s="65" t="s">
        <v>551</v>
      </c>
      <c r="D87" s="65" t="s">
        <v>555</v>
      </c>
      <c r="E87" s="66">
        <f>Shipping!D59</f>
        <v>12393584</v>
      </c>
      <c r="F87" s="66">
        <f>Shipping!E59</f>
        <v>12393584</v>
      </c>
      <c r="G87" s="66">
        <f t="shared" si="448"/>
        <v>12393584</v>
      </c>
      <c r="H87" s="66">
        <f>Shipping!F59</f>
        <v>12393584</v>
      </c>
      <c r="I87" s="66">
        <f>Shipping!G59</f>
        <v>12393584</v>
      </c>
      <c r="J87" s="66">
        <f t="shared" si="449"/>
        <v>12393584</v>
      </c>
      <c r="K87" s="66">
        <f>Shipping!H59</f>
        <v>8036762.5476923082</v>
      </c>
      <c r="L87" s="67">
        <f>Shipping!I59</f>
        <v>12393584</v>
      </c>
      <c r="M87" s="67">
        <f>Shipping!J59</f>
        <v>12393584</v>
      </c>
      <c r="N87" s="67">
        <f t="shared" si="450"/>
        <v>12393584</v>
      </c>
      <c r="O87" s="67">
        <f>Shipping!K59</f>
        <v>12393584</v>
      </c>
      <c r="P87" s="67">
        <f>Shipping!L59</f>
        <v>12393584</v>
      </c>
      <c r="Q87" s="67">
        <f t="shared" si="451"/>
        <v>12393584</v>
      </c>
      <c r="R87" s="67">
        <f>Shipping!M59</f>
        <v>8036762.5476923082</v>
      </c>
      <c r="S87" s="68">
        <f>Shipping!N59</f>
        <v>12393584</v>
      </c>
      <c r="T87" s="68">
        <f>Shipping!O59</f>
        <v>12393584</v>
      </c>
      <c r="U87" s="68">
        <f t="shared" si="452"/>
        <v>12393584</v>
      </c>
      <c r="V87" s="68">
        <f>Shipping!P59</f>
        <v>12393584</v>
      </c>
      <c r="W87" s="68">
        <f>Shipping!Q59</f>
        <v>12393584</v>
      </c>
      <c r="X87" s="68">
        <f t="shared" si="453"/>
        <v>12393584</v>
      </c>
      <c r="Y87" s="68">
        <f>Shipping!R59</f>
        <v>8036762.5476923082</v>
      </c>
    </row>
    <row r="88">
      <c r="A88" s="75"/>
      <c r="C88" s="65" t="s">
        <v>552</v>
      </c>
      <c r="D88" s="65" t="s">
        <v>555</v>
      </c>
      <c r="E88" s="66">
        <f>Shipping!D60</f>
        <v>30743200</v>
      </c>
      <c r="F88" s="66">
        <f>Shipping!E60</f>
        <v>30743200</v>
      </c>
      <c r="G88" s="66">
        <f t="shared" si="448"/>
        <v>30743200</v>
      </c>
      <c r="H88" s="66">
        <f>Shipping!F60</f>
        <v>30743200</v>
      </c>
      <c r="I88" s="66">
        <f>Shipping!G60</f>
        <v>30743200</v>
      </c>
      <c r="J88" s="66">
        <f t="shared" si="449"/>
        <v>30743200</v>
      </c>
      <c r="K88" s="66">
        <f>Shipping!H60</f>
        <v>19935782.769230768</v>
      </c>
      <c r="L88" s="67">
        <f>Shipping!I60</f>
        <v>30743200</v>
      </c>
      <c r="M88" s="67">
        <f>Shipping!J60</f>
        <v>30743200</v>
      </c>
      <c r="N88" s="67">
        <f t="shared" si="450"/>
        <v>30743200</v>
      </c>
      <c r="O88" s="67">
        <f>Shipping!K60</f>
        <v>30743200</v>
      </c>
      <c r="P88" s="67">
        <f>Shipping!L60</f>
        <v>30743200</v>
      </c>
      <c r="Q88" s="67">
        <f t="shared" si="451"/>
        <v>30743200</v>
      </c>
      <c r="R88" s="67">
        <f>Shipping!M60</f>
        <v>19935782.769230768</v>
      </c>
      <c r="S88" s="68">
        <f>Shipping!N60</f>
        <v>30743200</v>
      </c>
      <c r="T88" s="68">
        <f>Shipping!O60</f>
        <v>30743200</v>
      </c>
      <c r="U88" s="68">
        <f t="shared" si="452"/>
        <v>30743200</v>
      </c>
      <c r="V88" s="68">
        <f>Shipping!P60</f>
        <v>30743200</v>
      </c>
      <c r="W88" s="68">
        <f>Shipping!Q60</f>
        <v>30743200</v>
      </c>
      <c r="X88" s="68">
        <f t="shared" si="453"/>
        <v>30743200</v>
      </c>
      <c r="Y88" s="68">
        <f>Shipping!R60</f>
        <v>19935782.769230768</v>
      </c>
    </row>
    <row r="89">
      <c r="A89" s="75"/>
      <c r="C89" s="65" t="s">
        <v>553</v>
      </c>
      <c r="D89" s="65" t="s">
        <v>555</v>
      </c>
      <c r="E89" s="66">
        <f>Shipping!D61</f>
        <v>72687296</v>
      </c>
      <c r="F89" s="66">
        <f>Shipping!E61</f>
        <v>72687296</v>
      </c>
      <c r="G89" s="66">
        <f t="shared" si="448"/>
        <v>72687296</v>
      </c>
      <c r="H89" s="66">
        <f>Shipping!F61</f>
        <v>72687296</v>
      </c>
      <c r="I89" s="66">
        <f>Shipping!G61</f>
        <v>72687296</v>
      </c>
      <c r="J89" s="66">
        <f t="shared" si="449"/>
        <v>72687296</v>
      </c>
      <c r="K89" s="66">
        <f>Shipping!H61</f>
        <v>47134915.790769234</v>
      </c>
      <c r="L89" s="67">
        <f>Shipping!I61</f>
        <v>72687296</v>
      </c>
      <c r="M89" s="67">
        <f>Shipping!J61</f>
        <v>72687296</v>
      </c>
      <c r="N89" s="67">
        <f t="shared" si="450"/>
        <v>72687296</v>
      </c>
      <c r="O89" s="67">
        <f>Shipping!K61</f>
        <v>72687296</v>
      </c>
      <c r="P89" s="67">
        <f>Shipping!L61</f>
        <v>72687296</v>
      </c>
      <c r="Q89" s="67">
        <f t="shared" si="451"/>
        <v>72687296</v>
      </c>
      <c r="R89" s="67">
        <f>Shipping!M61</f>
        <v>47134915.790769234</v>
      </c>
      <c r="S89" s="68">
        <f>Shipping!N61</f>
        <v>72687296</v>
      </c>
      <c r="T89" s="68">
        <f>Shipping!O61</f>
        <v>72687296</v>
      </c>
      <c r="U89" s="68">
        <f t="shared" si="452"/>
        <v>72687296</v>
      </c>
      <c r="V89" s="68">
        <f>Shipping!P61</f>
        <v>72687296</v>
      </c>
      <c r="W89" s="68">
        <f>Shipping!Q61</f>
        <v>72687296</v>
      </c>
      <c r="X89" s="68">
        <f t="shared" si="453"/>
        <v>72687296</v>
      </c>
      <c r="Y89" s="68">
        <f>Shipping!R61</f>
        <v>47134915.790769234</v>
      </c>
    </row>
    <row r="90">
      <c r="A90" s="75"/>
      <c r="B90" s="65" t="s">
        <v>783</v>
      </c>
      <c r="C90" s="65" t="s">
        <v>550</v>
      </c>
      <c r="E90" s="66">
        <f>Shipping!D106*Shipping!D6</f>
        <v>391960800</v>
      </c>
      <c r="F90" s="66">
        <f>Shipping!E106*Shipping!E6</f>
        <v>557440000</v>
      </c>
      <c r="G90" s="66">
        <f t="shared" si="448"/>
        <v>557440000</v>
      </c>
      <c r="H90" s="66">
        <f>Shipping!F106*Shipping!F6</f>
        <v>289080422.40000004</v>
      </c>
      <c r="I90" s="66">
        <f>Shipping!G106*Shipping!G6</f>
        <v>911111111.11111116</v>
      </c>
      <c r="J90" s="66">
        <f t="shared" si="449"/>
        <v>911111111.11111116</v>
      </c>
      <c r="K90" s="66">
        <f>Shipping!H106*Shipping!H6</f>
        <v>328798650.00000006</v>
      </c>
      <c r="L90" s="67">
        <f>Shipping!I106*Shipping!I6</f>
        <v>391960800</v>
      </c>
      <c r="M90" s="67">
        <f>Shipping!J106*Shipping!J6</f>
        <v>557440000</v>
      </c>
      <c r="N90" s="67">
        <f t="shared" si="450"/>
        <v>557440000</v>
      </c>
      <c r="O90" s="67">
        <f>Shipping!K106*Shipping!K6</f>
        <v>289080422.40000004</v>
      </c>
      <c r="P90" s="67">
        <f>Shipping!L106*Shipping!L6</f>
        <v>911111111.11111116</v>
      </c>
      <c r="Q90" s="67">
        <f t="shared" si="451"/>
        <v>911111111.11111116</v>
      </c>
      <c r="R90" s="67">
        <f>Shipping!M106*Shipping!M6</f>
        <v>328798650.00000006</v>
      </c>
      <c r="S90" s="68">
        <f>Shipping!N106*Shipping!N6</f>
        <v>391960800</v>
      </c>
      <c r="T90" s="68">
        <f>Shipping!O106*Shipping!O6</f>
        <v>557440000</v>
      </c>
      <c r="U90" s="68">
        <f t="shared" si="452"/>
        <v>557440000</v>
      </c>
      <c r="V90" s="68">
        <f>Shipping!P106*Shipping!P6</f>
        <v>289080422.40000004</v>
      </c>
      <c r="W90" s="68">
        <f>Shipping!Q106*Shipping!Q6</f>
        <v>911111111.11111116</v>
      </c>
      <c r="X90" s="68">
        <f t="shared" si="453"/>
        <v>911111111.11111116</v>
      </c>
      <c r="Y90" s="68">
        <f>Shipping!R106*Shipping!R6</f>
        <v>328798650.00000006</v>
      </c>
    </row>
    <row r="91">
      <c r="A91" s="75"/>
      <c r="C91" s="65" t="s">
        <v>551</v>
      </c>
      <c r="D91" s="65" t="s">
        <v>555</v>
      </c>
      <c r="E91" s="66">
        <f>Shipping!D107*Shipping!D6</f>
        <v>379567216</v>
      </c>
      <c r="F91" s="66">
        <f>Shipping!E107*Shipping!E6</f>
        <v>545046416</v>
      </c>
      <c r="G91" s="66">
        <f t="shared" si="410"/>
        <v>545046416</v>
      </c>
      <c r="H91" s="66">
        <f>Shipping!F107*Shipping!F6</f>
        <v>268014425.72800002</v>
      </c>
      <c r="I91" s="66">
        <f>Shipping!G107*Shipping!G6</f>
        <v>898717527.11111116</v>
      </c>
      <c r="J91" s="66">
        <f t="shared" si="449"/>
        <v>898717527.11111116</v>
      </c>
      <c r="K91" s="66">
        <f>Shipping!H107*Shipping!H6</f>
        <v>320761887.4523077</v>
      </c>
      <c r="L91" s="67">
        <f>Shipping!I107*Shipping!I6</f>
        <v>379567216</v>
      </c>
      <c r="M91" s="67">
        <f>Shipping!J107*Shipping!J6</f>
        <v>545046416</v>
      </c>
      <c r="N91" s="67">
        <f t="shared" si="450"/>
        <v>545046416</v>
      </c>
      <c r="O91" s="67">
        <f>Shipping!K107*Shipping!K6</f>
        <v>268014425.72800002</v>
      </c>
      <c r="P91" s="67">
        <f>Shipping!L107*Shipping!L6</f>
        <v>896708609.98632562</v>
      </c>
      <c r="Q91" s="67">
        <f t="shared" si="451"/>
        <v>896708609.98632562</v>
      </c>
      <c r="R91" s="67">
        <f>Shipping!M107*Shipping!M6</f>
        <v>320761887.4523077</v>
      </c>
      <c r="S91" s="68">
        <f>Shipping!N107*Shipping!N6</f>
        <v>379567216</v>
      </c>
      <c r="T91" s="68">
        <f>Shipping!O107*Shipping!O6</f>
        <v>545046416</v>
      </c>
      <c r="U91" s="68">
        <f t="shared" si="452"/>
        <v>545046416</v>
      </c>
      <c r="V91" s="68">
        <f>Shipping!P107*Shipping!P6</f>
        <v>268014425.72800002</v>
      </c>
      <c r="W91" s="68">
        <f>Shipping!Q107*Shipping!Q6</f>
        <v>898717527.11111116</v>
      </c>
      <c r="X91" s="68">
        <f t="shared" si="453"/>
        <v>898717527.11111116</v>
      </c>
      <c r="Y91" s="68">
        <f>Shipping!R107*Shipping!R6</f>
        <v>320761887.4523077</v>
      </c>
    </row>
    <row r="92">
      <c r="A92" s="75"/>
      <c r="C92" s="65" t="s">
        <v>552</v>
      </c>
      <c r="D92" s="65" t="s">
        <v>555</v>
      </c>
      <c r="E92" s="66">
        <f>Shipping!D108*Shipping!D6</f>
        <v>361217599.99999994</v>
      </c>
      <c r="F92" s="66">
        <f>Shipping!E108*Shipping!E6</f>
        <v>526696800.00000006</v>
      </c>
      <c r="G92" s="66">
        <f t="shared" si="410"/>
        <v>526696800.00000006</v>
      </c>
      <c r="H92" s="66">
        <f>Shipping!F108*Shipping!F6</f>
        <v>240992397.05599999</v>
      </c>
      <c r="I92" s="66">
        <f>Shipping!G108*Shipping!G6</f>
        <v>880367911.11111116</v>
      </c>
      <c r="J92" s="66">
        <f t="shared" si="449"/>
        <v>880367911.11111116</v>
      </c>
      <c r="K92" s="66">
        <f>Shipping!H108*Shipping!H6</f>
        <v>308862867.23076928</v>
      </c>
      <c r="L92" s="67">
        <f>Shipping!I108*Shipping!I6</f>
        <v>361217599.99999994</v>
      </c>
      <c r="M92" s="67">
        <f>Shipping!J108*Shipping!J6</f>
        <v>526696800.00000006</v>
      </c>
      <c r="N92" s="67">
        <f t="shared" si="450"/>
        <v>526696800.00000006</v>
      </c>
      <c r="O92" s="67">
        <f>Shipping!K108*Shipping!K6</f>
        <v>240992397.05599999</v>
      </c>
      <c r="P92" s="67">
        <f>Shipping!L108*Shipping!L6</f>
        <v>879706252.42957592</v>
      </c>
      <c r="Q92" s="67">
        <f t="shared" si="451"/>
        <v>879706252.42957592</v>
      </c>
      <c r="R92" s="67">
        <f>Shipping!M108*Shipping!M6</f>
        <v>308862867.23076928</v>
      </c>
      <c r="S92" s="68">
        <f>Shipping!N108*Shipping!N6</f>
        <v>361217599.99999994</v>
      </c>
      <c r="T92" s="68">
        <f>Shipping!O108*Shipping!O6</f>
        <v>526696800.00000006</v>
      </c>
      <c r="U92" s="68">
        <f t="shared" si="452"/>
        <v>526696800.00000006</v>
      </c>
      <c r="V92" s="68">
        <f>Shipping!P108*Shipping!P6</f>
        <v>240992397.05599999</v>
      </c>
      <c r="W92" s="68">
        <f>Shipping!Q108*Shipping!Q6</f>
        <v>880367911.11111116</v>
      </c>
      <c r="X92" s="68">
        <f t="shared" si="453"/>
        <v>880367911.11111116</v>
      </c>
      <c r="Y92" s="68">
        <f>Shipping!R108*Shipping!R6</f>
        <v>308862867.23076928</v>
      </c>
    </row>
    <row r="93">
      <c r="A93" s="75"/>
      <c r="C93" s="65" t="s">
        <v>553</v>
      </c>
      <c r="D93" s="65" t="s">
        <v>555</v>
      </c>
      <c r="E93" s="66">
        <f>Shipping!D109*Shipping!D6</f>
        <v>319273504</v>
      </c>
      <c r="F93" s="66">
        <f>Shipping!E109*Shipping!E6</f>
        <v>484752704</v>
      </c>
      <c r="G93" s="66">
        <f t="shared" si="410"/>
        <v>484752704</v>
      </c>
      <c r="H93" s="66">
        <f>Shipping!F109*Shipping!F6</f>
        <v>173031063.03999999</v>
      </c>
      <c r="I93" s="66">
        <f>Shipping!G109*Shipping!G6</f>
        <v>838423815.11111116</v>
      </c>
      <c r="J93" s="66">
        <f t="shared" si="449"/>
        <v>838423815.11111116</v>
      </c>
      <c r="K93" s="66">
        <f>Shipping!H109*Shipping!H6</f>
        <v>281663734.20923078</v>
      </c>
      <c r="L93" s="67">
        <f>Shipping!I109*Shipping!I6</f>
        <v>319273504</v>
      </c>
      <c r="M93" s="67">
        <f>Shipping!J109*Shipping!J6</f>
        <v>484752704</v>
      </c>
      <c r="N93" s="67">
        <f t="shared" si="450"/>
        <v>484752704</v>
      </c>
      <c r="O93" s="67">
        <f>Shipping!K109*Shipping!K6</f>
        <v>173031063.03999999</v>
      </c>
      <c r="P93" s="67">
        <f>Shipping!L109*Shipping!L6</f>
        <v>842042604.39179969</v>
      </c>
      <c r="Q93" s="67">
        <f t="shared" si="451"/>
        <v>842042604.39179969</v>
      </c>
      <c r="R93" s="67">
        <f>Shipping!M109*Shipping!M6</f>
        <v>281663734.20923078</v>
      </c>
      <c r="S93" s="68">
        <f>Shipping!N109*Shipping!N6</f>
        <v>319273504</v>
      </c>
      <c r="T93" s="68">
        <f>Shipping!O109*Shipping!O6</f>
        <v>484752704</v>
      </c>
      <c r="U93" s="68">
        <f t="shared" si="452"/>
        <v>484752704</v>
      </c>
      <c r="V93" s="68">
        <f>Shipping!P109*Shipping!P6</f>
        <v>173031063.03999999</v>
      </c>
      <c r="W93" s="68">
        <f>Shipping!Q109*Shipping!Q6</f>
        <v>838423815.11111116</v>
      </c>
      <c r="X93" s="68">
        <f t="shared" si="453"/>
        <v>838423815.11111116</v>
      </c>
      <c r="Y93" s="68">
        <f>Shipping!R109*Shipping!R6</f>
        <v>281663734.20923078</v>
      </c>
    </row>
    <row r="94">
      <c r="A94" s="75"/>
      <c r="B94" s="65" t="s">
        <v>784</v>
      </c>
      <c r="C94" s="65" t="s">
        <v>550</v>
      </c>
      <c r="E94" s="66">
        <f>Shipping!D118</f>
        <v>0</v>
      </c>
      <c r="F94" s="66">
        <f>Shipping!E118</f>
        <v>0</v>
      </c>
      <c r="G94" s="66">
        <f t="shared" si="410"/>
        <v>0</v>
      </c>
      <c r="H94" s="66">
        <f>Shipping!F118</f>
        <v>0</v>
      </c>
      <c r="I94" s="66">
        <f>Shipping!G118</f>
        <v>0</v>
      </c>
      <c r="J94" s="66">
        <f t="shared" si="449"/>
        <v>0</v>
      </c>
      <c r="K94" s="66">
        <f>Shipping!H118</f>
        <v>0</v>
      </c>
      <c r="L94" s="67">
        <f>Shipping!I118</f>
        <v>0</v>
      </c>
      <c r="M94" s="67">
        <f>Shipping!J118</f>
        <v>0</v>
      </c>
      <c r="N94" s="67">
        <f t="shared" si="450"/>
        <v>0</v>
      </c>
      <c r="O94" s="67">
        <f>Shipping!K118</f>
        <v>0</v>
      </c>
      <c r="P94" s="67">
        <f>Shipping!L118</f>
        <v>0</v>
      </c>
      <c r="Q94" s="67">
        <f t="shared" si="451"/>
        <v>0</v>
      </c>
      <c r="R94" s="67">
        <f>Shipping!M118</f>
        <v>0</v>
      </c>
      <c r="S94" s="68">
        <f>Shipping!N118</f>
        <v>0</v>
      </c>
      <c r="T94" s="68">
        <f>Shipping!O118</f>
        <v>0</v>
      </c>
      <c r="U94" s="68">
        <f t="shared" si="452"/>
        <v>0</v>
      </c>
      <c r="V94" s="68">
        <f>Shipping!P118</f>
        <v>0</v>
      </c>
      <c r="W94" s="68">
        <f>Shipping!Q118</f>
        <v>0</v>
      </c>
      <c r="X94" s="68">
        <f t="shared" si="453"/>
        <v>0</v>
      </c>
      <c r="Y94" s="68">
        <f>Shipping!R118</f>
        <v>0</v>
      </c>
    </row>
    <row r="95">
      <c r="A95" s="75"/>
      <c r="C95" s="65" t="s">
        <v>551</v>
      </c>
      <c r="D95" s="65" t="s">
        <v>785</v>
      </c>
      <c r="E95" s="66">
        <f>Shipping!D119</f>
        <v>2655968.6009043301</v>
      </c>
      <c r="F95" s="66">
        <f>Shipping!E119</f>
        <v>1724428.2154024648</v>
      </c>
      <c r="G95" s="66">
        <f t="shared" si="410"/>
        <v>1724428.2154024648</v>
      </c>
      <c r="H95" s="66">
        <f>Shipping!F119</f>
        <v>1300142.3706545755</v>
      </c>
      <c r="I95" s="66">
        <f>Shipping!G119</f>
        <v>2019160.7563522009</v>
      </c>
      <c r="J95" s="66">
        <f t="shared" si="449"/>
        <v>2019160.7563522009</v>
      </c>
      <c r="K95" s="66">
        <f>Shipping!H119</f>
        <v>824497.7330554073</v>
      </c>
      <c r="L95" s="67">
        <f>Shipping!I119</f>
        <v>6572252.4866311466</v>
      </c>
      <c r="M95" s="67">
        <f>Shipping!J119</f>
        <v>5129072.0187439416</v>
      </c>
      <c r="N95" s="67">
        <f t="shared" si="450"/>
        <v>5129072.0187439416</v>
      </c>
      <c r="O95" s="67">
        <f>Shipping!K119</f>
        <v>3922789.0268153772</v>
      </c>
      <c r="P95" s="67">
        <f>Shipping!L119</f>
        <v>7335547.5353773301</v>
      </c>
      <c r="Q95" s="67">
        <f t="shared" si="451"/>
        <v>7335547.5353773301</v>
      </c>
      <c r="R95" s="67">
        <f>Shipping!M119</f>
        <v>2592889.7343545291</v>
      </c>
      <c r="S95" s="68">
        <f>Shipping!N119</f>
        <v>3931577.9244054453</v>
      </c>
      <c r="T95" s="68">
        <f>Shipping!O119</f>
        <v>2846270.586519477</v>
      </c>
      <c r="U95" s="68">
        <f t="shared" si="452"/>
        <v>2846270.586519477</v>
      </c>
      <c r="V95" s="68">
        <f>Shipping!P119</f>
        <v>2165115.9009665321</v>
      </c>
      <c r="W95" s="68">
        <f>Shipping!Q119</f>
        <v>3723595.0087032029</v>
      </c>
      <c r="X95" s="68">
        <f t="shared" si="453"/>
        <v>3723595.0087032029</v>
      </c>
      <c r="Y95" s="68">
        <f>Shipping!R119</f>
        <v>1495382.8803199059</v>
      </c>
    </row>
    <row r="96">
      <c r="A96" s="75"/>
      <c r="C96" s="65" t="s">
        <v>552</v>
      </c>
      <c r="D96" s="65" t="s">
        <v>785</v>
      </c>
      <c r="E96" s="66">
        <f>Shipping!D120</f>
        <v>6222576.2593024466</v>
      </c>
      <c r="F96" s="66">
        <f>Shipping!E120</f>
        <v>3943288.515723655</v>
      </c>
      <c r="G96" s="66">
        <f t="shared" si="410"/>
        <v>3943288.515723655</v>
      </c>
      <c r="H96" s="66">
        <f>Shipping!F120</f>
        <v>2921824.0461141369</v>
      </c>
      <c r="I96" s="66">
        <f>Shipping!G120</f>
        <v>4104059.4042317807</v>
      </c>
      <c r="J96" s="66">
        <f t="shared" si="449"/>
        <v>4104059.4042317807</v>
      </c>
      <c r="K96" s="66">
        <f>Shipping!H120</f>
        <v>1430990.1322386088</v>
      </c>
      <c r="L96" s="67">
        <f>Shipping!I120</f>
        <v>15937207.535911107</v>
      </c>
      <c r="M96" s="67">
        <f>Shipping!J120</f>
        <v>12388758.798967607</v>
      </c>
      <c r="N96" s="67">
        <f t="shared" si="450"/>
        <v>12388758.798967607</v>
      </c>
      <c r="O96" s="67">
        <f>Shipping!K120</f>
        <v>9427492.679149</v>
      </c>
      <c r="P96" s="67">
        <f>Shipping!L120</f>
        <v>17297807.848926418</v>
      </c>
      <c r="Q96" s="67">
        <f t="shared" si="451"/>
        <v>17297807.848926418</v>
      </c>
      <c r="R96" s="67">
        <f>Shipping!M120</f>
        <v>5817617.0332495803</v>
      </c>
      <c r="S96" s="68">
        <f>Shipping!N120</f>
        <v>9386819.351071503</v>
      </c>
      <c r="T96" s="68">
        <f>Shipping!O120</f>
        <v>6726101.3311065594</v>
      </c>
      <c r="U96" s="68">
        <f t="shared" si="452"/>
        <v>6726101.3311065594</v>
      </c>
      <c r="V96" s="68">
        <f>Shipping!P120</f>
        <v>5067454.7399543151</v>
      </c>
      <c r="W96" s="68">
        <f>Shipping!Q120</f>
        <v>8332034.3876487883</v>
      </c>
      <c r="X96" s="68">
        <f t="shared" si="453"/>
        <v>8332034.3876487883</v>
      </c>
      <c r="Y96" s="68">
        <f>Shipping!R120</f>
        <v>3624115.8308617901</v>
      </c>
    </row>
    <row r="97" s="77" customFormat="1">
      <c r="A97" s="78"/>
      <c r="C97" s="77" t="s">
        <v>553</v>
      </c>
      <c r="D97" s="77" t="s">
        <v>785</v>
      </c>
      <c r="E97" s="79">
        <f>Shipping!D121</f>
        <v>13299078.309681924</v>
      </c>
      <c r="F97" s="79">
        <f>Shipping!E121</f>
        <v>8611666.8571733981</v>
      </c>
      <c r="G97" s="79">
        <f t="shared" si="410"/>
        <v>8611666.8571733981</v>
      </c>
      <c r="H97" s="79">
        <f>Shipping!F121</f>
        <v>5517295.7056711167</v>
      </c>
      <c r="I97" s="79">
        <f>Shipping!G121</f>
        <v>8668003.3727301247</v>
      </c>
      <c r="J97" s="79">
        <f t="shared" si="449"/>
        <v>8668003.3727301247</v>
      </c>
      <c r="K97" s="79">
        <f>Shipping!H121</f>
        <v>2821732.2450795933</v>
      </c>
      <c r="L97" s="80">
        <f>Shipping!I121</f>
        <v>36267743.872593775</v>
      </c>
      <c r="M97" s="80">
        <f>Shipping!J121</f>
        <v>28579607.681074522</v>
      </c>
      <c r="N97" s="80">
        <f t="shared" si="450"/>
        <v>28579607.681074522</v>
      </c>
      <c r="O97" s="80">
        <f>Shipping!K121</f>
        <v>20898891.037559815</v>
      </c>
      <c r="P97" s="80">
        <f>Shipping!L121</f>
        <v>39890603.030033343</v>
      </c>
      <c r="Q97" s="80">
        <f t="shared" si="451"/>
        <v>39890603.030033343</v>
      </c>
      <c r="R97" s="80">
        <f>Shipping!M121</f>
        <v>13193198.065012038</v>
      </c>
      <c r="S97" s="81">
        <f>Shipping!N121</f>
        <v>20780416.434124805</v>
      </c>
      <c r="T97" s="81">
        <f>Shipping!O121</f>
        <v>15191175.132965457</v>
      </c>
      <c r="U97" s="81">
        <f t="shared" si="452"/>
        <v>15191175.132965457</v>
      </c>
      <c r="V97" s="81">
        <f>Shipping!P121</f>
        <v>10590290.493131317</v>
      </c>
      <c r="W97" s="81">
        <f>Shipping!Q121</f>
        <v>18664362.538341619</v>
      </c>
      <c r="X97" s="81">
        <f t="shared" si="453"/>
        <v>18664362.538341619</v>
      </c>
      <c r="Y97" s="81">
        <f>Shipping!R121</f>
        <v>8490036.6891452577</v>
      </c>
    </row>
    <row r="98" s="70" customFormat="1">
      <c r="A98" s="69" t="s">
        <v>790</v>
      </c>
      <c r="B98" s="70" t="s">
        <v>781</v>
      </c>
      <c r="C98" s="70" t="s">
        <v>550</v>
      </c>
      <c r="E98" s="71">
        <f>'Storage 2'!C28*'Storage 2'!C6</f>
        <v>391960800</v>
      </c>
      <c r="F98" s="71">
        <f>'Storage 2'!D28*'Storage 2'!D6</f>
        <v>557440000</v>
      </c>
      <c r="G98" s="71">
        <f t="shared" si="410"/>
        <v>557440000</v>
      </c>
      <c r="H98" s="71">
        <f>'Storage 2'!F28*'Storage 2'!F6</f>
        <v>289080422.40000004</v>
      </c>
      <c r="I98" s="71">
        <f>'Storage 2'!G28*'Storage 2'!G6</f>
        <v>911111111.11111116</v>
      </c>
      <c r="J98" s="71">
        <f>'Storage 2'!H28*'Storage 2'!H6</f>
        <v>911111111.11111116</v>
      </c>
      <c r="K98" s="71">
        <f>'Storage 2'!I28*'Storage 2'!I6</f>
        <v>328798650.00000006</v>
      </c>
      <c r="L98" s="72">
        <f>'Storage 2'!J28*'Storage 2'!J6</f>
        <v>391960800</v>
      </c>
      <c r="M98" s="72">
        <f>'Storage 2'!K28*'Storage 2'!K6</f>
        <v>557440000</v>
      </c>
      <c r="N98" s="72">
        <f t="shared" si="450"/>
        <v>557440000</v>
      </c>
      <c r="O98" s="72">
        <f>'Storage 2'!M28*'Storage 2'!M6</f>
        <v>289080422.40000004</v>
      </c>
      <c r="P98" s="72">
        <f>'Storage 2'!N28*'Storage 2'!N6</f>
        <v>911111111.11111116</v>
      </c>
      <c r="Q98" s="72">
        <f>'Storage 2'!O28*'Storage 2'!O6</f>
        <v>911111111.11111116</v>
      </c>
      <c r="R98" s="72">
        <f>'Storage 2'!P28*'Storage 2'!P6</f>
        <v>328798650.00000006</v>
      </c>
      <c r="S98" s="73">
        <f>'Storage 2'!Q28*'Storage 2'!Q6</f>
        <v>391960800</v>
      </c>
      <c r="T98" s="73">
        <f>'Storage 2'!R28*'Storage 2'!R6</f>
        <v>557440000</v>
      </c>
      <c r="U98" s="73">
        <f t="shared" si="452"/>
        <v>557440000</v>
      </c>
      <c r="V98" s="73">
        <f>'Storage 2'!T28*'Storage 2'!T6</f>
        <v>289080422.40000004</v>
      </c>
      <c r="W98" s="73">
        <f>'Storage 2'!U28*'Storage 2'!U6</f>
        <v>911111111.11111116</v>
      </c>
      <c r="X98" s="73">
        <f>'Storage 2'!V28*'Storage 2'!V6</f>
        <v>911111111.11111116</v>
      </c>
      <c r="Y98" s="73">
        <f>'Storage 2'!W28*'Storage 2'!W6</f>
        <v>328798650.00000006</v>
      </c>
    </row>
    <row r="99">
      <c r="A99" s="75"/>
      <c r="C99" s="65" t="s">
        <v>551</v>
      </c>
      <c r="D99" s="65" t="s">
        <v>555</v>
      </c>
      <c r="E99" s="66">
        <f>'Storage 2'!C29*'Storage 2'!C6</f>
        <v>379567216</v>
      </c>
      <c r="F99" s="66">
        <f>'Storage 2'!D29*'Storage 2'!D6</f>
        <v>545046416</v>
      </c>
      <c r="G99" s="66">
        <f t="shared" si="410"/>
        <v>545046416</v>
      </c>
      <c r="H99" s="66">
        <f>'Storage 2'!F29*'Storage 2'!F6</f>
        <v>268014425.72800002</v>
      </c>
      <c r="I99" s="66">
        <f>'Storage 2'!G29*'Storage 2'!G6</f>
        <v>898717527.11111116</v>
      </c>
      <c r="J99" s="66">
        <f>'Storage 2'!H29*'Storage 2'!H6</f>
        <v>898717527.11111116</v>
      </c>
      <c r="K99" s="66">
        <f>'Storage 2'!I29*'Storage 2'!I6</f>
        <v>320761887.4523077</v>
      </c>
      <c r="L99" s="67">
        <f>'Storage 2'!J29*'Storage 2'!J6</f>
        <v>379567216</v>
      </c>
      <c r="M99" s="67">
        <f>'Storage 2'!K29*'Storage 2'!K6</f>
        <v>545046416</v>
      </c>
      <c r="N99" s="67">
        <f t="shared" si="450"/>
        <v>545046416</v>
      </c>
      <c r="O99" s="67">
        <f>'Storage 2'!M29*'Storage 2'!M6</f>
        <v>268014425.72800002</v>
      </c>
      <c r="P99" s="67">
        <f>'Storage 2'!N29*'Storage 2'!N6</f>
        <v>896708609.98632562</v>
      </c>
      <c r="Q99" s="67">
        <f>'Storage 2'!O29*'Storage 2'!O6</f>
        <v>896708609.98632562</v>
      </c>
      <c r="R99" s="67">
        <f>'Storage 2'!P29*'Storage 2'!P6</f>
        <v>320761887.4523077</v>
      </c>
      <c r="S99" s="68">
        <f>'Storage 2'!Q29*'Storage 2'!Q6</f>
        <v>379567216</v>
      </c>
      <c r="T99" s="68">
        <f>'Storage 2'!R29*'Storage 2'!R6</f>
        <v>545046416</v>
      </c>
      <c r="U99" s="68">
        <f t="shared" si="452"/>
        <v>545046416</v>
      </c>
      <c r="V99" s="68">
        <f>'Storage 2'!T29*'Storage 2'!T6</f>
        <v>268014425.72800002</v>
      </c>
      <c r="W99" s="68">
        <f>'Storage 2'!U29*'Storage 2'!U6</f>
        <v>898717527.11111116</v>
      </c>
      <c r="X99" s="68">
        <f>'Storage 2'!V29*'Storage 2'!V6</f>
        <v>898717527.11111116</v>
      </c>
      <c r="Y99" s="68">
        <f>'Storage 2'!W29*'Storage 2'!W6</f>
        <v>320761887.4523077</v>
      </c>
    </row>
    <row r="100">
      <c r="A100" s="75"/>
      <c r="C100" s="65" t="s">
        <v>552</v>
      </c>
      <c r="D100" s="65" t="s">
        <v>555</v>
      </c>
      <c r="E100" s="66">
        <f>'Storage 2'!C30*'Storage 2'!C6</f>
        <v>361217599.99999994</v>
      </c>
      <c r="F100" s="66">
        <f>'Storage 2'!D30*'Storage 2'!D6</f>
        <v>526696800.00000006</v>
      </c>
      <c r="G100" s="66">
        <f t="shared" si="410"/>
        <v>526696800.00000006</v>
      </c>
      <c r="H100" s="66">
        <f>'Storage 2'!F30*'Storage 2'!F6</f>
        <v>240992397.05599999</v>
      </c>
      <c r="I100" s="66">
        <f>'Storage 2'!G30*'Storage 2'!G6</f>
        <v>880367911.11111116</v>
      </c>
      <c r="J100" s="66">
        <f>'Storage 2'!H30*'Storage 2'!H6</f>
        <v>880367911.11111116</v>
      </c>
      <c r="K100" s="66">
        <f>'Storage 2'!I30*'Storage 2'!I6</f>
        <v>308862867.23076928</v>
      </c>
      <c r="L100" s="67">
        <f>'Storage 2'!J30*'Storage 2'!J6</f>
        <v>361217599.99999994</v>
      </c>
      <c r="M100" s="67">
        <f>'Storage 2'!K30*'Storage 2'!K6</f>
        <v>526696800.00000006</v>
      </c>
      <c r="N100" s="67">
        <f t="shared" si="450"/>
        <v>526696800.00000006</v>
      </c>
      <c r="O100" s="67">
        <f>'Storage 2'!M30*'Storage 2'!M6</f>
        <v>240992397.05599999</v>
      </c>
      <c r="P100" s="67">
        <f>'Storage 2'!N30*'Storage 2'!N6</f>
        <v>879706252.42957592</v>
      </c>
      <c r="Q100" s="67">
        <f>'Storage 2'!O30*'Storage 2'!O6</f>
        <v>879706252.42957592</v>
      </c>
      <c r="R100" s="67">
        <f>'Storage 2'!P30*'Storage 2'!P6</f>
        <v>308862867.23076928</v>
      </c>
      <c r="S100" s="68">
        <f>'Storage 2'!Q30*'Storage 2'!Q6</f>
        <v>361217599.99999994</v>
      </c>
      <c r="T100" s="68">
        <f>'Storage 2'!R30*'Storage 2'!R6</f>
        <v>526696800.00000006</v>
      </c>
      <c r="U100" s="68">
        <f t="shared" si="452"/>
        <v>526696800.00000006</v>
      </c>
      <c r="V100" s="68">
        <f>'Storage 2'!T30*'Storage 2'!T6</f>
        <v>240992397.05599999</v>
      </c>
      <c r="W100" s="68">
        <f>'Storage 2'!U30*'Storage 2'!U6</f>
        <v>880367911.11111116</v>
      </c>
      <c r="X100" s="68">
        <f>'Storage 2'!V30*'Storage 2'!V6</f>
        <v>880367911.11111116</v>
      </c>
      <c r="Y100" s="68">
        <f>'Storage 2'!W30*'Storage 2'!W6</f>
        <v>308862867.23076928</v>
      </c>
    </row>
    <row r="101">
      <c r="A101" s="75"/>
      <c r="C101" s="65" t="s">
        <v>553</v>
      </c>
      <c r="D101" s="65" t="s">
        <v>555</v>
      </c>
      <c r="E101" s="66">
        <f>'Storage 2'!C31*'Storage 2'!C6</f>
        <v>319273504</v>
      </c>
      <c r="F101" s="66">
        <f>'Storage 2'!D31*'Storage 2'!D6</f>
        <v>484752704</v>
      </c>
      <c r="G101" s="66">
        <f t="shared" si="410"/>
        <v>484752704</v>
      </c>
      <c r="H101" s="66">
        <f>'Storage 2'!F31*'Storage 2'!F6</f>
        <v>173031063.03999999</v>
      </c>
      <c r="I101" s="66">
        <f>'Storage 2'!G31*'Storage 2'!G6</f>
        <v>838423815.11111116</v>
      </c>
      <c r="J101" s="66">
        <f>'Storage 2'!H31*'Storage 2'!H6</f>
        <v>838423815.11111116</v>
      </c>
      <c r="K101" s="66">
        <f>'Storage 2'!I31*'Storage 2'!I6</f>
        <v>281663734.20923078</v>
      </c>
      <c r="L101" s="67">
        <f>'Storage 2'!J31*'Storage 2'!J6</f>
        <v>319273504</v>
      </c>
      <c r="M101" s="67">
        <f>'Storage 2'!K31*'Storage 2'!K6</f>
        <v>484752704</v>
      </c>
      <c r="N101" s="67">
        <f t="shared" si="450"/>
        <v>484752704</v>
      </c>
      <c r="O101" s="67">
        <f>'Storage 2'!M31*'Storage 2'!M6</f>
        <v>173031063.03999999</v>
      </c>
      <c r="P101" s="67">
        <f>'Storage 2'!N31*'Storage 2'!N6</f>
        <v>842042604.39179969</v>
      </c>
      <c r="Q101" s="67">
        <f>'Storage 2'!O31*'Storage 2'!O6</f>
        <v>842042604.39179969</v>
      </c>
      <c r="R101" s="67">
        <f>'Storage 2'!P31*'Storage 2'!P6</f>
        <v>281663734.20923078</v>
      </c>
      <c r="S101" s="68">
        <f>'Storage 2'!Q31*'Storage 2'!Q6</f>
        <v>319273504</v>
      </c>
      <c r="T101" s="68">
        <f>'Storage 2'!R31*'Storage 2'!R6</f>
        <v>484752704</v>
      </c>
      <c r="U101" s="68">
        <f t="shared" si="452"/>
        <v>484752704</v>
      </c>
      <c r="V101" s="68">
        <f>'Storage 2'!T31*'Storage 2'!T6</f>
        <v>173031063.03999999</v>
      </c>
      <c r="W101" s="68">
        <f>'Storage 2'!U31*'Storage 2'!U6</f>
        <v>838423815.11111116</v>
      </c>
      <c r="X101" s="68">
        <f>'Storage 2'!V31*'Storage 2'!V6</f>
        <v>838423815.11111116</v>
      </c>
      <c r="Y101" s="68">
        <f>'Storage 2'!W31*'Storage 2'!W6</f>
        <v>281663734.20923078</v>
      </c>
    </row>
    <row r="102">
      <c r="A102" s="75"/>
      <c r="B102" s="65" t="s">
        <v>782</v>
      </c>
      <c r="C102" s="65" t="s">
        <v>550</v>
      </c>
      <c r="E102" s="66">
        <f>'Storage 2'!C46</f>
        <v>601085.48465254635</v>
      </c>
      <c r="F102" s="66">
        <f>'Storage 2'!D46</f>
        <v>24241.3752355332</v>
      </c>
      <c r="G102" s="66">
        <f>F102</f>
        <v>24241.3752355332</v>
      </c>
      <c r="H102" s="66">
        <f>'Storage 2'!F46</f>
        <v>0</v>
      </c>
      <c r="I102" s="66">
        <f>'Storage 2'!G46</f>
        <v>235325.92982275205</v>
      </c>
      <c r="J102" s="66">
        <f>'Storage 2'!H46</f>
        <v>235325.92982275205</v>
      </c>
      <c r="K102" s="66">
        <f>'Storage 2'!I46</f>
        <v>0</v>
      </c>
      <c r="L102" s="67">
        <f>'Storage 2'!J46</f>
        <v>19104177.12292286</v>
      </c>
      <c r="M102" s="67">
        <f>'Storage 2'!K46</f>
        <v>596112.05217404093</v>
      </c>
      <c r="N102" s="67">
        <f t="shared" si="450"/>
        <v>596112.05217404093</v>
      </c>
      <c r="O102" s="67">
        <f>'Storage 2'!M46</f>
        <v>0</v>
      </c>
      <c r="P102" s="67">
        <f>'Storage 2'!N46</f>
        <v>7175709.6110719591</v>
      </c>
      <c r="Q102" s="67">
        <f>'Storage 2'!O46</f>
        <v>7175709.6110719591</v>
      </c>
      <c r="R102" s="67">
        <f>'Storage 2'!P46</f>
        <v>0</v>
      </c>
      <c r="S102" s="68">
        <f>'Storage 2'!Q46</f>
        <v>6591440.1225016704</v>
      </c>
      <c r="T102" s="68">
        <f>'Storage 2'!R46</f>
        <v>216469.8188377058</v>
      </c>
      <c r="U102" s="68">
        <f t="shared" si="452"/>
        <v>216469.8188377058</v>
      </c>
      <c r="V102" s="68">
        <f>'Storage 2'!T46</f>
        <v>0</v>
      </c>
      <c r="W102" s="68">
        <f>'Storage 2'!U46</f>
        <v>2139916.7060988257</v>
      </c>
      <c r="X102" s="68">
        <f>'Storage 2'!V46</f>
        <v>2139916.7060988257</v>
      </c>
      <c r="Y102" s="68">
        <f>'Storage 2'!W46</f>
        <v>0</v>
      </c>
    </row>
    <row r="103">
      <c r="A103" s="75"/>
      <c r="C103" s="65" t="s">
        <v>551</v>
      </c>
      <c r="D103" s="65" t="s">
        <v>555</v>
      </c>
      <c r="E103" s="66">
        <f>'Storage 2'!C47</f>
        <v>582079.49363195954</v>
      </c>
      <c r="F103" s="66">
        <f>'Storage 2'!D47</f>
        <v>23702.415849308494</v>
      </c>
      <c r="G103" s="66">
        <f t="shared" si="410"/>
        <v>23702.415849308494</v>
      </c>
      <c r="H103" s="66">
        <f>'Storage 2'!F47</f>
        <v>0</v>
      </c>
      <c r="I103" s="66">
        <f>'Storage 2'!G47</f>
        <v>232124.85846815113</v>
      </c>
      <c r="J103" s="66">
        <f>'Storage 2'!H47</f>
        <v>232124.85846815113</v>
      </c>
      <c r="K103" s="66">
        <f>'Storage 2'!I47</f>
        <v>0</v>
      </c>
      <c r="L103" s="67">
        <f>'Storage 2'!J47</f>
        <v>18500113.594315354</v>
      </c>
      <c r="M103" s="67">
        <f>'Storage 2'!K47</f>
        <v>582858.67101726832</v>
      </c>
      <c r="N103" s="67">
        <f t="shared" si="450"/>
        <v>582858.67101726832</v>
      </c>
      <c r="O103" s="67">
        <f>'Storage 2'!M47</f>
        <v>0</v>
      </c>
      <c r="P103" s="67">
        <f>'Storage 2'!N47</f>
        <v>7062278.6974498387</v>
      </c>
      <c r="Q103" s="67">
        <f>'Storage 2'!O47</f>
        <v>7062278.6974498387</v>
      </c>
      <c r="R103" s="67">
        <f>'Storage 2'!P47</f>
        <v>0</v>
      </c>
      <c r="S103" s="68">
        <f>'Storage 2'!Q47</f>
        <v>6383022.4265504573</v>
      </c>
      <c r="T103" s="68">
        <f>'Storage 2'!R47</f>
        <v>211657.03740252016</v>
      </c>
      <c r="U103" s="68">
        <f t="shared" si="452"/>
        <v>211657.03740252016</v>
      </c>
      <c r="V103" s="68">
        <f>'Storage 2'!T47</f>
        <v>0</v>
      </c>
      <c r="W103" s="68">
        <f>'Storage 2'!U47</f>
        <v>2110808.030848783</v>
      </c>
      <c r="X103" s="68">
        <f>'Storage 2'!V47</f>
        <v>2110808.030848783</v>
      </c>
      <c r="Y103" s="68">
        <f>'Storage 2'!W47</f>
        <v>0</v>
      </c>
    </row>
    <row r="104">
      <c r="A104" s="75"/>
      <c r="C104" s="65" t="s">
        <v>552</v>
      </c>
      <c r="D104" s="65" t="s">
        <v>555</v>
      </c>
      <c r="E104" s="66">
        <f>'Storage 2'!C48</f>
        <v>553939.72091349342</v>
      </c>
      <c r="F104" s="66">
        <f>'Storage 2'!D48</f>
        <v>22904.446692297977</v>
      </c>
      <c r="G104" s="66">
        <f t="shared" si="410"/>
        <v>22904.446692297977</v>
      </c>
      <c r="H104" s="66">
        <f>'Storage 2'!F48</f>
        <v>0</v>
      </c>
      <c r="I104" s="66">
        <f>'Storage 2'!G48</f>
        <v>227385.4360262226</v>
      </c>
      <c r="J104" s="66">
        <f>'Storage 2'!H48</f>
        <v>227385.4360262226</v>
      </c>
      <c r="K104" s="66">
        <f>'Storage 2'!I48</f>
        <v>0</v>
      </c>
      <c r="L104" s="67">
        <f>'Storage 2'!J48</f>
        <v>17605752.948552765</v>
      </c>
      <c r="M104" s="67">
        <f>'Storage 2'!K48</f>
        <v>563236.06185688218</v>
      </c>
      <c r="N104" s="67">
        <f t="shared" si="450"/>
        <v>563236.06185688218</v>
      </c>
      <c r="O104" s="67">
        <f>'Storage 2'!M48</f>
        <v>0</v>
      </c>
      <c r="P104" s="67">
        <f>'Storage 2'!N48</f>
        <v>6928371.8895501243</v>
      </c>
      <c r="Q104" s="67">
        <f>'Storage 2'!O48</f>
        <v>6928371.8895501243</v>
      </c>
      <c r="R104" s="67">
        <f>'Storage 2'!P48</f>
        <v>0</v>
      </c>
      <c r="S104" s="68">
        <f>'Storage 2'!Q48</f>
        <v>6074444.6424075048</v>
      </c>
      <c r="T104" s="68">
        <f>'Storage 2'!R48</f>
        <v>204531.35921067628</v>
      </c>
      <c r="U104" s="68">
        <f t="shared" si="452"/>
        <v>204531.35921067628</v>
      </c>
      <c r="V104" s="68">
        <f>'Storage 2'!T48</f>
        <v>0</v>
      </c>
      <c r="W104" s="68">
        <f>'Storage 2'!U48</f>
        <v>2067710.4883536506</v>
      </c>
      <c r="X104" s="68">
        <f>'Storage 2'!V48</f>
        <v>2067710.4883536506</v>
      </c>
      <c r="Y104" s="68">
        <f>'Storage 2'!W48</f>
        <v>0</v>
      </c>
    </row>
    <row r="105">
      <c r="A105" s="75"/>
      <c r="C105" s="65" t="s">
        <v>553</v>
      </c>
      <c r="D105" s="65" t="s">
        <v>555</v>
      </c>
      <c r="E105" s="66">
        <f>'Storage 2'!C49</f>
        <v>489616.99457842903</v>
      </c>
      <c r="F105" s="66">
        <f>'Storage 2'!D49</f>
        <v>21080.425147286445</v>
      </c>
      <c r="G105" s="66">
        <f t="shared" si="410"/>
        <v>21080.425147286445</v>
      </c>
      <c r="H105" s="66">
        <f>'Storage 2'!F49</f>
        <v>0</v>
      </c>
      <c r="I105" s="66">
        <f>'Storage 2'!G49</f>
        <v>216551.9237669576</v>
      </c>
      <c r="J105" s="66">
        <f>'Storage 2'!H49</f>
        <v>216551.9237669576</v>
      </c>
      <c r="K105" s="66">
        <f>'Storage 2'!I49</f>
        <v>0</v>
      </c>
      <c r="L105" s="67">
        <f>'Storage 2'!J49</f>
        <v>15561396.882219397</v>
      </c>
      <c r="M105" s="67">
        <f>'Storage 2'!K49</f>
        <v>518382.1203687489</v>
      </c>
      <c r="N105" s="67">
        <f t="shared" si="450"/>
        <v>518382.1203687489</v>
      </c>
      <c r="O105" s="67">
        <f>'Storage 2'!M49</f>
        <v>0</v>
      </c>
      <c r="P105" s="67">
        <f>'Storage 2'!N49</f>
        <v>6631741.3272434995</v>
      </c>
      <c r="Q105" s="67">
        <f>'Storage 2'!O49</f>
        <v>6631741.3272434995</v>
      </c>
      <c r="R105" s="67">
        <f>'Storage 2'!P49</f>
        <v>0</v>
      </c>
      <c r="S105" s="68">
        <f>'Storage 2'!Q49</f>
        <v>5369088.3994452963</v>
      </c>
      <c r="T105" s="68">
        <f>'Storage 2'!R49</f>
        <v>188243.2728472446</v>
      </c>
      <c r="U105" s="68">
        <f t="shared" si="452"/>
        <v>188243.2728472446</v>
      </c>
      <c r="V105" s="68">
        <f>'Storage 2'!T49</f>
        <v>0</v>
      </c>
      <c r="W105" s="68">
        <f>'Storage 2'!U49</f>
        <v>1969196.8486251731</v>
      </c>
      <c r="X105" s="68">
        <f>'Storage 2'!V49</f>
        <v>1969196.8486251731</v>
      </c>
      <c r="Y105" s="68">
        <f>'Storage 2'!W49</f>
        <v>0</v>
      </c>
    </row>
    <row r="106">
      <c r="A106" s="75"/>
      <c r="B106" s="65" t="s">
        <v>783</v>
      </c>
      <c r="C106" s="65" t="s">
        <v>550</v>
      </c>
      <c r="E106" s="66">
        <f>'Storage 2'!C28*'Storage 2'!C6</f>
        <v>391960800</v>
      </c>
      <c r="F106" s="66">
        <f>'Storage 2'!D28*'Storage 2'!D6</f>
        <v>557440000</v>
      </c>
      <c r="G106" s="66">
        <f>F106</f>
        <v>557440000</v>
      </c>
      <c r="H106" s="66">
        <f>'Storage 2'!F28*'Storage 2'!F6</f>
        <v>289080422.40000004</v>
      </c>
      <c r="I106" s="66">
        <f>'Storage 2'!G28*'Storage 2'!G6</f>
        <v>911111111.11111116</v>
      </c>
      <c r="J106" s="66">
        <f>'Storage 2'!H28*'Storage 2'!H6</f>
        <v>911111111.11111116</v>
      </c>
      <c r="K106" s="66">
        <f t="shared" ref="K106:K109" si="454">K90</f>
        <v>328798650.00000006</v>
      </c>
      <c r="L106" s="67">
        <f>'Storage 2'!J28*'Storage 2'!J6</f>
        <v>391960800</v>
      </c>
      <c r="M106" s="67">
        <f>'Storage 2'!K28*'Storage 2'!K6</f>
        <v>557440000</v>
      </c>
      <c r="N106" s="67">
        <f t="shared" si="450"/>
        <v>557440000</v>
      </c>
      <c r="O106" s="67">
        <f>'Storage 2'!M28*'Storage 2'!M6</f>
        <v>289080422.40000004</v>
      </c>
      <c r="P106" s="67">
        <f>'Storage 2'!N28*'Storage 2'!N6</f>
        <v>911111111.11111116</v>
      </c>
      <c r="Q106" s="67">
        <f>'Storage 2'!O28*'Storage 2'!O6</f>
        <v>911111111.11111116</v>
      </c>
      <c r="R106" s="67">
        <f t="shared" ref="R106:R109" si="455">R90</f>
        <v>328798650.00000006</v>
      </c>
      <c r="S106" s="68">
        <f>'Storage 2'!Q28*'Storage 2'!Q6</f>
        <v>391960800</v>
      </c>
      <c r="T106" s="68">
        <f>'Storage 2'!R28*'Storage 2'!R6</f>
        <v>557440000</v>
      </c>
      <c r="U106" s="68">
        <f t="shared" si="452"/>
        <v>557440000</v>
      </c>
      <c r="V106" s="68">
        <f>'Storage 2'!T28*'Storage 2'!T6</f>
        <v>289080422.40000004</v>
      </c>
      <c r="W106" s="68">
        <f>'Storage 2'!U28*'Storage 2'!U6</f>
        <v>911111111.11111116</v>
      </c>
      <c r="X106" s="68">
        <f>'Storage 2'!V28*'Storage 2'!V6</f>
        <v>911111111.11111116</v>
      </c>
      <c r="Y106" s="68">
        <f t="shared" ref="Y106:Y109" si="456">Y90</f>
        <v>328798650.00000006</v>
      </c>
    </row>
    <row r="107">
      <c r="A107" s="75"/>
      <c r="C107" s="65" t="s">
        <v>551</v>
      </c>
      <c r="D107" s="65" t="s">
        <v>555</v>
      </c>
      <c r="E107" s="66">
        <f>'Storage 2'!C29*'Storage 2'!C6</f>
        <v>379567216</v>
      </c>
      <c r="F107" s="66">
        <f>'Storage 2'!D29*'Storage 2'!D6</f>
        <v>545046416</v>
      </c>
      <c r="G107" s="66">
        <f t="shared" si="410"/>
        <v>545046416</v>
      </c>
      <c r="H107" s="66">
        <f>'Storage 2'!F29*'Storage 2'!F6</f>
        <v>268014425.72800002</v>
      </c>
      <c r="I107" s="66">
        <f>'Storage 2'!G29*'Storage 2'!G6</f>
        <v>898717527.11111116</v>
      </c>
      <c r="J107" s="66">
        <f>'Storage 2'!H29*'Storage 2'!H6</f>
        <v>898717527.11111116</v>
      </c>
      <c r="K107" s="66">
        <f t="shared" si="454"/>
        <v>320761887.4523077</v>
      </c>
      <c r="L107" s="67">
        <f>'Storage 2'!J29*'Storage 2'!J6</f>
        <v>379567216</v>
      </c>
      <c r="M107" s="67">
        <f>'Storage 2'!K29*'Storage 2'!K6</f>
        <v>545046416</v>
      </c>
      <c r="N107" s="67">
        <f t="shared" si="450"/>
        <v>545046416</v>
      </c>
      <c r="O107" s="67">
        <f>'Storage 2'!M29*'Storage 2'!M6</f>
        <v>268014425.72800002</v>
      </c>
      <c r="P107" s="67">
        <f>'Storage 2'!N29*'Storage 2'!N6</f>
        <v>896708609.98632562</v>
      </c>
      <c r="Q107" s="67">
        <f>'Storage 2'!O29*'Storage 2'!O6</f>
        <v>896708609.98632562</v>
      </c>
      <c r="R107" s="67">
        <f t="shared" si="455"/>
        <v>320761887.4523077</v>
      </c>
      <c r="S107" s="68">
        <f>'Storage 2'!Q29*'Storage 2'!Q6</f>
        <v>379567216</v>
      </c>
      <c r="T107" s="68">
        <f>'Storage 2'!R29*'Storage 2'!R6</f>
        <v>545046416</v>
      </c>
      <c r="U107" s="68">
        <f t="shared" si="452"/>
        <v>545046416</v>
      </c>
      <c r="V107" s="68">
        <f>'Storage 2'!T29*'Storage 2'!T6</f>
        <v>268014425.72800002</v>
      </c>
      <c r="W107" s="68">
        <f>'Storage 2'!U29*'Storage 2'!U6</f>
        <v>898717527.11111116</v>
      </c>
      <c r="X107" s="68">
        <f>'Storage 2'!V29*'Storage 2'!V6</f>
        <v>898717527.11111116</v>
      </c>
      <c r="Y107" s="68">
        <f t="shared" si="456"/>
        <v>320761887.4523077</v>
      </c>
    </row>
    <row r="108">
      <c r="A108" s="75"/>
      <c r="C108" s="65" t="s">
        <v>552</v>
      </c>
      <c r="D108" s="65" t="s">
        <v>555</v>
      </c>
      <c r="E108" s="66">
        <f>'Storage 2'!C30*'Storage 2'!C6</f>
        <v>361217599.99999994</v>
      </c>
      <c r="F108" s="66">
        <f>'Storage 2'!D30*'Storage 2'!D6</f>
        <v>526696800.00000006</v>
      </c>
      <c r="G108" s="66">
        <f t="shared" si="410"/>
        <v>526696800.00000006</v>
      </c>
      <c r="H108" s="66">
        <f>'Storage 2'!F30*'Storage 2'!F6</f>
        <v>240992397.05599999</v>
      </c>
      <c r="I108" s="66">
        <f>'Storage 2'!G30*'Storage 2'!G6</f>
        <v>880367911.11111116</v>
      </c>
      <c r="J108" s="66">
        <f>'Storage 2'!H30*'Storage 2'!H6</f>
        <v>880367911.11111116</v>
      </c>
      <c r="K108" s="66">
        <f t="shared" si="454"/>
        <v>308862867.23076928</v>
      </c>
      <c r="L108" s="67">
        <f>'Storage 2'!J30*'Storage 2'!J6</f>
        <v>361217599.99999994</v>
      </c>
      <c r="M108" s="67">
        <f>'Storage 2'!K30*'Storage 2'!K6</f>
        <v>526696800.00000006</v>
      </c>
      <c r="N108" s="67">
        <f t="shared" si="450"/>
        <v>526696800.00000006</v>
      </c>
      <c r="O108" s="67">
        <f>'Storage 2'!M30*'Storage 2'!M6</f>
        <v>240992397.05599999</v>
      </c>
      <c r="P108" s="67">
        <f>'Storage 2'!N30*'Storage 2'!N6</f>
        <v>879706252.42957592</v>
      </c>
      <c r="Q108" s="67">
        <f>'Storage 2'!O30*'Storage 2'!O6</f>
        <v>879706252.42957592</v>
      </c>
      <c r="R108" s="67">
        <f t="shared" si="455"/>
        <v>308862867.23076928</v>
      </c>
      <c r="S108" s="68">
        <f>'Storage 2'!Q30*'Storage 2'!Q6</f>
        <v>361217599.99999994</v>
      </c>
      <c r="T108" s="68">
        <f>'Storage 2'!R30*'Storage 2'!R6</f>
        <v>526696800.00000006</v>
      </c>
      <c r="U108" s="68">
        <f t="shared" si="452"/>
        <v>526696800.00000006</v>
      </c>
      <c r="V108" s="68">
        <f>'Storage 2'!T30*'Storage 2'!T6</f>
        <v>240992397.05599999</v>
      </c>
      <c r="W108" s="68">
        <f>'Storage 2'!U30*'Storage 2'!U6</f>
        <v>880367911.11111116</v>
      </c>
      <c r="X108" s="68">
        <f>'Storage 2'!V30*'Storage 2'!V6</f>
        <v>880367911.11111116</v>
      </c>
      <c r="Y108" s="68">
        <f t="shared" si="456"/>
        <v>308862867.23076928</v>
      </c>
    </row>
    <row r="109">
      <c r="A109" s="75"/>
      <c r="C109" s="65" t="s">
        <v>553</v>
      </c>
      <c r="D109" s="65" t="s">
        <v>555</v>
      </c>
      <c r="E109" s="66">
        <f>'Storage 2'!C31*'Storage 2'!C6</f>
        <v>319273504</v>
      </c>
      <c r="F109" s="66">
        <f>'Storage 2'!D31*'Storage 2'!D6</f>
        <v>484752704</v>
      </c>
      <c r="G109" s="66">
        <f t="shared" si="410"/>
        <v>484752704</v>
      </c>
      <c r="H109" s="66">
        <f>'Storage 2'!F31*'Storage 2'!F6</f>
        <v>173031063.03999999</v>
      </c>
      <c r="I109" s="66">
        <f>'Storage 2'!G31*'Storage 2'!G6</f>
        <v>838423815.11111116</v>
      </c>
      <c r="J109" s="66">
        <f>'Storage 2'!H31*'Storage 2'!H6</f>
        <v>838423815.11111116</v>
      </c>
      <c r="K109" s="66">
        <f t="shared" si="454"/>
        <v>281663734.20923078</v>
      </c>
      <c r="L109" s="67">
        <f>'Storage 2'!J31*'Storage 2'!J6</f>
        <v>319273504</v>
      </c>
      <c r="M109" s="67">
        <f>'Storage 2'!K31*'Storage 2'!K6</f>
        <v>484752704</v>
      </c>
      <c r="N109" s="67">
        <f t="shared" si="450"/>
        <v>484752704</v>
      </c>
      <c r="O109" s="67">
        <f>'Storage 2'!M31*'Storage 2'!M6</f>
        <v>173031063.03999999</v>
      </c>
      <c r="P109" s="67">
        <f>'Storage 2'!N31*'Storage 2'!N6</f>
        <v>842042604.39179969</v>
      </c>
      <c r="Q109" s="67">
        <f>'Storage 2'!O31*'Storage 2'!O6</f>
        <v>842042604.39179969</v>
      </c>
      <c r="R109" s="67">
        <f t="shared" si="455"/>
        <v>281663734.20923078</v>
      </c>
      <c r="S109" s="68">
        <f>'Storage 2'!Q31*'Storage 2'!Q6</f>
        <v>319273504</v>
      </c>
      <c r="T109" s="68">
        <f>'Storage 2'!R31*'Storage 2'!R6</f>
        <v>484752704</v>
      </c>
      <c r="U109" s="68">
        <f t="shared" si="452"/>
        <v>484752704</v>
      </c>
      <c r="V109" s="68">
        <f>'Storage 2'!T31*'Storage 2'!T6</f>
        <v>173031063.03999999</v>
      </c>
      <c r="W109" s="68">
        <f>'Storage 2'!U31*'Storage 2'!U6</f>
        <v>838423815.11111116</v>
      </c>
      <c r="X109" s="68">
        <f>'Storage 2'!V31*'Storage 2'!V6</f>
        <v>838423815.11111116</v>
      </c>
      <c r="Y109" s="68">
        <f t="shared" si="456"/>
        <v>281663734.20923078</v>
      </c>
    </row>
    <row r="110">
      <c r="A110" s="75"/>
      <c r="B110" s="65" t="s">
        <v>784</v>
      </c>
      <c r="C110" s="65" t="s">
        <v>550</v>
      </c>
      <c r="E110" s="66">
        <f>'Storage 2'!C70</f>
        <v>5536031.2235879181</v>
      </c>
      <c r="F110" s="66">
        <f>'Storage 2'!D70</f>
        <v>1177285.2597881667</v>
      </c>
      <c r="G110" s="66">
        <f>F110</f>
        <v>1177285.2597881667</v>
      </c>
      <c r="H110" s="66">
        <f>'Storage 2'!F70</f>
        <v>748280.17537841131</v>
      </c>
      <c r="I110" s="66">
        <f>'Storage 2'!G70</f>
        <v>1463671.1529729217</v>
      </c>
      <c r="J110" s="66">
        <f>'Storage 2'!H70</f>
        <v>1463671.1529729217</v>
      </c>
      <c r="K110" s="66">
        <f>'Storage 2'!I70</f>
        <v>932.34183735957777</v>
      </c>
      <c r="L110" s="67">
        <f>'Storage 2'!J70</f>
        <v>35887962.537259661</v>
      </c>
      <c r="M110" s="67">
        <f>'Storage 2'!K70</f>
        <v>3652271.9319473766</v>
      </c>
      <c r="N110" s="67">
        <f t="shared" si="450"/>
        <v>3652271.9319473766</v>
      </c>
      <c r="O110" s="67">
        <f>'Storage 2'!M70</f>
        <v>3014022.860348518</v>
      </c>
      <c r="P110" s="67">
        <f>'Storage 2'!N70</f>
        <v>58409440.070805579</v>
      </c>
      <c r="Q110" s="67">
        <f>'Storage 2'!O70</f>
        <v>58409440.070805579</v>
      </c>
      <c r="R110" s="67">
        <f>'Storage 2'!P70</f>
        <v>932.34183735957777</v>
      </c>
      <c r="S110" s="68">
        <f>'Storage 2'!Q70</f>
        <v>14742222.374209173</v>
      </c>
      <c r="T110" s="68">
        <f>'Storage 2'!R70</f>
        <v>2036618.9953694493</v>
      </c>
      <c r="U110" s="68">
        <f t="shared" si="452"/>
        <v>2036618.9953694493</v>
      </c>
      <c r="V110" s="68">
        <f>'Storage 2'!T70</f>
        <v>1589008.1401285727</v>
      </c>
      <c r="W110" s="68">
        <f>'Storage 2'!U70</f>
        <v>18979528.950204849</v>
      </c>
      <c r="X110" s="68">
        <f>'Storage 2'!V70</f>
        <v>18979528.950204849</v>
      </c>
      <c r="Y110" s="68">
        <f>'Storage 2'!W70</f>
        <v>932.34183735957777</v>
      </c>
    </row>
    <row r="111">
      <c r="A111" s="75"/>
      <c r="C111" s="65" t="s">
        <v>551</v>
      </c>
      <c r="D111" s="65" t="s">
        <v>785</v>
      </c>
      <c r="E111" s="66">
        <f>'Storage 2'!C71</f>
        <v>5360984.9740748042</v>
      </c>
      <c r="F111" s="66">
        <f>'Storage 2'!D71</f>
        <v>1151110.6333545658</v>
      </c>
      <c r="G111" s="66">
        <f t="shared" ref="G110:G113" si="457">F111</f>
        <v>1151110.6333545658</v>
      </c>
      <c r="H111" s="66">
        <f>'Storage 2'!F71</f>
        <v>693751.17077347962</v>
      </c>
      <c r="I111" s="66">
        <f>'Storage 2'!G71</f>
        <v>1443761.2526747852</v>
      </c>
      <c r="J111" s="66">
        <f>'Storage 2'!H71</f>
        <v>1443761.2526747852</v>
      </c>
      <c r="K111" s="66">
        <f>'Storage 2'!I71</f>
        <v>909.5527840586044</v>
      </c>
      <c r="L111" s="67">
        <f>'Storage 2'!J71</f>
        <v>34753204.984222785</v>
      </c>
      <c r="M111" s="67">
        <f>'Storage 2'!K71</f>
        <v>3571070.8359021842</v>
      </c>
      <c r="N111" s="67">
        <f t="shared" si="450"/>
        <v>3571070.8359021842</v>
      </c>
      <c r="O111" s="67">
        <f>'Storage 2'!M71</f>
        <v>2794383.6505455859</v>
      </c>
      <c r="P111" s="67">
        <f>'Storage 2'!N71</f>
        <v>57486125.651676208</v>
      </c>
      <c r="Q111" s="67">
        <f>'Storage 2'!O71</f>
        <v>57486125.651676208</v>
      </c>
      <c r="R111" s="67">
        <f>'Storage 2'!P71</f>
        <v>909.5527840586044</v>
      </c>
      <c r="S111" s="68">
        <f>'Storage 2'!Q71</f>
        <v>14276081.445469767</v>
      </c>
      <c r="T111" s="68">
        <f>'Storage 2'!R71</f>
        <v>1991338.7704212812</v>
      </c>
      <c r="U111" s="68">
        <f t="shared" si="452"/>
        <v>1991338.7704212812</v>
      </c>
      <c r="V111" s="68">
        <f>'Storage 2'!T71</f>
        <v>1473213.2346354173</v>
      </c>
      <c r="W111" s="68">
        <f>'Storage 2'!U71</f>
        <v>18721355.843263</v>
      </c>
      <c r="X111" s="68">
        <f>'Storage 2'!V71</f>
        <v>18721355.843263</v>
      </c>
      <c r="Y111" s="68">
        <f>'Storage 2'!W71</f>
        <v>909.5527840586044</v>
      </c>
    </row>
    <row r="112">
      <c r="A112" s="75"/>
      <c r="C112" s="65" t="s">
        <v>552</v>
      </c>
      <c r="D112" s="65" t="s">
        <v>785</v>
      </c>
      <c r="E112" s="66">
        <f>'Storage 2'!C72</f>
        <v>5101816.0798464818</v>
      </c>
      <c r="F112" s="66">
        <f>'Storage 2'!D72</f>
        <v>1112357.1667221515</v>
      </c>
      <c r="G112" s="66">
        <f t="shared" si="457"/>
        <v>1112357.1667221515</v>
      </c>
      <c r="H112" s="66">
        <f>'Storage 2'!F72</f>
        <v>623805.07001060538</v>
      </c>
      <c r="I112" s="66">
        <f>'Storage 2'!G72</f>
        <v>1414283.1755447884</v>
      </c>
      <c r="J112" s="66">
        <f>'Storage 2'!H72</f>
        <v>1414283.1755447884</v>
      </c>
      <c r="K112" s="66">
        <f>'Storage 2'!I72</f>
        <v>875.81190837031329</v>
      </c>
      <c r="L112" s="67">
        <f>'Storage 2'!J72</f>
        <v>33073112.65973242</v>
      </c>
      <c r="M112" s="67">
        <f>'Storage 2'!K72</f>
        <v>3450846.6189841079</v>
      </c>
      <c r="N112" s="67">
        <f t="shared" si="450"/>
        <v>3450846.6189841079</v>
      </c>
      <c r="O112" s="67">
        <f>'Storage 2'!M72</f>
        <v>2512645.4011192517</v>
      </c>
      <c r="P112" s="67">
        <f>'Storage 2'!N72</f>
        <v>56396139.83912006</v>
      </c>
      <c r="Q112" s="67">
        <f>'Storage 2'!O72</f>
        <v>56396139.83912006</v>
      </c>
      <c r="R112" s="67">
        <f>'Storage 2'!P72</f>
        <v>875.81190837031329</v>
      </c>
      <c r="S112" s="68">
        <f>'Storage 2'!Q72</f>
        <v>13585925.390187332</v>
      </c>
      <c r="T112" s="68">
        <f>'Storage 2'!R72</f>
        <v>1924298.0548225888</v>
      </c>
      <c r="U112" s="68">
        <f t="shared" si="452"/>
        <v>1924298.0548225888</v>
      </c>
      <c r="V112" s="68">
        <f>'Storage 2'!T72</f>
        <v>1324679.400465277</v>
      </c>
      <c r="W112" s="68">
        <f>'Storage 2'!U72</f>
        <v>18339111.500229552</v>
      </c>
      <c r="X112" s="68">
        <f>'Storage 2'!V72</f>
        <v>18339111.500229552</v>
      </c>
      <c r="Y112" s="68">
        <f>'Storage 2'!W72</f>
        <v>875.81190837031329</v>
      </c>
    </row>
    <row r="113" s="77" customFormat="1">
      <c r="A113" s="78"/>
      <c r="C113" s="77" t="s">
        <v>553</v>
      </c>
      <c r="D113" s="77" t="s">
        <v>785</v>
      </c>
      <c r="E113" s="79">
        <f>'Storage 2'!C73</f>
        <v>4509400.1415659981</v>
      </c>
      <c r="F113" s="79">
        <f>'Storage 2'!D73</f>
        <v>1023773.344327024</v>
      </c>
      <c r="G113" s="79">
        <f t="shared" si="457"/>
        <v>1023773.344327024</v>
      </c>
      <c r="H113" s="79">
        <f>'Storage 2'!F73</f>
        <v>447888.2143680033</v>
      </c>
      <c r="I113" s="79">
        <f>'Storage 2'!G73</f>
        <v>1346901.3133283807</v>
      </c>
      <c r="J113" s="79">
        <f>'Storage 2'!H73</f>
        <v>1346901.3133283807</v>
      </c>
      <c r="K113" s="79">
        <f>'Storage 2'!I73</f>
        <v>798.68601489146624</v>
      </c>
      <c r="L113" s="80">
        <f>'Storage 2'!J73</f>
        <v>29232707.838874765</v>
      </c>
      <c r="M113" s="80">
        <f>'Storage 2'!K73</f>
        <v>3176034.5413942211</v>
      </c>
      <c r="N113" s="80">
        <f t="shared" si="450"/>
        <v>3176034.5413942211</v>
      </c>
      <c r="O113" s="80">
        <f>'Storage 2'!M73</f>
        <v>1804063.9875340292</v>
      </c>
      <c r="P113" s="80">
        <f>'Storage 2'!N73</f>
        <v>53981601.627389133</v>
      </c>
      <c r="Q113" s="80">
        <f>'Storage 2'!O73</f>
        <v>53981601.627389133</v>
      </c>
      <c r="R113" s="80">
        <f>'Storage 2'!P73</f>
        <v>798.68601489146624</v>
      </c>
      <c r="S113" s="81">
        <f>'Storage 2'!Q73</f>
        <v>12008346.227890549</v>
      </c>
      <c r="T113" s="81">
        <f>'Storage 2'!R73</f>
        <v>1771054.4005150401</v>
      </c>
      <c r="U113" s="81">
        <f t="shared" si="452"/>
        <v>1771054.4005150401</v>
      </c>
      <c r="V113" s="81">
        <f>'Storage 2'!T73</f>
        <v>951111.68505633192</v>
      </c>
      <c r="W113" s="81">
        <f>'Storage 2'!U73</f>
        <v>17465366.05402229</v>
      </c>
      <c r="X113" s="81">
        <f>'Storage 2'!V73</f>
        <v>17465366.05402229</v>
      </c>
      <c r="Y113" s="81">
        <f>'Storage 2'!W73</f>
        <v>798.68601489146624</v>
      </c>
    </row>
    <row r="114">
      <c r="A114" s="65" t="s">
        <v>791</v>
      </c>
      <c r="B114" s="65" t="s">
        <v>781</v>
      </c>
      <c r="C114" s="65" t="s">
        <v>550</v>
      </c>
      <c r="E114" s="66">
        <f>Reconversion!C22*Reconversion!C5</f>
        <v>391960800</v>
      </c>
      <c r="F114" s="66">
        <f t="shared" ref="F114:F125" si="458">F106</f>
        <v>557440000</v>
      </c>
      <c r="G114" s="66">
        <f>Reconversion!D28</f>
        <v>557440000</v>
      </c>
      <c r="H114" s="66">
        <f>Reconversion!E28</f>
        <v>289080422.40000004</v>
      </c>
      <c r="I114" s="66">
        <f t="shared" ref="I114:I125" si="459">I106</f>
        <v>911111111.11111116</v>
      </c>
      <c r="J114" s="66">
        <f>Reconversion!F28</f>
        <v>911111111.11111116</v>
      </c>
      <c r="K114" s="66">
        <f t="shared" ref="K114:K125" si="460">K106</f>
        <v>328798650.00000006</v>
      </c>
      <c r="L114" s="67">
        <f>Reconversion!G22*Reconversion!G5</f>
        <v>391960800</v>
      </c>
      <c r="M114" s="67">
        <f t="shared" ref="M114:M125" si="461">M106</f>
        <v>557440000</v>
      </c>
      <c r="N114" s="67">
        <f>Reconversion!H28</f>
        <v>557440000</v>
      </c>
      <c r="O114" s="67">
        <f>Reconversion!I28</f>
        <v>289080422.40000004</v>
      </c>
      <c r="P114" s="67">
        <f t="shared" ref="P114:P125" si="462">P106</f>
        <v>911111111.11111116</v>
      </c>
      <c r="Q114" s="67">
        <f>Reconversion!J28</f>
        <v>911111111.11111116</v>
      </c>
      <c r="R114" s="67">
        <f t="shared" ref="R114:R125" si="463">R106</f>
        <v>328798650.00000006</v>
      </c>
      <c r="S114" s="68">
        <f>Reconversion!K22*Reconversion!K5</f>
        <v>391960800</v>
      </c>
      <c r="T114" s="68">
        <f t="shared" ref="T114:T125" si="464">T106</f>
        <v>557440000</v>
      </c>
      <c r="U114" s="68">
        <f>Reconversion!L28</f>
        <v>557440000</v>
      </c>
      <c r="V114" s="68">
        <f>Reconversion!M28</f>
        <v>289080422.40000004</v>
      </c>
      <c r="W114" s="68">
        <f t="shared" ref="W114:W125" si="465">W106</f>
        <v>911111111.11111116</v>
      </c>
      <c r="X114" s="68">
        <f>Reconversion!N28</f>
        <v>911111111.11111116</v>
      </c>
      <c r="Y114" s="68">
        <f t="shared" ref="Y114:Y125" si="466">Y106</f>
        <v>328798650.00000006</v>
      </c>
    </row>
    <row r="115">
      <c r="C115" s="65" t="s">
        <v>551</v>
      </c>
      <c r="D115" s="65" t="s">
        <v>555</v>
      </c>
      <c r="E115" s="66">
        <f>Reconversion!C23*Reconversion!C5</f>
        <v>379567216</v>
      </c>
      <c r="F115" s="66">
        <f t="shared" si="458"/>
        <v>545046416</v>
      </c>
      <c r="G115" s="66">
        <f>Reconversion!D29</f>
        <v>545046416</v>
      </c>
      <c r="H115" s="66">
        <f>Reconversion!E29</f>
        <v>268014425.72800002</v>
      </c>
      <c r="I115" s="66">
        <f t="shared" si="459"/>
        <v>898717527.11111116</v>
      </c>
      <c r="J115" s="66">
        <f>Reconversion!F29</f>
        <v>898717527.11111116</v>
      </c>
      <c r="K115" s="66">
        <f t="shared" si="460"/>
        <v>320761887.4523077</v>
      </c>
      <c r="L115" s="67">
        <f>Reconversion!G23*Reconversion!G5</f>
        <v>379567216</v>
      </c>
      <c r="M115" s="67">
        <f t="shared" si="461"/>
        <v>545046416</v>
      </c>
      <c r="N115" s="67">
        <f>Reconversion!H29</f>
        <v>545046416</v>
      </c>
      <c r="O115" s="67">
        <f>Reconversion!I29</f>
        <v>268014425.72800002</v>
      </c>
      <c r="P115" s="67">
        <f t="shared" si="462"/>
        <v>896708609.98632562</v>
      </c>
      <c r="Q115" s="67">
        <f>Reconversion!J29</f>
        <v>896708609.98632562</v>
      </c>
      <c r="R115" s="67">
        <f t="shared" si="463"/>
        <v>320761887.4523077</v>
      </c>
      <c r="S115" s="68">
        <f>Reconversion!K23*Reconversion!K5</f>
        <v>379567216</v>
      </c>
      <c r="T115" s="68">
        <f t="shared" si="464"/>
        <v>545046416</v>
      </c>
      <c r="U115" s="68">
        <f>Reconversion!L29</f>
        <v>545046416</v>
      </c>
      <c r="V115" s="68">
        <f>Reconversion!M29</f>
        <v>268014425.72800002</v>
      </c>
      <c r="W115" s="68">
        <f t="shared" si="465"/>
        <v>898717527.11111116</v>
      </c>
      <c r="X115" s="68">
        <f>Reconversion!N29</f>
        <v>898717527.11111116</v>
      </c>
      <c r="Y115" s="68">
        <f t="shared" si="466"/>
        <v>320761887.4523077</v>
      </c>
    </row>
    <row r="116">
      <c r="C116" s="65" t="s">
        <v>552</v>
      </c>
      <c r="D116" s="65" t="s">
        <v>555</v>
      </c>
      <c r="E116" s="66">
        <f>Reconversion!C24*Reconversion!C5</f>
        <v>361217599.99999994</v>
      </c>
      <c r="F116" s="66">
        <f t="shared" si="458"/>
        <v>526696800.00000006</v>
      </c>
      <c r="G116" s="66">
        <f>Reconversion!D30</f>
        <v>526696800.00000006</v>
      </c>
      <c r="H116" s="66">
        <f>Reconversion!E30</f>
        <v>240992397.05599999</v>
      </c>
      <c r="I116" s="66">
        <f t="shared" si="459"/>
        <v>880367911.11111116</v>
      </c>
      <c r="J116" s="66">
        <f>Reconversion!F30</f>
        <v>880367911.11111116</v>
      </c>
      <c r="K116" s="66">
        <f t="shared" si="460"/>
        <v>308862867.23076928</v>
      </c>
      <c r="L116" s="67">
        <f>Reconversion!G24*Reconversion!G5</f>
        <v>361217599.99999994</v>
      </c>
      <c r="M116" s="67">
        <f t="shared" si="461"/>
        <v>526696800.00000006</v>
      </c>
      <c r="N116" s="67">
        <f>Reconversion!H30</f>
        <v>526696800.00000006</v>
      </c>
      <c r="O116" s="67">
        <f>Reconversion!I30</f>
        <v>240992397.05599999</v>
      </c>
      <c r="P116" s="67">
        <f t="shared" si="462"/>
        <v>879706252.42957592</v>
      </c>
      <c r="Q116" s="67">
        <f>Reconversion!J30</f>
        <v>879706252.42957592</v>
      </c>
      <c r="R116" s="67">
        <f t="shared" si="463"/>
        <v>308862867.23076928</v>
      </c>
      <c r="S116" s="68">
        <f>Reconversion!K24*Reconversion!K5</f>
        <v>361217599.99999994</v>
      </c>
      <c r="T116" s="68">
        <f t="shared" si="464"/>
        <v>526696800.00000006</v>
      </c>
      <c r="U116" s="68">
        <f>Reconversion!L30</f>
        <v>526696800.00000006</v>
      </c>
      <c r="V116" s="68">
        <f>Reconversion!M30</f>
        <v>240992397.05599999</v>
      </c>
      <c r="W116" s="68">
        <f t="shared" si="465"/>
        <v>880367911.11111116</v>
      </c>
      <c r="X116" s="68">
        <f>Reconversion!N30</f>
        <v>880367911.11111116</v>
      </c>
      <c r="Y116" s="68">
        <f t="shared" si="466"/>
        <v>308862867.23076928</v>
      </c>
    </row>
    <row r="117">
      <c r="C117" s="65" t="s">
        <v>553</v>
      </c>
      <c r="D117" s="65" t="s">
        <v>555</v>
      </c>
      <c r="E117" s="66">
        <f>Reconversion!C25*Reconversion!C5</f>
        <v>319273504</v>
      </c>
      <c r="F117" s="66">
        <f t="shared" si="458"/>
        <v>484752704</v>
      </c>
      <c r="G117" s="66">
        <f>Reconversion!D31</f>
        <v>484752704</v>
      </c>
      <c r="H117" s="66">
        <f>Reconversion!E31</f>
        <v>173031063.03999999</v>
      </c>
      <c r="I117" s="66">
        <f t="shared" si="459"/>
        <v>838423815.11111116</v>
      </c>
      <c r="J117" s="66">
        <f>Reconversion!F31</f>
        <v>838423815.11111116</v>
      </c>
      <c r="K117" s="66">
        <f t="shared" si="460"/>
        <v>281663734.20923078</v>
      </c>
      <c r="L117" s="67">
        <f>Reconversion!G25*Reconversion!G5</f>
        <v>319273504</v>
      </c>
      <c r="M117" s="67">
        <f t="shared" si="461"/>
        <v>484752704</v>
      </c>
      <c r="N117" s="67">
        <f>Reconversion!H31</f>
        <v>484752704</v>
      </c>
      <c r="O117" s="67">
        <f>Reconversion!I31</f>
        <v>173031063.03999999</v>
      </c>
      <c r="P117" s="67">
        <f t="shared" si="462"/>
        <v>842042604.39179969</v>
      </c>
      <c r="Q117" s="67">
        <f>Reconversion!J31</f>
        <v>842042604.39179969</v>
      </c>
      <c r="R117" s="67">
        <f t="shared" si="463"/>
        <v>281663734.20923078</v>
      </c>
      <c r="S117" s="68">
        <f>Reconversion!K25*Reconversion!K5</f>
        <v>319273504</v>
      </c>
      <c r="T117" s="68">
        <f t="shared" si="464"/>
        <v>484752704</v>
      </c>
      <c r="U117" s="68">
        <f>Reconversion!L31</f>
        <v>484752704</v>
      </c>
      <c r="V117" s="68">
        <f>Reconversion!M31</f>
        <v>173031063.03999999</v>
      </c>
      <c r="W117" s="68">
        <f t="shared" si="465"/>
        <v>838423815.11111116</v>
      </c>
      <c r="X117" s="68">
        <f>Reconversion!N31</f>
        <v>838423815.11111116</v>
      </c>
      <c r="Y117" s="68">
        <f t="shared" si="466"/>
        <v>281663734.20923078</v>
      </c>
    </row>
    <row r="118">
      <c r="A118" s="65" t="s">
        <v>792</v>
      </c>
      <c r="B118" s="65" t="s">
        <v>782</v>
      </c>
      <c r="C118" s="65" t="s">
        <v>550</v>
      </c>
      <c r="E118" s="66">
        <f>Reconversion!C52</f>
        <v>1175882.3999999999</v>
      </c>
      <c r="F118" s="66">
        <v>0</v>
      </c>
      <c r="G118" s="66">
        <f>Reconversion!D52</f>
        <v>89866951.196879685</v>
      </c>
      <c r="H118" s="66">
        <f>Reconversion!E52</f>
        <v>106463740.07808004</v>
      </c>
      <c r="I118" s="66">
        <v>0</v>
      </c>
      <c r="J118" s="66">
        <f>Reconversion!F52</f>
        <v>118583858.38583858</v>
      </c>
      <c r="K118" s="66">
        <v>0</v>
      </c>
      <c r="L118" s="67">
        <f>Reconversion!G52</f>
        <v>10372320</v>
      </c>
      <c r="M118" s="67">
        <v>0</v>
      </c>
      <c r="N118" s="67">
        <f>Reconversion!H52</f>
        <v>308139050.70507056</v>
      </c>
      <c r="O118" s="67">
        <f>Reconversion!I52</f>
        <v>174853324.80000001</v>
      </c>
      <c r="P118" s="67">
        <v>0</v>
      </c>
      <c r="Q118" s="67">
        <f>Reconversion!J52</f>
        <v>150348368.17015037</v>
      </c>
      <c r="R118" s="67">
        <v>0</v>
      </c>
      <c r="S118" s="68">
        <f>Reconversion!K40</f>
        <v>11642400</v>
      </c>
      <c r="T118" s="68">
        <v>0</v>
      </c>
      <c r="U118" s="68">
        <f>Reconversion!L52</f>
        <v>161345841.12939292</v>
      </c>
      <c r="V118" s="68">
        <f>Reconversion!M52</f>
        <v>133599196.66920562</v>
      </c>
      <c r="W118" s="68">
        <v>0</v>
      </c>
      <c r="X118" s="68">
        <f>Reconversion!N52</f>
        <v>132573546.24351326</v>
      </c>
      <c r="Y118" s="68">
        <v>0</v>
      </c>
    </row>
    <row r="119">
      <c r="C119" s="65" t="s">
        <v>551</v>
      </c>
      <c r="D119" s="65" t="s">
        <v>555</v>
      </c>
      <c r="E119" s="66">
        <f>Reconversion!C53</f>
        <v>1138701.648</v>
      </c>
      <c r="F119" s="66">
        <v>0</v>
      </c>
      <c r="G119" s="66">
        <f>Reconversion!D53</f>
        <v>87868935.96926339</v>
      </c>
      <c r="H119" s="66">
        <f>Reconversion!E53</f>
        <v>98705467.222541586</v>
      </c>
      <c r="I119" s="66">
        <v>0</v>
      </c>
      <c r="J119" s="66">
        <f>Reconversion!F53</f>
        <v>116970796.0578458</v>
      </c>
      <c r="K119" s="66">
        <v>0</v>
      </c>
      <c r="L119" s="67">
        <f>Reconversion!G53</f>
        <v>10044352.970657066</v>
      </c>
      <c r="M119" s="67">
        <v>0</v>
      </c>
      <c r="N119" s="67">
        <f>Reconversion!H53</f>
        <v>301288183.86990702</v>
      </c>
      <c r="O119" s="67">
        <f>Reconversion!I53</f>
        <v>162111335.81387579</v>
      </c>
      <c r="P119" s="67">
        <v>0</v>
      </c>
      <c r="Q119" s="67">
        <f>Reconversion!J53</f>
        <v>147971717.81952572</v>
      </c>
      <c r="R119" s="67">
        <v>0</v>
      </c>
      <c r="S119" s="68">
        <f>Reconversion!K41</f>
        <v>11274273.742574258</v>
      </c>
      <c r="T119" s="68">
        <v>0</v>
      </c>
      <c r="U119" s="68">
        <f>Reconversion!L53</f>
        <v>157758633.11581695</v>
      </c>
      <c r="V119" s="68">
        <f>Reconversion!M53</f>
        <v>123863496.79354583</v>
      </c>
      <c r="W119" s="68">
        <v>0</v>
      </c>
      <c r="X119" s="68">
        <f>Reconversion!N53</f>
        <v>130770186.19059597</v>
      </c>
      <c r="Y119" s="68">
        <v>0</v>
      </c>
    </row>
    <row r="120">
      <c r="C120" s="65" t="s">
        <v>552</v>
      </c>
      <c r="D120" s="65" t="s">
        <v>555</v>
      </c>
      <c r="E120" s="66">
        <f>Reconversion!C54</f>
        <v>1083652.7999999998</v>
      </c>
      <c r="F120" s="66">
        <v>0</v>
      </c>
      <c r="G120" s="66">
        <f>Reconversion!D54</f>
        <v>84910726.932320446</v>
      </c>
      <c r="H120" s="66">
        <f>Reconversion!E54</f>
        <v>88753682.134385303</v>
      </c>
      <c r="I120" s="66">
        <v>0</v>
      </c>
      <c r="J120" s="66">
        <f>Reconversion!F54</f>
        <v>114582538.20582061</v>
      </c>
      <c r="K120" s="66">
        <v>0</v>
      </c>
      <c r="L120" s="67">
        <f>Reconversion!G54</f>
        <v>9558773.5733573344</v>
      </c>
      <c r="M120" s="67">
        <v>0</v>
      </c>
      <c r="N120" s="67">
        <f>Reconversion!H54</f>
        <v>291144969.79297936</v>
      </c>
      <c r="O120" s="67">
        <f>Reconversion!I54</f>
        <v>145766778.41731054</v>
      </c>
      <c r="P120" s="67">
        <v>0</v>
      </c>
      <c r="Q120" s="67">
        <f>Reconversion!J54</f>
        <v>145166048.25570562</v>
      </c>
      <c r="R120" s="67">
        <v>0</v>
      </c>
      <c r="S120" s="68">
        <f>Reconversion!K42</f>
        <v>10729235.643564355</v>
      </c>
      <c r="T120" s="68">
        <v>0</v>
      </c>
      <c r="U120" s="68">
        <f>Reconversion!L54</f>
        <v>152447506.8458662</v>
      </c>
      <c r="V120" s="68">
        <f>Reconversion!M54</f>
        <v>111375202.72997855</v>
      </c>
      <c r="W120" s="68">
        <v>0</v>
      </c>
      <c r="X120" s="68">
        <f>Reconversion!N54</f>
        <v>128100178.50913981</v>
      </c>
      <c r="Y120" s="68">
        <v>0</v>
      </c>
    </row>
    <row r="121">
      <c r="C121" s="65" t="s">
        <v>553</v>
      </c>
      <c r="D121" s="65" t="s">
        <v>555</v>
      </c>
      <c r="E121" s="66">
        <f>Reconversion!C55</f>
        <v>957820.51199999999</v>
      </c>
      <c r="F121" s="66">
        <v>0</v>
      </c>
      <c r="G121" s="66">
        <f>Reconversion!D55</f>
        <v>78148765.056191638</v>
      </c>
      <c r="H121" s="66">
        <f>Reconversion!E55</f>
        <v>63724599.431484841</v>
      </c>
      <c r="I121" s="66">
        <v>0</v>
      </c>
      <c r="J121" s="66">
        <f>Reconversion!F55</f>
        <v>109123387.63732374</v>
      </c>
      <c r="K121" s="66">
        <v>0</v>
      </c>
      <c r="L121" s="67">
        <f>Reconversion!G55</f>
        <v>8448821.7980198022</v>
      </c>
      <c r="M121" s="67">
        <v>0</v>
      </c>
      <c r="N121" s="67">
        <f>Reconversion!H55</f>
        <v>267959310.48592862</v>
      </c>
      <c r="O121" s="67">
        <f>Reconversion!I55</f>
        <v>104659652.8918812</v>
      </c>
      <c r="P121" s="67">
        <v>0</v>
      </c>
      <c r="Q121" s="67">
        <f>Reconversion!J55</f>
        <v>138950924.81712869</v>
      </c>
      <c r="R121" s="67">
        <v>0</v>
      </c>
      <c r="S121" s="68">
        <f>Reconversion!K43</f>
        <v>9483371.4059405942</v>
      </c>
      <c r="T121" s="68">
        <v>0</v>
      </c>
      <c r="U121" s="68">
        <f>Reconversion!L55</f>
        <v>140307177.03542557</v>
      </c>
      <c r="V121" s="68">
        <f>Reconversion!M55</f>
        <v>79966712.477595553</v>
      </c>
      <c r="W121" s="68">
        <v>0</v>
      </c>
      <c r="X121" s="68">
        <f>Reconversion!N55</f>
        <v>121996995.83154406</v>
      </c>
      <c r="Y121" s="68">
        <v>0</v>
      </c>
    </row>
    <row r="122">
      <c r="B122" s="65" t="s">
        <v>783</v>
      </c>
      <c r="C122" s="65" t="s">
        <v>550</v>
      </c>
      <c r="E122" s="66">
        <f>Reconversion!C64*Reconversion!C5</f>
        <v>391960800</v>
      </c>
      <c r="F122" s="66">
        <f t="shared" si="458"/>
        <v>557440000</v>
      </c>
      <c r="G122" s="66">
        <f>Reconversion!D64*Reconversion!C5</f>
        <v>546291200</v>
      </c>
      <c r="H122" s="66">
        <f>Reconversion!E64*Reconversion!C5</f>
        <v>286189618.17600006</v>
      </c>
      <c r="I122" s="66">
        <f t="shared" si="459"/>
        <v>911111111.11111116</v>
      </c>
      <c r="J122" s="66">
        <f>Reconversion!F64*Reconversion!C5</f>
        <v>546666666.66666663</v>
      </c>
      <c r="K122" s="66">
        <f t="shared" si="460"/>
        <v>328798650.00000006</v>
      </c>
      <c r="L122" s="67">
        <f>Reconversion!G64*Reconversion!G5</f>
        <v>384121584</v>
      </c>
      <c r="M122" s="67">
        <f t="shared" si="461"/>
        <v>557440000</v>
      </c>
      <c r="N122" s="67">
        <f>Reconversion!H64*Reconversion!G5</f>
        <v>546291200</v>
      </c>
      <c r="O122" s="67">
        <f>Reconversion!I64*Reconversion!G5</f>
        <v>260172380.16000003</v>
      </c>
      <c r="P122" s="67">
        <f t="shared" si="462"/>
        <v>911111111.11111116</v>
      </c>
      <c r="Q122" s="67">
        <f>Reconversion!J64*Reconversion!G5</f>
        <v>501111111.11111116</v>
      </c>
      <c r="R122" s="67">
        <f t="shared" si="463"/>
        <v>328798650.00000006</v>
      </c>
      <c r="S122" s="68">
        <f>Reconversion!K64*Reconversion!K5</f>
        <v>388041192</v>
      </c>
      <c r="T122" s="68">
        <f t="shared" si="464"/>
        <v>557440000</v>
      </c>
      <c r="U122" s="68">
        <f>Reconversion!L64*Reconversion!K5</f>
        <v>546291200</v>
      </c>
      <c r="V122" s="68">
        <f>Reconversion!M64*Reconversion!K5</f>
        <v>272510332.58803201</v>
      </c>
      <c r="W122" s="68">
        <f t="shared" si="465"/>
        <v>911111111.11111116</v>
      </c>
      <c r="X122" s="68">
        <f>Reconversion!N64*Reconversion!K5</f>
        <v>525407407.4074074</v>
      </c>
      <c r="Y122" s="68">
        <f t="shared" si="466"/>
        <v>328798650.00000006</v>
      </c>
    </row>
    <row r="123">
      <c r="C123" s="65" t="s">
        <v>551</v>
      </c>
      <c r="D123" s="65" t="s">
        <v>555</v>
      </c>
      <c r="E123" s="66">
        <f>Reconversion!C65*Reconversion!C5</f>
        <v>379567216</v>
      </c>
      <c r="F123" s="66">
        <f t="shared" si="458"/>
        <v>545046416</v>
      </c>
      <c r="G123" s="66">
        <f>Reconversion!D65*Reconversion!C5</f>
        <v>534145487.68000001</v>
      </c>
      <c r="H123" s="66">
        <f>Reconversion!E65*Reconversion!C5</f>
        <v>265334281.47072002</v>
      </c>
      <c r="I123" s="66">
        <f t="shared" si="459"/>
        <v>898717527.11111116</v>
      </c>
      <c r="J123" s="66">
        <f>Reconversion!F65*Reconversion!C5</f>
        <v>539230516.26666665</v>
      </c>
      <c r="K123" s="66">
        <f t="shared" si="460"/>
        <v>320761887.4523077</v>
      </c>
      <c r="L123" s="67">
        <f>Reconversion!G65*Reconversion!G5</f>
        <v>371975871.68000001</v>
      </c>
      <c r="M123" s="67">
        <f t="shared" si="461"/>
        <v>545046416</v>
      </c>
      <c r="N123" s="67">
        <f>Reconversion!H65*Reconversion!G5</f>
        <v>534145487.68000001</v>
      </c>
      <c r="O123" s="67">
        <f>Reconversion!I65*Reconversion!G5</f>
        <v>241212983.1552</v>
      </c>
      <c r="P123" s="67">
        <f t="shared" si="462"/>
        <v>896708609.98632562</v>
      </c>
      <c r="Q123" s="67">
        <f>Reconversion!J65*Reconversion!G5</f>
        <v>493189735.49247915</v>
      </c>
      <c r="R123" s="67">
        <f t="shared" si="463"/>
        <v>320761887.4523077</v>
      </c>
      <c r="S123" s="68">
        <f>Reconversion!K65*Reconversion!K5</f>
        <v>375771543.83999997</v>
      </c>
      <c r="T123" s="68">
        <f t="shared" si="464"/>
        <v>545046416</v>
      </c>
      <c r="U123" s="68">
        <f>Reconversion!L65*Reconversion!K5</f>
        <v>534145487.68000001</v>
      </c>
      <c r="V123" s="68">
        <f>Reconversion!M65*Reconversion!K5</f>
        <v>252651838.84527105</v>
      </c>
      <c r="W123" s="68">
        <f t="shared" si="465"/>
        <v>898717527.11111116</v>
      </c>
      <c r="X123" s="68">
        <f>Reconversion!N65*Reconversion!K5</f>
        <v>518260440.63407409</v>
      </c>
      <c r="Y123" s="68">
        <f t="shared" si="466"/>
        <v>320761887.4523077</v>
      </c>
    </row>
    <row r="124">
      <c r="C124" s="65" t="s">
        <v>552</v>
      </c>
      <c r="D124" s="65" t="s">
        <v>555</v>
      </c>
      <c r="E124" s="66">
        <f>Reconversion!C66*Reconversion!C5</f>
        <v>361217599.99999994</v>
      </c>
      <c r="F124" s="66">
        <f t="shared" si="458"/>
        <v>526696800.00000006</v>
      </c>
      <c r="G124" s="66">
        <f>Reconversion!D66*Reconversion!C5</f>
        <v>516162864.00000006</v>
      </c>
      <c r="H124" s="66">
        <f>Reconversion!E66*Reconversion!C5</f>
        <v>238582473.08543998</v>
      </c>
      <c r="I124" s="66">
        <f t="shared" si="459"/>
        <v>880367911.11111116</v>
      </c>
      <c r="J124" s="66">
        <f>Reconversion!F66*Reconversion!C5</f>
        <v>528220746.66666669</v>
      </c>
      <c r="K124" s="66">
        <f t="shared" si="460"/>
        <v>308862867.23076928</v>
      </c>
      <c r="L124" s="67">
        <f>Reconversion!G66*Reconversion!G5</f>
        <v>353993247.99999994</v>
      </c>
      <c r="M124" s="67">
        <f t="shared" si="461"/>
        <v>526696800.00000006</v>
      </c>
      <c r="N124" s="67">
        <f>Reconversion!H66*Reconversion!G5</f>
        <v>516162864.00000006</v>
      </c>
      <c r="O124" s="67">
        <f>Reconversion!I66*Reconversion!G5</f>
        <v>216893157.3504</v>
      </c>
      <c r="P124" s="67">
        <f t="shared" si="462"/>
        <v>879706252.42957592</v>
      </c>
      <c r="Q124" s="67">
        <f>Reconversion!J66*Reconversion!G5</f>
        <v>483838438.83626682</v>
      </c>
      <c r="R124" s="67">
        <f t="shared" si="463"/>
        <v>308862867.23076928</v>
      </c>
      <c r="S124" s="68">
        <f>Reconversion!K66*Reconversion!K5</f>
        <v>357605423.99999994</v>
      </c>
      <c r="T124" s="68">
        <f t="shared" si="464"/>
        <v>526696800.00000006</v>
      </c>
      <c r="U124" s="68">
        <f>Reconversion!L66*Reconversion!K5</f>
        <v>516162864.00000006</v>
      </c>
      <c r="V124" s="68">
        <f>Reconversion!M66*Reconversion!K5</f>
        <v>227178712.85675007</v>
      </c>
      <c r="W124" s="68">
        <f t="shared" si="465"/>
        <v>880367911.11111116</v>
      </c>
      <c r="X124" s="68">
        <f>Reconversion!N66*Reconversion!K5</f>
        <v>507678828.74074078</v>
      </c>
      <c r="Y124" s="68">
        <f t="shared" si="466"/>
        <v>308862867.23076928</v>
      </c>
    </row>
    <row r="125">
      <c r="C125" s="65" t="s">
        <v>553</v>
      </c>
      <c r="D125" s="65" t="s">
        <v>555</v>
      </c>
      <c r="E125" s="66">
        <f>Reconversion!C67*Reconversion!C5</f>
        <v>319273504</v>
      </c>
      <c r="F125" s="66">
        <f t="shared" si="458"/>
        <v>484752704</v>
      </c>
      <c r="G125" s="66">
        <f>Reconversion!D67*Reconversion!C5</f>
        <v>475057649.92000002</v>
      </c>
      <c r="H125" s="66">
        <f>Reconversion!E67*Reconversion!C5</f>
        <v>171300752.40959999</v>
      </c>
      <c r="I125" s="66">
        <f t="shared" si="459"/>
        <v>838423815.11111116</v>
      </c>
      <c r="J125" s="66">
        <f>Reconversion!F67*Reconversion!C5</f>
        <v>503054289.06666666</v>
      </c>
      <c r="K125" s="66">
        <f t="shared" si="460"/>
        <v>281663734.20923078</v>
      </c>
      <c r="L125" s="67">
        <f>Reconversion!G67*Reconversion!G5</f>
        <v>312888033.92000002</v>
      </c>
      <c r="M125" s="67">
        <f t="shared" si="461"/>
        <v>484752704</v>
      </c>
      <c r="N125" s="67">
        <f>Reconversion!H67*Reconversion!G5</f>
        <v>475057649.92000002</v>
      </c>
      <c r="O125" s="67">
        <f>Reconversion!I67*Reconversion!G5</f>
        <v>155727956.736</v>
      </c>
      <c r="P125" s="67">
        <f t="shared" si="462"/>
        <v>842042604.39179969</v>
      </c>
      <c r="Q125" s="67">
        <f>Reconversion!J67*Reconversion!G5</f>
        <v>463123432.41548985</v>
      </c>
      <c r="R125" s="67">
        <f t="shared" si="463"/>
        <v>281663734.20923078</v>
      </c>
      <c r="S125" s="68">
        <f>Reconversion!K67*Reconversion!K5</f>
        <v>316080768.95999998</v>
      </c>
      <c r="T125" s="68">
        <f t="shared" si="464"/>
        <v>484752704</v>
      </c>
      <c r="U125" s="68">
        <f>Reconversion!L67*Reconversion!K5</f>
        <v>475057649.92000002</v>
      </c>
      <c r="V125" s="68">
        <f>Reconversion!M67*Reconversion!K5</f>
        <v>163112922.50654718</v>
      </c>
      <c r="W125" s="68">
        <f t="shared" si="465"/>
        <v>838423815.11111116</v>
      </c>
      <c r="X125" s="68">
        <f>Reconversion!N67*Reconversion!K5</f>
        <v>483491066.71407408</v>
      </c>
      <c r="Y125" s="68">
        <f t="shared" si="466"/>
        <v>281663734.20923078</v>
      </c>
    </row>
    <row r="126">
      <c r="B126" s="65" t="s">
        <v>784</v>
      </c>
      <c r="C126" s="65" t="s">
        <v>550</v>
      </c>
      <c r="E126" s="66">
        <f>Reconversion!C70</f>
        <v>1210606.8587545794</v>
      </c>
      <c r="F126" s="66">
        <v>0</v>
      </c>
      <c r="G126" s="66">
        <f>Reconversion!D70</f>
        <v>9532345.2149233036</v>
      </c>
      <c r="H126" s="66">
        <f>Reconversion!E70</f>
        <v>7995895.9568652306</v>
      </c>
      <c r="I126" s="66">
        <v>0</v>
      </c>
      <c r="J126" s="66">
        <f>Reconversion!F70</f>
        <v>19138142.339400455</v>
      </c>
      <c r="K126" s="66">
        <v>0</v>
      </c>
      <c r="L126" s="67">
        <f>Reconversion!G70</f>
        <v>14968164.111289475</v>
      </c>
      <c r="M126" s="67">
        <v>0</v>
      </c>
      <c r="N126" s="67">
        <f>Reconversion!H70</f>
        <v>87797680.667325258</v>
      </c>
      <c r="O126" s="67">
        <f>Reconversion!I70</f>
        <v>38220876.044293247</v>
      </c>
      <c r="P126" s="67">
        <v>0</v>
      </c>
      <c r="Q126" s="67">
        <f>Reconversion!J70</f>
        <v>48420308.522520512</v>
      </c>
      <c r="R126" s="67">
        <v>0</v>
      </c>
      <c r="S126" s="68">
        <f>Reconversion!K70</f>
        <v>4552608.2206030991</v>
      </c>
      <c r="T126" s="68">
        <v>0</v>
      </c>
      <c r="U126" s="68">
        <f>Reconversion!L70</f>
        <v>24399690.981478274</v>
      </c>
      <c r="V126" s="68">
        <f>Reconversion!M70</f>
        <v>15631210.821221108</v>
      </c>
      <c r="W126" s="68">
        <v>0</v>
      </c>
      <c r="X126" s="68">
        <f>Reconversion!N70</f>
        <v>28695935.754383858</v>
      </c>
      <c r="Y126" s="68">
        <v>0</v>
      </c>
    </row>
    <row r="127">
      <c r="C127" s="65" t="s">
        <v>551</v>
      </c>
      <c r="D127" s="65" t="s">
        <v>785</v>
      </c>
      <c r="E127" s="66">
        <f>Reconversion!C71</f>
        <v>1172328.1385485001</v>
      </c>
      <c r="F127" s="66">
        <v>0</v>
      </c>
      <c r="G127" s="66">
        <f>Reconversion!D71</f>
        <v>9320412.2335474603</v>
      </c>
      <c r="H127" s="66">
        <f>Reconversion!E71</f>
        <v>7413215.4826271329</v>
      </c>
      <c r="I127" s="66">
        <v>0</v>
      </c>
      <c r="J127" s="66">
        <f>Reconversion!F71</f>
        <v>18877811.659865595</v>
      </c>
      <c r="K127" s="66">
        <v>0</v>
      </c>
      <c r="L127" s="67">
        <f>Reconversion!G71</f>
        <v>14494879.029620463</v>
      </c>
      <c r="M127" s="67">
        <v>0</v>
      </c>
      <c r="N127" s="67">
        <f>Reconversion!H71</f>
        <v>85845671.607416272</v>
      </c>
      <c r="O127" s="67">
        <f>Reconversion!I71</f>
        <v>35435627.42432303</v>
      </c>
      <c r="P127" s="67">
        <v>0</v>
      </c>
      <c r="Q127" s="67">
        <f>Reconversion!J71</f>
        <v>47654898.530859224</v>
      </c>
      <c r="R127" s="67">
        <v>0</v>
      </c>
      <c r="S127" s="68">
        <f>Reconversion!K71</f>
        <v>4408657.263259572</v>
      </c>
      <c r="T127" s="68">
        <v>0</v>
      </c>
      <c r="U127" s="68">
        <f>Reconversion!L71</f>
        <v>23857211.75545755</v>
      </c>
      <c r="V127" s="68">
        <f>Reconversion!M71</f>
        <v>14492126.297940796</v>
      </c>
      <c r="W127" s="68">
        <v>0</v>
      </c>
      <c r="X127" s="68">
        <f>Reconversion!N71</f>
        <v>28305593.143155195</v>
      </c>
      <c r="Y127" s="68">
        <v>0</v>
      </c>
    </row>
    <row r="128">
      <c r="C128" s="65" t="s">
        <v>552</v>
      </c>
      <c r="D128" s="65" t="s">
        <v>785</v>
      </c>
      <c r="E128" s="66">
        <f>Reconversion!C72</f>
        <v>1115653.6675679511</v>
      </c>
      <c r="F128" s="66">
        <v>0</v>
      </c>
      <c r="G128" s="66">
        <f>Reconversion!D72</f>
        <v>9006629.8098367862</v>
      </c>
      <c r="H128" s="66">
        <f>Reconversion!E72</f>
        <v>6665792.575150637</v>
      </c>
      <c r="I128" s="66">
        <v>0</v>
      </c>
      <c r="J128" s="66">
        <f>Reconversion!F72</f>
        <v>18492372.871337298</v>
      </c>
      <c r="K128" s="66">
        <v>0</v>
      </c>
      <c r="L128" s="67">
        <f>Reconversion!G72</f>
        <v>13794145.528548051</v>
      </c>
      <c r="M128" s="67">
        <v>0</v>
      </c>
      <c r="N128" s="67">
        <f>Reconversion!H72</f>
        <v>82955578.09791562</v>
      </c>
      <c r="O128" s="67">
        <f>Reconversion!I72</f>
        <v>31862899.808376908</v>
      </c>
      <c r="P128" s="67">
        <v>0</v>
      </c>
      <c r="Q128" s="67">
        <f>Reconversion!J72</f>
        <v>46751321.142252855</v>
      </c>
      <c r="R128" s="67">
        <v>0</v>
      </c>
      <c r="S128" s="68">
        <f>Reconversion!K72</f>
        <v>4195527.2445268044</v>
      </c>
      <c r="T128" s="68">
        <v>0</v>
      </c>
      <c r="U128" s="68">
        <f>Reconversion!L72</f>
        <v>23054031.215796266</v>
      </c>
      <c r="V128" s="68">
        <f>Reconversion!M72</f>
        <v>13030986.095216665</v>
      </c>
      <c r="W128" s="68">
        <v>0</v>
      </c>
      <c r="X128" s="68">
        <f>Reconversion!N72</f>
        <v>27727662.092340253</v>
      </c>
      <c r="Y128" s="68">
        <v>0</v>
      </c>
    </row>
    <row r="129">
      <c r="C129" s="65" t="s">
        <v>553</v>
      </c>
      <c r="D129" s="65" t="s">
        <v>785</v>
      </c>
      <c r="E129" s="66">
        <f>Reconversion!C73</f>
        <v>986105.48238754412</v>
      </c>
      <c r="F129" s="66">
        <v>0</v>
      </c>
      <c r="G129" s="66">
        <f>Reconversion!D73</f>
        <v>8289376.6475235606</v>
      </c>
      <c r="H129" s="66">
        <f>Reconversion!E73</f>
        <v>4785998.1865504161</v>
      </c>
      <c r="I129" s="66">
        <v>0</v>
      </c>
      <c r="J129" s="66">
        <f>Reconversion!F73</f>
        <v>17611325.466958113</v>
      </c>
      <c r="K129" s="66">
        <v>0</v>
      </c>
      <c r="L129" s="67">
        <f>Reconversion!G73</f>
        <v>12192388.127227103</v>
      </c>
      <c r="M129" s="67">
        <v>0</v>
      </c>
      <c r="N129" s="67">
        <f>Reconversion!H73</f>
        <v>76349316.712855995</v>
      </c>
      <c r="O129" s="67">
        <f>Reconversion!I73</f>
        <v>22877366.641983055</v>
      </c>
      <c r="P129" s="67">
        <v>0</v>
      </c>
      <c r="Q129" s="67">
        <f>Reconversion!J73</f>
        <v>44749715.151685201</v>
      </c>
      <c r="R129" s="67">
        <v>0</v>
      </c>
      <c r="S129" s="68">
        <f>Reconversion!K73</f>
        <v>3708348.3321065693</v>
      </c>
      <c r="T129" s="68">
        <v>0</v>
      </c>
      <c r="U129" s="68">
        <f>Reconversion!L73</f>
        <v>21218097.337894674</v>
      </c>
      <c r="V129" s="68">
        <f>Reconversion!M73</f>
        <v>9356168.095173778</v>
      </c>
      <c r="W129" s="68">
        <v>0</v>
      </c>
      <c r="X129" s="68">
        <f>Reconversion!N73</f>
        <v>26406610.170776181</v>
      </c>
      <c r="Y129" s="68">
        <v>0</v>
      </c>
    </row>
    <row r="130">
      <c r="A130" s="65" t="s">
        <v>793</v>
      </c>
      <c r="B130" s="65" t="s">
        <v>781</v>
      </c>
      <c r="C130" s="65" t="s">
        <v>550</v>
      </c>
      <c r="E130" s="66">
        <f>Utilization!C24</f>
        <v>391960800</v>
      </c>
      <c r="F130" s="66">
        <f>Utilization!D24</f>
        <v>557440000</v>
      </c>
      <c r="G130" s="66">
        <f>Utilization!E24</f>
        <v>546291200</v>
      </c>
      <c r="H130" s="66">
        <f>Utilization!F24</f>
        <v>286189618.17600006</v>
      </c>
      <c r="I130" s="66">
        <f>Utilization!G24</f>
        <v>911111111.11111116</v>
      </c>
      <c r="J130" s="66">
        <f>Utilization!H24</f>
        <v>546666666.66666663</v>
      </c>
      <c r="K130" s="66">
        <f>Utilization!I24</f>
        <v>328798650.00000006</v>
      </c>
      <c r="L130" s="67">
        <f>Utilization!J24</f>
        <v>384121584</v>
      </c>
      <c r="M130" s="67">
        <f>Utilization!K24</f>
        <v>557440000</v>
      </c>
      <c r="N130" s="67">
        <f>Utilization!L24</f>
        <v>546291200</v>
      </c>
      <c r="O130" s="67">
        <f>Utilization!M24</f>
        <v>260172380.16000003</v>
      </c>
      <c r="P130" s="67">
        <f>Utilization!N24</f>
        <v>911111111.11111116</v>
      </c>
      <c r="Q130" s="67">
        <f>Utilization!O24</f>
        <v>501111111.11111116</v>
      </c>
      <c r="R130" s="67">
        <f>Utilization!P24</f>
        <v>328798650.00000006</v>
      </c>
      <c r="S130" s="68">
        <f>Utilization!Q24</f>
        <v>388041192</v>
      </c>
      <c r="T130" s="68">
        <f>Utilization!R24</f>
        <v>557440000</v>
      </c>
      <c r="U130" s="68">
        <f>Utilization!S24</f>
        <v>546291200</v>
      </c>
      <c r="V130" s="68">
        <f>Utilization!T24</f>
        <v>272510332.58803201</v>
      </c>
      <c r="W130" s="68">
        <f>Utilization!U24</f>
        <v>911111111.11111116</v>
      </c>
      <c r="X130" s="68">
        <f>Utilization!V24</f>
        <v>525407407.4074074</v>
      </c>
      <c r="Y130" s="68">
        <f>Utilization!W24</f>
        <v>328798650.00000006</v>
      </c>
    </row>
    <row r="131">
      <c r="C131" s="65" t="s">
        <v>551</v>
      </c>
      <c r="D131" s="65" t="s">
        <v>555</v>
      </c>
      <c r="E131" s="66">
        <f>Utilization!C25</f>
        <v>379567216</v>
      </c>
      <c r="F131" s="66">
        <f>Utilization!D25</f>
        <v>545046416</v>
      </c>
      <c r="G131" s="66">
        <f>Utilization!E25</f>
        <v>534145487.68000001</v>
      </c>
      <c r="H131" s="66">
        <f>Utilization!F25</f>
        <v>265334281.47072002</v>
      </c>
      <c r="I131" s="66">
        <f>Utilization!G25</f>
        <v>898717527.11111116</v>
      </c>
      <c r="J131" s="66">
        <f>Utilization!H25</f>
        <v>539230516.26666665</v>
      </c>
      <c r="K131" s="66">
        <f>Utilization!I25</f>
        <v>320761887.4523077</v>
      </c>
      <c r="L131" s="67">
        <f>Utilization!J25</f>
        <v>371975871.68000001</v>
      </c>
      <c r="M131" s="67">
        <f>Utilization!K25</f>
        <v>545046416</v>
      </c>
      <c r="N131" s="67">
        <f>Utilization!L25</f>
        <v>534145487.68000001</v>
      </c>
      <c r="O131" s="67">
        <f>Utilization!M25</f>
        <v>241212983.1552</v>
      </c>
      <c r="P131" s="67">
        <f>Utilization!N25</f>
        <v>896708609.98632562</v>
      </c>
      <c r="Q131" s="67">
        <f>Utilization!O25</f>
        <v>493189735.49247915</v>
      </c>
      <c r="R131" s="67">
        <f>Utilization!P25</f>
        <v>320761887.4523077</v>
      </c>
      <c r="S131" s="68">
        <f>Utilization!Q25</f>
        <v>375771543.83999997</v>
      </c>
      <c r="T131" s="68">
        <f>Utilization!R25</f>
        <v>545046416</v>
      </c>
      <c r="U131" s="68">
        <f>Utilization!S25</f>
        <v>534145487.68000001</v>
      </c>
      <c r="V131" s="68">
        <f>Utilization!T25</f>
        <v>252651838.84527105</v>
      </c>
      <c r="W131" s="68">
        <f>Utilization!U25</f>
        <v>898717527.11111116</v>
      </c>
      <c r="X131" s="68">
        <f>Utilization!V25</f>
        <v>518260440.63407409</v>
      </c>
      <c r="Y131" s="68">
        <f>Utilization!W25</f>
        <v>320761887.4523077</v>
      </c>
    </row>
    <row r="132">
      <c r="C132" s="65" t="s">
        <v>552</v>
      </c>
      <c r="D132" s="65" t="s">
        <v>555</v>
      </c>
      <c r="E132" s="66">
        <f>Utilization!C26</f>
        <v>361217599.99999994</v>
      </c>
      <c r="F132" s="66">
        <f>Utilization!D26</f>
        <v>526696800.00000006</v>
      </c>
      <c r="G132" s="66">
        <f>Utilization!E26</f>
        <v>516162864.00000006</v>
      </c>
      <c r="H132" s="66">
        <f>Utilization!F26</f>
        <v>238582473.08543998</v>
      </c>
      <c r="I132" s="66">
        <f>Utilization!G26</f>
        <v>880367911.11111116</v>
      </c>
      <c r="J132" s="66">
        <f>Utilization!H26</f>
        <v>528220746.66666669</v>
      </c>
      <c r="K132" s="66">
        <f>Utilization!I26</f>
        <v>308862867.23076928</v>
      </c>
      <c r="L132" s="67">
        <f>Utilization!J26</f>
        <v>353993247.99999994</v>
      </c>
      <c r="M132" s="67">
        <f>Utilization!K26</f>
        <v>526696800.00000006</v>
      </c>
      <c r="N132" s="67">
        <f>Utilization!L26</f>
        <v>516162864.00000006</v>
      </c>
      <c r="O132" s="67">
        <f>Utilization!M26</f>
        <v>216893157.3504</v>
      </c>
      <c r="P132" s="67">
        <f>Utilization!N26</f>
        <v>879706252.42957592</v>
      </c>
      <c r="Q132" s="67">
        <f>Utilization!O26</f>
        <v>483838438.83626682</v>
      </c>
      <c r="R132" s="67">
        <f>Utilization!P26</f>
        <v>308862867.23076928</v>
      </c>
      <c r="S132" s="68">
        <f>Utilization!Q26</f>
        <v>357605423.99999994</v>
      </c>
      <c r="T132" s="68">
        <f>Utilization!R26</f>
        <v>526696800.00000006</v>
      </c>
      <c r="U132" s="68">
        <f>Utilization!S26</f>
        <v>516162864.00000006</v>
      </c>
      <c r="V132" s="68">
        <f>Utilization!T26</f>
        <v>227178712.85675007</v>
      </c>
      <c r="W132" s="68">
        <f>Utilization!U26</f>
        <v>880367911.11111116</v>
      </c>
      <c r="X132" s="68">
        <f>Utilization!V26</f>
        <v>507678828.74074078</v>
      </c>
      <c r="Y132" s="68">
        <f>Utilization!W26</f>
        <v>308862867.23076928</v>
      </c>
    </row>
    <row r="133">
      <c r="C133" s="65" t="s">
        <v>553</v>
      </c>
      <c r="D133" s="65" t="s">
        <v>555</v>
      </c>
      <c r="E133" s="66">
        <f>Utilization!C27</f>
        <v>319273504</v>
      </c>
      <c r="F133" s="66">
        <f>Utilization!D27</f>
        <v>484752704</v>
      </c>
      <c r="G133" s="66">
        <f>Utilization!E27</f>
        <v>475057649.92000002</v>
      </c>
      <c r="H133" s="66">
        <f>Utilization!F27</f>
        <v>171300752.40959999</v>
      </c>
      <c r="I133" s="66">
        <f>Utilization!G27</f>
        <v>838423815.11111116</v>
      </c>
      <c r="J133" s="66">
        <f>Utilization!H27</f>
        <v>503054289.06666666</v>
      </c>
      <c r="K133" s="66">
        <f>Utilization!I27</f>
        <v>281663734.20923078</v>
      </c>
      <c r="L133" s="67">
        <f>Utilization!J27</f>
        <v>312888033.92000002</v>
      </c>
      <c r="M133" s="67">
        <f>Utilization!K27</f>
        <v>484752704</v>
      </c>
      <c r="N133" s="67">
        <f>Utilization!L27</f>
        <v>475057649.92000002</v>
      </c>
      <c r="O133" s="67">
        <f>Utilization!M27</f>
        <v>155727956.736</v>
      </c>
      <c r="P133" s="67">
        <f>Utilization!N27</f>
        <v>842042604.39179969</v>
      </c>
      <c r="Q133" s="67">
        <f>Utilization!O27</f>
        <v>463123432.41548985</v>
      </c>
      <c r="R133" s="67">
        <f>Utilization!P27</f>
        <v>281663734.20923078</v>
      </c>
      <c r="S133" s="68">
        <f>Utilization!Q27</f>
        <v>316080768.95999998</v>
      </c>
      <c r="T133" s="68">
        <f>Utilization!R27</f>
        <v>484752704</v>
      </c>
      <c r="U133" s="68">
        <f>Utilization!S27</f>
        <v>475057649.92000002</v>
      </c>
      <c r="V133" s="68">
        <f>Utilization!T27</f>
        <v>163112922.50654718</v>
      </c>
      <c r="W133" s="68">
        <f>Utilization!U27</f>
        <v>838423815.11111116</v>
      </c>
      <c r="X133" s="68">
        <f>Utilization!V27</f>
        <v>483491066.71407408</v>
      </c>
      <c r="Y133" s="68">
        <f>Utilization!W27</f>
        <v>281663734.20923078</v>
      </c>
    </row>
    <row r="134">
      <c r="B134" s="65" t="s">
        <v>782</v>
      </c>
      <c r="C134" s="65" t="s">
        <v>550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7">
        <v>0</v>
      </c>
      <c r="M134" s="67">
        <v>0</v>
      </c>
      <c r="N134" s="67">
        <v>0</v>
      </c>
      <c r="O134" s="67">
        <v>0</v>
      </c>
      <c r="P134" s="67">
        <v>0</v>
      </c>
      <c r="Q134" s="67">
        <v>0</v>
      </c>
      <c r="R134" s="67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</row>
    <row r="135">
      <c r="C135" s="65" t="s">
        <v>551</v>
      </c>
      <c r="D135" s="65" t="s">
        <v>555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7">
        <v>0</v>
      </c>
      <c r="M135" s="67">
        <v>0</v>
      </c>
      <c r="N135" s="67">
        <v>0</v>
      </c>
      <c r="O135" s="67">
        <v>0</v>
      </c>
      <c r="P135" s="67">
        <v>0</v>
      </c>
      <c r="Q135" s="67">
        <v>0</v>
      </c>
      <c r="R135" s="67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</row>
    <row r="136">
      <c r="C136" s="65" t="s">
        <v>552</v>
      </c>
      <c r="D136" s="65" t="s">
        <v>555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7">
        <v>0</v>
      </c>
      <c r="M136" s="67">
        <v>0</v>
      </c>
      <c r="N136" s="67">
        <v>0</v>
      </c>
      <c r="O136" s="67">
        <v>0</v>
      </c>
      <c r="P136" s="67">
        <v>0</v>
      </c>
      <c r="Q136" s="67">
        <v>0</v>
      </c>
      <c r="R136" s="67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0</v>
      </c>
      <c r="Y136" s="68">
        <v>0</v>
      </c>
    </row>
    <row r="137">
      <c r="C137" s="65" t="s">
        <v>553</v>
      </c>
      <c r="D137" s="65" t="s">
        <v>555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7">
        <v>0</v>
      </c>
      <c r="M137" s="67">
        <v>0</v>
      </c>
      <c r="N137" s="67">
        <v>0</v>
      </c>
      <c r="O137" s="67">
        <v>0</v>
      </c>
      <c r="P137" s="67">
        <v>0</v>
      </c>
      <c r="Q137" s="67">
        <v>0</v>
      </c>
      <c r="R137" s="67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0</v>
      </c>
      <c r="Y137" s="68">
        <v>0</v>
      </c>
    </row>
    <row r="138">
      <c r="A138" s="65" t="s">
        <v>794</v>
      </c>
      <c r="B138" s="65" t="s">
        <v>783</v>
      </c>
      <c r="C138" s="65" t="s">
        <v>550</v>
      </c>
      <c r="E138" s="66">
        <f>Utilization!C30</f>
        <v>243015696</v>
      </c>
      <c r="F138" s="66">
        <f>Utilization!D30</f>
        <v>345612800</v>
      </c>
      <c r="G138" s="66">
        <f>Utilization!E30</f>
        <v>338700544</v>
      </c>
      <c r="H138" s="66">
        <f>Utilization!F30</f>
        <v>177437563.26912004</v>
      </c>
      <c r="I138" s="66">
        <f>Utilization!G30</f>
        <v>583111111.11111116</v>
      </c>
      <c r="J138" s="66">
        <f>Utilization!H30</f>
        <v>338933333.33333331</v>
      </c>
      <c r="K138" s="66">
        <f>Utilization!I30</f>
        <v>164399325.00000003</v>
      </c>
      <c r="L138" s="67">
        <f>Utilization!J30</f>
        <v>203584439.52000001</v>
      </c>
      <c r="M138" s="67">
        <f>Utilization!K30</f>
        <v>295443200</v>
      </c>
      <c r="N138" s="67">
        <f>Utilization!L30</f>
        <v>289534336</v>
      </c>
      <c r="O138" s="67">
        <f>Utilization!M30</f>
        <v>137891361.48480001</v>
      </c>
      <c r="P138" s="67">
        <f>Utilization!N30</f>
        <v>501111111.11111116</v>
      </c>
      <c r="Q138" s="67">
        <f>Utilization!O30</f>
        <v>265588888.88888893</v>
      </c>
      <c r="R138" s="67">
        <f>Utilization!P30</f>
        <v>147959392.50000003</v>
      </c>
      <c r="S138" s="68">
        <f>Utilization!Q30</f>
        <v>227683169.40599999</v>
      </c>
      <c r="T138" s="68">
        <f>Utilization!R30</f>
        <v>327077920</v>
      </c>
      <c r="U138" s="68">
        <f>Utilization!S30</f>
        <v>320536361.60000002</v>
      </c>
      <c r="V138" s="68">
        <f>Utilization!T30</f>
        <v>159895437.64602777</v>
      </c>
      <c r="W138" s="68">
        <f>Utilization!U30</f>
        <v>552816666.66666675</v>
      </c>
      <c r="X138" s="68">
        <f>Utilization!V30</f>
        <v>308282796.2962963</v>
      </c>
      <c r="Y138" s="68">
        <f>Utilization!W30</f>
        <v>156179358.75000003</v>
      </c>
    </row>
    <row r="139">
      <c r="C139" s="65" t="s">
        <v>551</v>
      </c>
      <c r="D139" s="65" t="s">
        <v>555</v>
      </c>
      <c r="E139" s="66">
        <f>Utilization!C31</f>
        <v>235331673.91999999</v>
      </c>
      <c r="F139" s="66">
        <f>Utilization!D31</f>
        <v>337928777.92000002</v>
      </c>
      <c r="G139" s="66">
        <f>Utilization!E31</f>
        <v>331170202.36159998</v>
      </c>
      <c r="H139" s="66">
        <f>Utilization!F31</f>
        <v>164507254.51184642</v>
      </c>
      <c r="I139" s="66">
        <f>Utilization!G31</f>
        <v>575179217.35111117</v>
      </c>
      <c r="J139" s="66">
        <f>Utilization!H31</f>
        <v>334322920.08533335</v>
      </c>
      <c r="K139" s="66">
        <f>Utilization!I31</f>
        <v>160380943.72615385</v>
      </c>
      <c r="L139" s="67">
        <f>Utilization!J31</f>
        <v>197147211.99040002</v>
      </c>
      <c r="M139" s="67">
        <f>Utilization!K31</f>
        <v>288874600.48000002</v>
      </c>
      <c r="N139" s="67">
        <f>Utilization!L31</f>
        <v>283097108.47040004</v>
      </c>
      <c r="O139" s="67">
        <f>Utilization!M31</f>
        <v>127842881.07225601</v>
      </c>
      <c r="P139" s="67">
        <f>Utilization!N31</f>
        <v>493189735.49247915</v>
      </c>
      <c r="Q139" s="67">
        <f>Utilization!O31</f>
        <v>261390559.81101397</v>
      </c>
      <c r="R139" s="67">
        <f>Utilization!P31</f>
        <v>144342849.35353848</v>
      </c>
      <c r="S139" s="68">
        <f>Utilization!Q31</f>
        <v>220483953.34811997</v>
      </c>
      <c r="T139" s="68">
        <f>Utilization!R31</f>
        <v>319805984.588</v>
      </c>
      <c r="U139" s="68">
        <f>Utilization!S31</f>
        <v>313409864.89624</v>
      </c>
      <c r="V139" s="68">
        <f>Utilization!T31</f>
        <v>148243466.4424628</v>
      </c>
      <c r="W139" s="68">
        <f>Utilization!U31</f>
        <v>545296859.57466674</v>
      </c>
      <c r="X139" s="68">
        <f>Utilization!V31</f>
        <v>304089313.54204297</v>
      </c>
      <c r="Y139" s="68">
        <f>Utilization!W31</f>
        <v>152361896.53984615</v>
      </c>
    </row>
    <row r="140">
      <c r="C140" s="65" t="s">
        <v>552</v>
      </c>
      <c r="D140" s="65" t="s">
        <v>555</v>
      </c>
      <c r="E140" s="66">
        <f>Utilization!C32</f>
        <v>223954911.99999997</v>
      </c>
      <c r="F140" s="66">
        <f>Utilization!D32</f>
        <v>326552016.00000006</v>
      </c>
      <c r="G140" s="66">
        <f>Utilization!E32</f>
        <v>320020975.68000001</v>
      </c>
      <c r="H140" s="66">
        <f>Utilization!F32</f>
        <v>147921133.31297278</v>
      </c>
      <c r="I140" s="66">
        <f>Utilization!G32</f>
        <v>563435463.11111116</v>
      </c>
      <c r="J140" s="66">
        <f>Utilization!H32</f>
        <v>327496862.93333334</v>
      </c>
      <c r="K140" s="66">
        <f>Utilization!I32</f>
        <v>154431433.61538464</v>
      </c>
      <c r="L140" s="67">
        <f>Utilization!J32</f>
        <v>187616421.43999997</v>
      </c>
      <c r="M140" s="67">
        <f>Utilization!K32</f>
        <v>279149304.00000006</v>
      </c>
      <c r="N140" s="67">
        <f>Utilization!L32</f>
        <v>273566317.92000002</v>
      </c>
      <c r="O140" s="67">
        <f>Utilization!M32</f>
        <v>114953373.395712</v>
      </c>
      <c r="P140" s="67">
        <f>Utilization!N32</f>
        <v>483838438.83626682</v>
      </c>
      <c r="Q140" s="67">
        <f>Utilization!O32</f>
        <v>256434372.58322144</v>
      </c>
      <c r="R140" s="67">
        <f>Utilization!P32</f>
        <v>138988290.25384617</v>
      </c>
      <c r="S140" s="68">
        <f>Utilization!Q32</f>
        <v>209824982.53199998</v>
      </c>
      <c r="T140" s="68">
        <f>Utilization!R32</f>
        <v>309039347.40000004</v>
      </c>
      <c r="U140" s="68">
        <f>Utilization!S32</f>
        <v>302858560.45200002</v>
      </c>
      <c r="V140" s="68">
        <f>Utilization!T32</f>
        <v>133297109.7686981</v>
      </c>
      <c r="W140" s="68">
        <f>Utilization!U32</f>
        <v>534163230.06666672</v>
      </c>
      <c r="X140" s="68">
        <f>Utilization!V32</f>
        <v>297880552.76362967</v>
      </c>
      <c r="Y140" s="68">
        <f>Utilization!W32</f>
        <v>146709861.9346154</v>
      </c>
    </row>
    <row r="141">
      <c r="C141" s="65" t="s">
        <v>553</v>
      </c>
      <c r="D141" s="65" t="s">
        <v>555</v>
      </c>
      <c r="E141" s="66">
        <f>Utilization!C33</f>
        <v>197949572.47999999</v>
      </c>
      <c r="F141" s="66">
        <f>Utilization!D33</f>
        <v>300546676.48000002</v>
      </c>
      <c r="G141" s="66">
        <f>Utilization!E33</f>
        <v>294535742.95039999</v>
      </c>
      <c r="H141" s="66">
        <f>Utilization!F33</f>
        <v>106206466.49395199</v>
      </c>
      <c r="I141" s="66">
        <f>Utilization!G33</f>
        <v>536591241.67111117</v>
      </c>
      <c r="J141" s="66">
        <f>Utilization!H33</f>
        <v>311893659.22133332</v>
      </c>
      <c r="K141" s="66">
        <f>Utilization!I33</f>
        <v>140831867.10461539</v>
      </c>
      <c r="L141" s="67">
        <f>Utilization!J33</f>
        <v>165830657.97760001</v>
      </c>
      <c r="M141" s="67">
        <f>Utilization!K33</f>
        <v>256918933.12</v>
      </c>
      <c r="N141" s="67">
        <f>Utilization!L33</f>
        <v>251780554.45760003</v>
      </c>
      <c r="O141" s="67">
        <f>Utilization!M33</f>
        <v>82535817.070080012</v>
      </c>
      <c r="P141" s="67">
        <f>Utilization!N33</f>
        <v>463123432.41548985</v>
      </c>
      <c r="Q141" s="67">
        <f>Utilization!O33</f>
        <v>245455419.18020964</v>
      </c>
      <c r="R141" s="67">
        <f>Utilization!P33</f>
        <v>126748680.39415385</v>
      </c>
      <c r="S141" s="68">
        <f>Utilization!Q33</f>
        <v>185460391.18728</v>
      </c>
      <c r="T141" s="68">
        <f>Utilization!R33</f>
        <v>284428649.07200003</v>
      </c>
      <c r="U141" s="68">
        <f>Utilization!S33</f>
        <v>278740076.09056002</v>
      </c>
      <c r="V141" s="68">
        <f>Utilization!T33</f>
        <v>95706507.280716553</v>
      </c>
      <c r="W141" s="68">
        <f>Utilization!U33</f>
        <v>508713649.8186667</v>
      </c>
      <c r="X141" s="68">
        <f>Utilization!V33</f>
        <v>283688383.39448297</v>
      </c>
      <c r="Y141" s="68">
        <f>Utilization!W33</f>
        <v>133790273.74938461</v>
      </c>
    </row>
    <row r="142">
      <c r="B142" s="65" t="s">
        <v>784</v>
      </c>
      <c r="C142" s="65" t="s">
        <v>550</v>
      </c>
      <c r="E142" s="66">
        <f>Utilization!C36</f>
        <v>5878403.5874606753</v>
      </c>
      <c r="F142" s="66">
        <f>Utilization!D36</f>
        <v>8360165.8527946649</v>
      </c>
      <c r="G142" s="66">
        <f>Utilization!E36</f>
        <v>8192962.5357387718</v>
      </c>
      <c r="H142" s="66">
        <f>Utilization!F36</f>
        <v>4292107.9816650022</v>
      </c>
      <c r="I142" s="66">
        <f>Utilization!G36</f>
        <v>13349653.195275763</v>
      </c>
      <c r="J142" s="66">
        <f>Utilization!H36</f>
        <v>8198593.5697613191</v>
      </c>
      <c r="K142" s="66">
        <f>Utilization!I36</f>
        <v>1715762.889669182</v>
      </c>
      <c r="L142" s="67">
        <f>Utilization!J36</f>
        <v>13900863.112247124</v>
      </c>
      <c r="M142" s="67">
        <f>Utilization!K36</f>
        <v>20173032.331583418</v>
      </c>
      <c r="N142" s="67">
        <f>Utilization!L36</f>
        <v>19769571.684951752</v>
      </c>
      <c r="O142" s="67">
        <f>Utilization!M36</f>
        <v>9415301.8024409674</v>
      </c>
      <c r="P142" s="67">
        <f>Utilization!N36</f>
        <v>30401998.576413337</v>
      </c>
      <c r="Q142" s="67">
        <f>Utilization!O36</f>
        <v>18134562.726320568</v>
      </c>
      <c r="R142" s="67">
        <f>Utilization!P36</f>
        <v>8246260.1126332469</v>
      </c>
      <c r="S142" s="68">
        <f>Utilization!Q36</f>
        <v>9161725.8353172205</v>
      </c>
      <c r="T142" s="68">
        <f>Utilization!R36</f>
        <v>13161263.687797433</v>
      </c>
      <c r="U142" s="68">
        <f>Utilization!S36</f>
        <v>12898038.414041484</v>
      </c>
      <c r="V142" s="68">
        <f>Utilization!T36</f>
        <v>6434020.423436543</v>
      </c>
      <c r="W142" s="68">
        <f>Utilization!U36</f>
        <v>19416271.798391417</v>
      </c>
      <c r="X142" s="68">
        <f>Utilization!V36</f>
        <v>12404968.12645469</v>
      </c>
      <c r="Y142" s="68">
        <f>Utilization!W36</f>
        <v>3252062.6512541012</v>
      </c>
    </row>
    <row r="143">
      <c r="C143" s="65" t="s">
        <v>551</v>
      </c>
      <c r="D143" s="65" t="s">
        <v>785</v>
      </c>
      <c r="E143" s="66">
        <f>Utilization!C37</f>
        <v>5692531.7129081814</v>
      </c>
      <c r="F143" s="66">
        <f>Utilization!D37</f>
        <v>8174293.978242171</v>
      </c>
      <c r="G143" s="66">
        <f>Utilization!E37</f>
        <v>8010808.0986773269</v>
      </c>
      <c r="H143" s="66">
        <f>Utilization!F37</f>
        <v>3979331.5864080829</v>
      </c>
      <c r="I143" s="66">
        <f>Utilization!G37</f>
        <v>13168061.678907635</v>
      </c>
      <c r="J143" s="66">
        <f>Utilization!H37</f>
        <v>8087070.445029824</v>
      </c>
      <c r="K143" s="66">
        <f>Utilization!I37</f>
        <v>1673824.8253480126</v>
      </c>
      <c r="L143" s="67">
        <f>Utilization!J37</f>
        <v>13461325.498653784</v>
      </c>
      <c r="M143" s="67">
        <f>Utilization!K37</f>
        <v>19724524.562610626</v>
      </c>
      <c r="N143" s="67">
        <f>Utilization!L37</f>
        <v>19330034.071358413</v>
      </c>
      <c r="O143" s="67">
        <f>Utilization!M37</f>
        <v>8729185.7562922239</v>
      </c>
      <c r="P143" s="67">
        <f>Utilization!N37</f>
        <v>29921415.238823988</v>
      </c>
      <c r="Q143" s="67">
        <f>Utilization!O37</f>
        <v>17847898.392104723</v>
      </c>
      <c r="R143" s="67">
        <f>Utilization!P37</f>
        <v>8044698.3530830182</v>
      </c>
      <c r="S143" s="68">
        <f>Utilization!Q37</f>
        <v>8872037.1248008255</v>
      </c>
      <c r="T143" s="68">
        <f>Utilization!R37</f>
        <v>12868648.828689963</v>
      </c>
      <c r="U143" s="68">
        <f>Utilization!S37</f>
        <v>12611275.852116164</v>
      </c>
      <c r="V143" s="68">
        <f>Utilization!T37</f>
        <v>5965157.6353500197</v>
      </c>
      <c r="W143" s="68">
        <f>Utilization!U37</f>
        <v>19152157.803330228</v>
      </c>
      <c r="X143" s="68">
        <f>Utilization!V37</f>
        <v>12236226.89103605</v>
      </c>
      <c r="Y143" s="68">
        <f>Utilization!W37</f>
        <v>3172573.1055447496</v>
      </c>
    </row>
    <row r="144">
      <c r="C144" s="65" t="s">
        <v>552</v>
      </c>
      <c r="D144" s="65" t="s">
        <v>785</v>
      </c>
      <c r="E144" s="66">
        <f>Utilization!C38</f>
        <v>5417334.6816669805</v>
      </c>
      <c r="F144" s="66">
        <f>Utilization!D38</f>
        <v>7899096.947000972</v>
      </c>
      <c r="G144" s="66">
        <f>Utilization!E38</f>
        <v>7741115.0080609517</v>
      </c>
      <c r="H144" s="66">
        <f>Utilization!F38</f>
        <v>3578123.286029344</v>
      </c>
      <c r="I144" s="66">
        <f>Utilization!G38</f>
        <v>12899202.033932226</v>
      </c>
      <c r="J144" s="66">
        <f>Utilization!H38</f>
        <v>7921952.2262851037</v>
      </c>
      <c r="K144" s="66">
        <f>Utilization!I38</f>
        <v>1611732.4252741716</v>
      </c>
      <c r="L144" s="67">
        <f>Utilization!J38</f>
        <v>12810557.61528815</v>
      </c>
      <c r="M144" s="67">
        <f>Utilization!K38</f>
        <v>19060475.702033453</v>
      </c>
      <c r="N144" s="67">
        <f>Utilization!L38</f>
        <v>18679266.187992781</v>
      </c>
      <c r="O144" s="67">
        <f>Utilization!M38</f>
        <v>7849082.7276995359</v>
      </c>
      <c r="P144" s="67">
        <f>Utilization!N38</f>
        <v>29354079.769052796</v>
      </c>
      <c r="Q144" s="67">
        <f>Utilization!O38</f>
        <v>17509487.065705471</v>
      </c>
      <c r="R144" s="67">
        <f>Utilization!P38</f>
        <v>7746271.2888834262</v>
      </c>
      <c r="S144" s="68">
        <f>Utilization!Q38</f>
        <v>8443131.6042096075</v>
      </c>
      <c r="T144" s="68">
        <f>Utilization!R38</f>
        <v>12435410.929102875</v>
      </c>
      <c r="U144" s="68">
        <f>Utilization!S38</f>
        <v>12186702.710520819</v>
      </c>
      <c r="V144" s="68">
        <f>Utilization!T38</f>
        <v>5363732.3194641648</v>
      </c>
      <c r="W144" s="68">
        <f>Utilization!U38</f>
        <v>18761117.536882784</v>
      </c>
      <c r="X144" s="68">
        <f>Utilization!V38</f>
        <v>11986393.035607498</v>
      </c>
      <c r="Y144" s="68">
        <f>Utilization!W38</f>
        <v>3054882.9652446532</v>
      </c>
    </row>
    <row r="145">
      <c r="C145" s="65" t="s">
        <v>553</v>
      </c>
      <c r="D145" s="65" t="s">
        <v>785</v>
      </c>
      <c r="E145" s="66">
        <f>Utilization!C39</f>
        <v>4788281.1528467648</v>
      </c>
      <c r="F145" s="66">
        <f>Utilization!D39</f>
        <v>7270043.4181807544</v>
      </c>
      <c r="G145" s="66">
        <f>Utilization!E39</f>
        <v>7124642.5498171393</v>
      </c>
      <c r="H145" s="66">
        <f>Utilization!F39</f>
        <v>2569070.5741474801</v>
      </c>
      <c r="I145" s="66">
        <f>Utilization!G39</f>
        <v>12284634.690431716</v>
      </c>
      <c r="J145" s="66">
        <f>Utilization!H39</f>
        <v>7544520.1089929733</v>
      </c>
      <c r="K145" s="66">
        <f>Utilization!I39</f>
        <v>1469799.7772248827</v>
      </c>
      <c r="L145" s="67">
        <f>Utilization!J39</f>
        <v>11323013.103533529</v>
      </c>
      <c r="M145" s="67">
        <f>Utilization!K39</f>
        <v>17542573.139018524</v>
      </c>
      <c r="N145" s="67">
        <f>Utilization!L39</f>
        <v>17191721.676238157</v>
      </c>
      <c r="O145" s="67">
        <f>Utilization!M39</f>
        <v>5635593.2587664183</v>
      </c>
      <c r="P145" s="67">
        <f>Utilization!N39</f>
        <v>28097317.382925592</v>
      </c>
      <c r="Q145" s="67">
        <f>Utilization!O39</f>
        <v>16759837.786365466</v>
      </c>
      <c r="R145" s="67">
        <f>Utilization!P39</f>
        <v>7064117.8623601766</v>
      </c>
      <c r="S145" s="68">
        <f>Utilization!Q39</f>
        <v>7462726.6556478506</v>
      </c>
      <c r="T145" s="68">
        <f>Utilization!R39</f>
        <v>11445102.900252614</v>
      </c>
      <c r="U145" s="68">
        <f>Utilization!S39</f>
        <v>11216200.842247562</v>
      </c>
      <c r="V145" s="68">
        <f>Utilization!T39</f>
        <v>3851126.9087183117</v>
      </c>
      <c r="W145" s="68">
        <f>Utilization!U39</f>
        <v>17867266.108289566</v>
      </c>
      <c r="X145" s="68">
        <f>Utilization!V39</f>
        <v>11415315.405637179</v>
      </c>
      <c r="Y145" s="68">
        <f>Utilization!W39</f>
        <v>2785863.355079473</v>
      </c>
    </row>
    <row r="146">
      <c r="L146" s="67"/>
      <c r="M146" s="67"/>
      <c r="N146" s="67"/>
      <c r="O146" s="67"/>
      <c r="P146" s="67"/>
      <c r="Q146" s="67"/>
      <c r="R146" s="67"/>
      <c r="S146" s="68"/>
      <c r="T146" s="68"/>
      <c r="U146" s="68"/>
      <c r="V146" s="68"/>
      <c r="W146" s="68"/>
      <c r="X146" s="68"/>
      <c r="Y146" s="68"/>
    </row>
    <row r="147">
      <c r="C147" s="65" t="s">
        <v>550</v>
      </c>
      <c r="E147" s="66">
        <f t="shared" ref="E147:Y150" si="467">E2+E6+E22+E38+E54+E70+E86+E102+E118+E134</f>
        <v>591855493.36809623</v>
      </c>
      <c r="F147" s="66">
        <f t="shared" ref="F147:Y147" si="468">F2+F6+F22+F38+F54+F70+F86+F102+F118+F134</f>
        <v>909351903.92357993</v>
      </c>
      <c r="G147" s="66">
        <f t="shared" si="468"/>
        <v>999218855.12045956</v>
      </c>
      <c r="H147" s="66">
        <f t="shared" si="468"/>
        <v>491355678.11082172</v>
      </c>
      <c r="I147" s="66">
        <f t="shared" si="468"/>
        <v>1696454681.1997025</v>
      </c>
      <c r="J147" s="66">
        <f t="shared" si="468"/>
        <v>1815038539.585541</v>
      </c>
      <c r="K147" s="66">
        <f t="shared" si="468"/>
        <v>539692915.41047919</v>
      </c>
      <c r="L147" s="67">
        <f t="shared" si="468"/>
        <v>819287740.32292295</v>
      </c>
      <c r="M147" s="67">
        <f t="shared" si="468"/>
        <v>1160896459.173934</v>
      </c>
      <c r="N147" s="67">
        <f t="shared" si="468"/>
        <v>1469035509.8790045</v>
      </c>
      <c r="O147" s="67">
        <f t="shared" si="468"/>
        <v>656346631.86490667</v>
      </c>
      <c r="P147" s="67">
        <f t="shared" si="468"/>
        <v>2617956443.1814423</v>
      </c>
      <c r="Q147" s="67">
        <f t="shared" si="468"/>
        <v>2768304811.3515925</v>
      </c>
      <c r="R147" s="67">
        <f t="shared" si="468"/>
        <v>614588811.72000003</v>
      </c>
      <c r="S147" s="68">
        <f t="shared" si="468"/>
        <v>700434265.9311974</v>
      </c>
      <c r="T147" s="68">
        <f t="shared" si="468"/>
        <v>1019579474.4518813</v>
      </c>
      <c r="U147" s="68">
        <f t="shared" si="468"/>
        <v>1180925315.5812743</v>
      </c>
      <c r="V147" s="68">
        <f t="shared" si="468"/>
        <v>560430367.51599991</v>
      </c>
      <c r="W147" s="68">
        <f t="shared" si="468"/>
        <v>2069767159.0307453</v>
      </c>
      <c r="X147" s="68">
        <f t="shared" si="468"/>
        <v>2202340705.2742586</v>
      </c>
      <c r="Y147" s="68">
        <f t="shared" si="468"/>
        <v>571443192.11049855</v>
      </c>
    </row>
    <row r="148">
      <c r="A148" s="65" t="s">
        <v>795</v>
      </c>
      <c r="C148" s="65" t="s">
        <v>551</v>
      </c>
      <c r="D148" s="65" t="s">
        <v>555</v>
      </c>
      <c r="E148" s="66">
        <f t="shared" si="467"/>
        <v>585828069.27365708</v>
      </c>
      <c r="F148" s="66">
        <f t="shared" si="467"/>
        <v>901539702.62023389</v>
      </c>
      <c r="G148" s="66">
        <f t="shared" si="467"/>
        <v>989408638.58949733</v>
      </c>
      <c r="H148" s="66">
        <f t="shared" si="467"/>
        <v>467942973.34897554</v>
      </c>
      <c r="I148" s="66">
        <f t="shared" si="467"/>
        <v>1685888148.463037</v>
      </c>
      <c r="J148" s="66">
        <f t="shared" si="467"/>
        <v>1802858944.5208828</v>
      </c>
      <c r="K148" s="66">
        <f t="shared" si="467"/>
        <v>534538067.19630927</v>
      </c>
      <c r="L148" s="67">
        <f t="shared" si="467"/>
        <v>815581402.62925243</v>
      </c>
      <c r="M148" s="67">
        <f t="shared" si="467"/>
        <v>1146964173.2062285</v>
      </c>
      <c r="N148" s="67">
        <f t="shared" si="467"/>
        <v>1448252357.0761356</v>
      </c>
      <c r="O148" s="67">
        <f t="shared" si="467"/>
        <v>620942738.46779585</v>
      </c>
      <c r="P148" s="67">
        <f t="shared" si="467"/>
        <v>2592568412.3314137</v>
      </c>
      <c r="Q148" s="67">
        <f t="shared" si="467"/>
        <v>2740540130.1509395</v>
      </c>
      <c r="R148" s="67">
        <f t="shared" si="467"/>
        <v>607605265.396855</v>
      </c>
      <c r="S148" s="68">
        <f t="shared" si="467"/>
        <v>693961622.65627384</v>
      </c>
      <c r="T148" s="68">
        <f t="shared" si="467"/>
        <v>1009411461.9936352</v>
      </c>
      <c r="U148" s="68">
        <f t="shared" si="467"/>
        <v>1167170095.1094522</v>
      </c>
      <c r="V148" s="68">
        <f t="shared" si="467"/>
        <v>531984021.3714264</v>
      </c>
      <c r="W148" s="68">
        <f t="shared" si="467"/>
        <v>2055072487.070292</v>
      </c>
      <c r="X148" s="68">
        <f t="shared" si="467"/>
        <v>2185842673.2608881</v>
      </c>
      <c r="Y148" s="68">
        <f t="shared" si="467"/>
        <v>565512277.95243979</v>
      </c>
    </row>
    <row r="149">
      <c r="C149" s="65" t="s">
        <v>552</v>
      </c>
      <c r="D149" s="65" t="s">
        <v>555</v>
      </c>
      <c r="E149" s="66">
        <f t="shared" si="467"/>
        <v>576455842.70564842</v>
      </c>
      <c r="F149" s="66">
        <f t="shared" si="467"/>
        <v>889955189.4054997</v>
      </c>
      <c r="G149" s="66">
        <f t="shared" si="467"/>
        <v>974865916.33782017</v>
      </c>
      <c r="H149" s="66">
        <f t="shared" si="467"/>
        <v>440362715.88390672</v>
      </c>
      <c r="I149" s="66">
        <f t="shared" si="467"/>
        <v>1670069094.4308712</v>
      </c>
      <c r="J149" s="66">
        <f t="shared" si="467"/>
        <v>1784651632.6366918</v>
      </c>
      <c r="K149" s="66">
        <f t="shared" si="467"/>
        <v>526905933.88698518</v>
      </c>
      <c r="L149" s="67">
        <f t="shared" si="467"/>
        <v>795102090.77020216</v>
      </c>
      <c r="M149" s="67">
        <f t="shared" si="467"/>
        <v>1127117162.2297325</v>
      </c>
      <c r="N149" s="67">
        <f t="shared" si="467"/>
        <v>1418262132.0227118</v>
      </c>
      <c r="O149" s="67">
        <f t="shared" si="467"/>
        <v>577977793.47940874</v>
      </c>
      <c r="P149" s="67">
        <f t="shared" si="467"/>
        <v>2561980276.5524879</v>
      </c>
      <c r="Q149" s="67">
        <f t="shared" si="467"/>
        <v>2707146324.8081937</v>
      </c>
      <c r="R149" s="67">
        <f t="shared" si="467"/>
        <v>597265609.54363906</v>
      </c>
      <c r="S149" s="68">
        <f t="shared" si="467"/>
        <v>679361839.28766298</v>
      </c>
      <c r="T149" s="68">
        <f t="shared" si="467"/>
        <v>994195321.63001943</v>
      </c>
      <c r="U149" s="68">
        <f t="shared" si="467"/>
        <v>1146642828.4758856</v>
      </c>
      <c r="V149" s="68">
        <f t="shared" si="467"/>
        <v>497946950.87792808</v>
      </c>
      <c r="W149" s="68">
        <f t="shared" si="467"/>
        <v>2031715590.8994143</v>
      </c>
      <c r="X149" s="68">
        <f t="shared" si="467"/>
        <v>2159815769.4085541</v>
      </c>
      <c r="Y149" s="68">
        <f t="shared" si="467"/>
        <v>556731121.72439945</v>
      </c>
    </row>
    <row r="150">
      <c r="C150" s="65" t="s">
        <v>553</v>
      </c>
      <c r="D150" s="65" t="s">
        <v>555</v>
      </c>
      <c r="E150" s="66">
        <f t="shared" si="467"/>
        <v>555032529.49286532</v>
      </c>
      <c r="F150" s="66">
        <f t="shared" si="467"/>
        <v>863474965.81978118</v>
      </c>
      <c r="G150" s="66">
        <f t="shared" si="467"/>
        <v>941623730.87597287</v>
      </c>
      <c r="H150" s="66">
        <f t="shared" si="467"/>
        <v>366791596.14044261</v>
      </c>
      <c r="I150" s="66">
        <f t="shared" si="467"/>
        <v>1633909431.9641268</v>
      </c>
      <c r="J150" s="66">
        <f t="shared" si="467"/>
        <v>1743032819.6014504</v>
      </c>
      <c r="K150" s="66">
        <f t="shared" si="467"/>
        <v>509460177.40842521</v>
      </c>
      <c r="L150" s="67">
        <f t="shared" si="467"/>
        <v>748289872.86711764</v>
      </c>
      <c r="M150" s="67">
        <f t="shared" si="467"/>
        <v>1081750276.4207213</v>
      </c>
      <c r="N150" s="67">
        <f t="shared" si="467"/>
        <v>1349709586.9066498</v>
      </c>
      <c r="O150" s="67">
        <f t="shared" si="467"/>
        <v>465719152.87366033</v>
      </c>
      <c r="P150" s="67">
        <f t="shared" si="467"/>
        <v>2495515596.57095</v>
      </c>
      <c r="Q150" s="67">
        <f t="shared" si="467"/>
        <v>2634466521.3880787</v>
      </c>
      <c r="R150" s="67">
        <f t="shared" si="467"/>
        <v>573630917.80326426</v>
      </c>
      <c r="S150" s="68">
        <f t="shared" si="467"/>
        <v>645989221.83385813</v>
      </c>
      <c r="T150" s="68">
        <f t="shared" si="467"/>
        <v>959413817.09275889</v>
      </c>
      <c r="U150" s="68">
        <f t="shared" si="467"/>
        <v>1099720994.1281846</v>
      </c>
      <c r="V150" s="68">
        <f t="shared" si="467"/>
        <v>408136723.69251794</v>
      </c>
      <c r="W150" s="68">
        <f t="shared" si="467"/>
        <v>1978325705.5059898</v>
      </c>
      <c r="X150" s="68">
        <f t="shared" si="467"/>
        <v>2100322701.337534</v>
      </c>
      <c r="Y150" s="68">
        <f t="shared" si="467"/>
        <v>536658894.60967815</v>
      </c>
    </row>
    <row r="151">
      <c r="L151" s="67"/>
      <c r="M151" s="67"/>
      <c r="N151" s="67"/>
      <c r="O151" s="67"/>
      <c r="P151" s="67"/>
      <c r="Q151" s="67"/>
      <c r="R151" s="67"/>
      <c r="S151" s="68"/>
      <c r="T151" s="68"/>
      <c r="U151" s="68"/>
      <c r="V151" s="68"/>
      <c r="W151" s="68"/>
      <c r="X151" s="68"/>
      <c r="Y151" s="68"/>
    </row>
    <row r="152">
      <c r="A152" t="s">
        <v>796</v>
      </c>
      <c r="B152" t="s">
        <v>678</v>
      </c>
      <c r="C152" s="6" t="s">
        <v>796</v>
      </c>
      <c r="E152" s="66" t="s">
        <v>147</v>
      </c>
      <c r="F152" s="66" t="s">
        <v>215</v>
      </c>
      <c r="G152" s="66" t="s">
        <v>779</v>
      </c>
      <c r="H152" s="66" t="s">
        <v>191</v>
      </c>
      <c r="I152" s="66" t="s">
        <v>255</v>
      </c>
      <c r="J152" s="66" t="s">
        <v>760</v>
      </c>
      <c r="K152" s="66" t="s">
        <v>558</v>
      </c>
      <c r="L152" s="67" t="s">
        <v>147</v>
      </c>
      <c r="M152" s="67" t="s">
        <v>215</v>
      </c>
      <c r="N152" s="67" t="s">
        <v>779</v>
      </c>
      <c r="O152" s="67" t="s">
        <v>191</v>
      </c>
      <c r="P152" s="67" t="s">
        <v>255</v>
      </c>
      <c r="Q152" s="67" t="s">
        <v>760</v>
      </c>
      <c r="R152" s="67" t="s">
        <v>558</v>
      </c>
      <c r="S152" s="68" t="s">
        <v>147</v>
      </c>
      <c r="T152" s="68" t="s">
        <v>215</v>
      </c>
      <c r="U152" s="68" t="s">
        <v>779</v>
      </c>
      <c r="V152" s="68" t="s">
        <v>191</v>
      </c>
      <c r="W152" s="68" t="s">
        <v>255</v>
      </c>
      <c r="X152" s="68" t="s">
        <v>760</v>
      </c>
      <c r="Y152" s="68" t="s">
        <v>558</v>
      </c>
    </row>
    <row r="153">
      <c r="C153" t="s">
        <v>550</v>
      </c>
      <c r="E153" s="1">
        <f>Combined!E86/Combined!E138</f>
        <v>0</v>
      </c>
      <c r="F153" s="1">
        <f>Combined!F86/Combined!F138</f>
        <v>0</v>
      </c>
      <c r="G153" s="1">
        <f>Combined!G86/Combined!G138</f>
        <v>0</v>
      </c>
      <c r="H153" s="1">
        <f>Combined!H86/Combined!H138</f>
        <v>0</v>
      </c>
      <c r="I153" s="1">
        <f>Combined!I86/Combined!I138</f>
        <v>0</v>
      </c>
      <c r="J153" s="1">
        <f>Combined!J86/Combined!J138</f>
        <v>0</v>
      </c>
      <c r="K153" s="1">
        <f>Combined!K86/Combined!K138</f>
        <v>0</v>
      </c>
      <c r="L153" s="67">
        <f>Combined!L86/Combined!L138</f>
        <v>0</v>
      </c>
      <c r="M153" s="67">
        <f>Combined!M86/Combined!M138</f>
        <v>0</v>
      </c>
      <c r="N153" s="67">
        <f>Combined!N86/Combined!N138</f>
        <v>0</v>
      </c>
      <c r="O153" s="67">
        <f>Combined!O86/Combined!O138</f>
        <v>0</v>
      </c>
      <c r="P153" s="67">
        <f>Combined!P86/Combined!P138</f>
        <v>0</v>
      </c>
      <c r="Q153" s="67">
        <f>Combined!Q86/Combined!Q138</f>
        <v>0</v>
      </c>
      <c r="R153" s="67">
        <f>Combined!R86/Combined!R138</f>
        <v>0</v>
      </c>
      <c r="S153" s="68">
        <f>Combined!S86/Combined!S138</f>
        <v>0</v>
      </c>
      <c r="T153" s="68">
        <f>Combined!T86/Combined!T138</f>
        <v>0</v>
      </c>
      <c r="U153" s="68">
        <f>Combined!U86/Combined!U138</f>
        <v>0</v>
      </c>
      <c r="V153" s="68">
        <f>Combined!V86/Combined!V138</f>
        <v>0</v>
      </c>
      <c r="W153" s="68">
        <f>Combined!W86/Combined!W138</f>
        <v>0</v>
      </c>
      <c r="X153" s="68">
        <f>Combined!X86/Combined!X138</f>
        <v>0</v>
      </c>
      <c r="Y153" s="68">
        <f>Combined!Y86/Combined!Y138</f>
        <v>0</v>
      </c>
    </row>
    <row r="154">
      <c r="C154" t="s">
        <v>551</v>
      </c>
      <c r="D154" s="65" t="s">
        <v>555</v>
      </c>
      <c r="E154" s="1">
        <f>Combined!E87/Combined!E139</f>
        <v>0.052664326027839103</v>
      </c>
      <c r="F154" s="1">
        <f>Combined!F87/Combined!F139</f>
        <v>0.036675136329863002</v>
      </c>
      <c r="G154" s="1">
        <f>Combined!G87/Combined!G139</f>
        <v>0.037423608499860213</v>
      </c>
      <c r="H154" s="1">
        <f>Combined!H87/Combined!H139</f>
        <v>0.075337613753121868</v>
      </c>
      <c r="I154" s="1">
        <f>Combined!I87/Combined!I139</f>
        <v>0.021547343203873946</v>
      </c>
      <c r="J154" s="1">
        <f>Combined!J87/Combined!J139</f>
        <v>0.037070697985159475</v>
      </c>
      <c r="K154" s="1">
        <f>Combined!K87/Combined!K139</f>
        <v>0.050110458019344641</v>
      </c>
      <c r="L154" s="67">
        <f>Combined!L87/Combined!L139</f>
        <v>0.06286461712988109</v>
      </c>
      <c r="M154" s="67">
        <f>Combined!M87/Combined!M139</f>
        <v>0.042902989668896344</v>
      </c>
      <c r="N154" s="67">
        <f>Combined!N87/Combined!N139</f>
        <v>0.043778560886628924</v>
      </c>
      <c r="O154" s="67">
        <f>Combined!O87/Combined!O139</f>
        <v>0.096943872791753039</v>
      </c>
      <c r="P154" s="67">
        <f>Combined!P87/Combined!P139</f>
        <v>0.025129444325568278</v>
      </c>
      <c r="Q154" s="67">
        <f>Combined!Q87/Combined!Q139</f>
        <v>0.047414045897298633</v>
      </c>
      <c r="R154" s="67">
        <f>Combined!R87/Combined!R139</f>
        <v>0.055678286688160709</v>
      </c>
      <c r="S154" s="68">
        <f>Combined!S87/Combined!S139</f>
        <v>0.056210820841151601</v>
      </c>
      <c r="T154" s="68">
        <f>Combined!T87/Combined!T139</f>
        <v>0.03875344614318716</v>
      </c>
      <c r="U154" s="68">
        <f>Combined!U87/Combined!U139</f>
        <v>0.039544332799170571</v>
      </c>
      <c r="V154" s="68">
        <f>Combined!V87/Combined!V139</f>
        <v>0.083602902019363379</v>
      </c>
      <c r="W154" s="68">
        <f>Combined!W87/Combined!W139</f>
        <v>0.022728141162718294</v>
      </c>
      <c r="X154" s="68">
        <f>Combined!X87/Combined!X139</f>
        <v>0.040756394414651079</v>
      </c>
      <c r="Y154" s="68">
        <f>Combined!Y87/Combined!Y139</f>
        <v>0.052747850546678576</v>
      </c>
    </row>
    <row r="155">
      <c r="C155" t="s">
        <v>552</v>
      </c>
      <c r="D155" s="65" t="s">
        <v>555</v>
      </c>
      <c r="E155" s="1">
        <f>Combined!E88/Combined!E140</f>
        <v>0.13727405987862415</v>
      </c>
      <c r="F155" s="1">
        <f>Combined!F88/Combined!F140</f>
        <v>0.09414487889733314</v>
      </c>
      <c r="G155" s="1">
        <f>Combined!G88/Combined!G140</f>
        <v>0.096066202956462399</v>
      </c>
      <c r="H155" s="1">
        <f>Combined!H88/Combined!H140</f>
        <v>0.20783507610743679</v>
      </c>
      <c r="I155" s="1">
        <f>Combined!I88/Combined!I140</f>
        <v>0.054563835634778547</v>
      </c>
      <c r="J155" s="1">
        <f>Combined!J88/Combined!J140</f>
        <v>0.093873265608221165</v>
      </c>
      <c r="K155" s="1">
        <f>Combined!K88/Combined!K140</f>
        <v>0.12909148288347394</v>
      </c>
      <c r="L155" s="67">
        <f>Combined!L88/Combined!L140</f>
        <v>0.16386198907344432</v>
      </c>
      <c r="M155" s="67">
        <f>Combined!M88/Combined!M140</f>
        <v>0.11013174512518216</v>
      </c>
      <c r="N155" s="67">
        <f>Combined!N88/Combined!N140</f>
        <v>0.11237933176038997</v>
      </c>
      <c r="O155" s="67">
        <f>Combined!O88/Combined!O140</f>
        <v>0.2674406073684375</v>
      </c>
      <c r="P155" s="67">
        <f>Combined!P88/Combined!P140</f>
        <v>0.063540218247115421</v>
      </c>
      <c r="Q155" s="67">
        <f>Combined!Q88/Combined!Q140</f>
        <v>0.11988720423984041</v>
      </c>
      <c r="R155" s="67">
        <f>Combined!R88/Combined!R140</f>
        <v>0.14343498098163771</v>
      </c>
      <c r="S155" s="68">
        <f>Combined!S88/Combined!S140</f>
        <v>0.14651830124809576</v>
      </c>
      <c r="T155" s="68">
        <f>Combined!T88/Combined!T140</f>
        <v>0.099479889077710354</v>
      </c>
      <c r="U155" s="68">
        <f>Combined!U88/Combined!U140</f>
        <v>0.10151009089562282</v>
      </c>
      <c r="V155" s="68">
        <f>Combined!V88/Combined!V140</f>
        <v>0.23063665861432928</v>
      </c>
      <c r="W155" s="68">
        <f>Combined!W88/Combined!W140</f>
        <v>0.057553942820367972</v>
      </c>
      <c r="X155" s="68">
        <f>Combined!X88/Combined!X140</f>
        <v>0.10320646888417367</v>
      </c>
      <c r="Y155" s="68">
        <f>Combined!Y88/Combined!Y140</f>
        <v>0.13588577145628836</v>
      </c>
    </row>
    <row r="156">
      <c r="C156" t="s">
        <v>553</v>
      </c>
      <c r="D156" s="65" t="s">
        <v>555</v>
      </c>
      <c r="E156" s="1">
        <f>Combined!E89/Combined!E141</f>
        <v>0.36720107595758522</v>
      </c>
      <c r="F156" s="1">
        <f>Combined!F89/Combined!F141</f>
        <v>0.24185027381208457</v>
      </c>
      <c r="G156" s="1">
        <f>Combined!G89/Combined!G141</f>
        <v>0.24678599368580059</v>
      </c>
      <c r="H156" s="1">
        <f>Combined!H89/Combined!H141</f>
        <v>0.68439614271640636</v>
      </c>
      <c r="I156" s="1">
        <f>Combined!I89/Combined!I141</f>
        <v>0.13546120464737604</v>
      </c>
      <c r="J156" s="1">
        <f>Combined!J89/Combined!J141</f>
        <v>0.23305153487720612</v>
      </c>
      <c r="K156" s="1">
        <f>Combined!K89/Combined!K141</f>
        <v>0.33468927707786184</v>
      </c>
      <c r="L156" s="67">
        <f>Combined!L89/Combined!L141</f>
        <v>0.43832242413111827</v>
      </c>
      <c r="M156" s="67">
        <f>Combined!M89/Combined!M141</f>
        <v>0.2829191882330046</v>
      </c>
      <c r="N156" s="67">
        <f>Combined!N89/Combined!N141</f>
        <v>0.28869304921735162</v>
      </c>
      <c r="O156" s="67">
        <f>Combined!O89/Combined!O141</f>
        <v>0.88067579119356421</v>
      </c>
      <c r="P156" s="67">
        <f>Combined!P89/Combined!P141</f>
        <v>0.15695015823511344</v>
      </c>
      <c r="Q156" s="67">
        <f>Combined!Q89/Combined!Q141</f>
        <v>0.29613237402851594</v>
      </c>
      <c r="R156" s="67">
        <f>Combined!R89/Combined!R141</f>
        <v>0.37187697453095758</v>
      </c>
      <c r="S156" s="68">
        <f>Combined!S89/Combined!S141</f>
        <v>0.39192894792613453</v>
      </c>
      <c r="T156" s="68">
        <f>Combined!T89/Combined!T141</f>
        <v>0.25555546614996577</v>
      </c>
      <c r="U156" s="68">
        <f>Combined!U89/Combined!U141</f>
        <v>0.26077088382649571</v>
      </c>
      <c r="V156" s="68">
        <f>Combined!V89/Combined!V141</f>
        <v>0.75948123137333856</v>
      </c>
      <c r="W156" s="68">
        <f>Combined!W89/Combined!W141</f>
        <v>0.14288450098775551</v>
      </c>
      <c r="X156" s="68">
        <f>Combined!X89/Combined!X141</f>
        <v>0.25622232087989538</v>
      </c>
      <c r="Y156" s="68">
        <f>Combined!Y89/Combined!Y141</f>
        <v>0.35230450218722298</v>
      </c>
    </row>
    <row r="157">
      <c r="E157" s="66" t="s">
        <v>147</v>
      </c>
      <c r="F157" s="66" t="s">
        <v>215</v>
      </c>
      <c r="G157" s="66" t="s">
        <v>779</v>
      </c>
      <c r="H157" s="66" t="s">
        <v>191</v>
      </c>
      <c r="I157" s="66" t="s">
        <v>255</v>
      </c>
      <c r="J157" s="66" t="s">
        <v>760</v>
      </c>
      <c r="K157" s="66" t="s">
        <v>558</v>
      </c>
      <c r="L157" s="67" t="s">
        <v>147</v>
      </c>
      <c r="M157" s="67" t="s">
        <v>215</v>
      </c>
      <c r="N157" s="67" t="s">
        <v>779</v>
      </c>
      <c r="O157" s="67" t="s">
        <v>191</v>
      </c>
      <c r="P157" s="67" t="s">
        <v>255</v>
      </c>
      <c r="Q157" s="67" t="s">
        <v>760</v>
      </c>
      <c r="R157" s="67" t="s">
        <v>558</v>
      </c>
      <c r="S157" s="68" t="s">
        <v>147</v>
      </c>
      <c r="T157" s="68" t="s">
        <v>215</v>
      </c>
      <c r="U157" s="68" t="s">
        <v>779</v>
      </c>
      <c r="V157" s="68" t="s">
        <v>191</v>
      </c>
      <c r="W157" s="68" t="s">
        <v>255</v>
      </c>
      <c r="X157" s="68" t="s">
        <v>760</v>
      </c>
      <c r="Y157" s="68" t="s">
        <v>558</v>
      </c>
    </row>
    <row r="158">
      <c r="A158" s="65" t="s">
        <v>797</v>
      </c>
      <c r="C158" t="s">
        <v>550</v>
      </c>
      <c r="E158" s="66">
        <f t="shared" ref="E158:Y161" si="469">(E14+E30+E46+E62)/E58</f>
        <v>0.039134431992959288</v>
      </c>
      <c r="F158" s="66">
        <f t="shared" ref="F158:Y158" si="470">(F14+F30+F46+F62)/F58</f>
        <v>0.033017211345353875</v>
      </c>
      <c r="G158" s="66">
        <f t="shared" si="470"/>
        <v>0.033017211345353875</v>
      </c>
      <c r="H158" s="66">
        <f t="shared" si="470"/>
        <v>0.028128975200973728</v>
      </c>
      <c r="I158" s="66">
        <f t="shared" si="470"/>
        <v>0.044209307908889203</v>
      </c>
      <c r="J158" s="66">
        <f t="shared" si="470"/>
        <v>0.044209307908889203</v>
      </c>
      <c r="K158" s="66">
        <f t="shared" si="470"/>
        <v>0.059829723458234035</v>
      </c>
      <c r="L158" s="66">
        <f t="shared" si="470"/>
        <v>0.32356476431845865</v>
      </c>
      <c r="M158" s="66">
        <f t="shared" si="470"/>
        <v>0.2692131904637754</v>
      </c>
      <c r="N158" s="66">
        <f t="shared" si="470"/>
        <v>0.2692131904637754</v>
      </c>
      <c r="O158" s="66">
        <f t="shared" si="470"/>
        <v>0.23582335108420113</v>
      </c>
      <c r="P158" s="66">
        <f t="shared" si="470"/>
        <v>0.44230592299023924</v>
      </c>
      <c r="Q158" s="66">
        <f t="shared" si="470"/>
        <v>0.44230592299023924</v>
      </c>
      <c r="R158" s="66">
        <f t="shared" si="470"/>
        <v>0.27986757959806746</v>
      </c>
      <c r="S158" s="66">
        <f t="shared" si="470"/>
        <v>0.13065084594238213</v>
      </c>
      <c r="T158" s="66">
        <f t="shared" si="470"/>
        <v>0.11081253320997517</v>
      </c>
      <c r="U158" s="66">
        <f t="shared" si="470"/>
        <v>0.11081253320997517</v>
      </c>
      <c r="V158" s="66">
        <f t="shared" si="470"/>
        <v>0.096466874822188797</v>
      </c>
      <c r="W158" s="66">
        <f t="shared" si="470"/>
        <v>0.17216880687132974</v>
      </c>
      <c r="X158" s="66">
        <f t="shared" si="470"/>
        <v>0.17216880687132974</v>
      </c>
      <c r="Y158" s="66">
        <f t="shared" si="470"/>
        <v>0.1433067632840701</v>
      </c>
      <c r="Z158" s="65" t="s">
        <v>798</v>
      </c>
    </row>
    <row r="159">
      <c r="A159" s="65" t="s">
        <v>799</v>
      </c>
      <c r="C159" t="s">
        <v>551</v>
      </c>
      <c r="D159" s="65" t="s">
        <v>555</v>
      </c>
      <c r="E159" s="66">
        <f t="shared" si="469"/>
        <v>0.039134431992959295</v>
      </c>
      <c r="F159" s="66">
        <f t="shared" si="469"/>
        <v>0.033017211345353882</v>
      </c>
      <c r="G159" s="66">
        <f t="shared" si="469"/>
        <v>0.033017211345353882</v>
      </c>
      <c r="H159" s="66">
        <f t="shared" si="469"/>
        <v>0.028128975200973728</v>
      </c>
      <c r="I159" s="66">
        <f t="shared" si="469"/>
        <v>0.044209307908889196</v>
      </c>
      <c r="J159" s="66">
        <f t="shared" si="469"/>
        <v>0.044209307908889196</v>
      </c>
      <c r="K159" s="66">
        <f t="shared" si="469"/>
        <v>0.059829723458234056</v>
      </c>
      <c r="L159" s="66">
        <f t="shared" si="469"/>
        <v>0.32356476431845871</v>
      </c>
      <c r="M159" s="66">
        <f t="shared" si="469"/>
        <v>0.2692131904637754</v>
      </c>
      <c r="N159" s="66">
        <f t="shared" si="469"/>
        <v>0.2692131904637754</v>
      </c>
      <c r="O159" s="66">
        <f t="shared" si="469"/>
        <v>0.23582335108420116</v>
      </c>
      <c r="P159" s="66">
        <f t="shared" si="469"/>
        <v>0.44230592299023935</v>
      </c>
      <c r="Q159" s="66">
        <f t="shared" si="469"/>
        <v>0.44230592299023935</v>
      </c>
      <c r="R159" s="66">
        <f t="shared" si="469"/>
        <v>0.27986757959806752</v>
      </c>
      <c r="S159" s="66">
        <f t="shared" si="469"/>
        <v>0.13065084594238216</v>
      </c>
      <c r="T159" s="66">
        <f t="shared" si="469"/>
        <v>0.11081253320997518</v>
      </c>
      <c r="U159" s="66">
        <f t="shared" si="469"/>
        <v>0.11081253320997518</v>
      </c>
      <c r="V159" s="66">
        <f t="shared" si="469"/>
        <v>0.096466874822188797</v>
      </c>
      <c r="W159" s="66">
        <f t="shared" si="469"/>
        <v>0.17216880687132974</v>
      </c>
      <c r="X159" s="66">
        <f t="shared" si="469"/>
        <v>0.17216880687132974</v>
      </c>
      <c r="Y159" s="66">
        <f t="shared" si="469"/>
        <v>0.14330676328407016</v>
      </c>
    </row>
    <row r="160">
      <c r="C160" t="s">
        <v>552</v>
      </c>
      <c r="D160" s="65" t="s">
        <v>555</v>
      </c>
      <c r="E160" s="66">
        <f t="shared" si="469"/>
        <v>0.039134431992959295</v>
      </c>
      <c r="F160" s="66">
        <f t="shared" si="469"/>
        <v>0.033017211345353882</v>
      </c>
      <c r="G160" s="66">
        <f t="shared" si="469"/>
        <v>0.033017211345353882</v>
      </c>
      <c r="H160" s="66">
        <f t="shared" si="469"/>
        <v>0.028128975200973728</v>
      </c>
      <c r="I160" s="66">
        <f t="shared" si="469"/>
        <v>0.04420930790888921</v>
      </c>
      <c r="J160" s="66">
        <f t="shared" si="469"/>
        <v>0.04420930790888921</v>
      </c>
      <c r="K160" s="66">
        <f t="shared" si="469"/>
        <v>0.059829723458234035</v>
      </c>
      <c r="L160" s="66">
        <f t="shared" si="469"/>
        <v>0.32356476431845876</v>
      </c>
      <c r="M160" s="66">
        <f t="shared" si="469"/>
        <v>0.2692131904637754</v>
      </c>
      <c r="N160" s="66">
        <f t="shared" si="469"/>
        <v>0.2692131904637754</v>
      </c>
      <c r="O160" s="66">
        <f t="shared" si="469"/>
        <v>0.23582335108420116</v>
      </c>
      <c r="P160" s="66">
        <f t="shared" si="469"/>
        <v>0.44230592299023924</v>
      </c>
      <c r="Q160" s="66">
        <f t="shared" si="469"/>
        <v>0.44230592299023924</v>
      </c>
      <c r="R160" s="66">
        <f t="shared" si="469"/>
        <v>0.27986757959806752</v>
      </c>
      <c r="S160" s="66">
        <f t="shared" si="469"/>
        <v>0.13065084594238216</v>
      </c>
      <c r="T160" s="66">
        <f t="shared" si="469"/>
        <v>0.11081253320997517</v>
      </c>
      <c r="U160" s="66">
        <f t="shared" si="469"/>
        <v>0.11081253320997517</v>
      </c>
      <c r="V160" s="66">
        <f t="shared" si="469"/>
        <v>0.096466874822188783</v>
      </c>
      <c r="W160" s="66">
        <f t="shared" si="469"/>
        <v>0.17216880687132968</v>
      </c>
      <c r="X160" s="66">
        <f t="shared" si="469"/>
        <v>0.17216880687132968</v>
      </c>
      <c r="Y160" s="66">
        <f t="shared" si="469"/>
        <v>0.14330676328407013</v>
      </c>
    </row>
    <row r="161">
      <c r="C161" t="s">
        <v>553</v>
      </c>
      <c r="D161" s="65" t="s">
        <v>555</v>
      </c>
      <c r="E161" s="66">
        <f t="shared" si="469"/>
        <v>0.039134431992959288</v>
      </c>
      <c r="F161" s="66">
        <f t="shared" si="469"/>
        <v>0.033017211345353875</v>
      </c>
      <c r="G161" s="66">
        <f t="shared" si="469"/>
        <v>0.033017211345353875</v>
      </c>
      <c r="H161" s="66">
        <f t="shared" si="469"/>
        <v>0.028128975200973728</v>
      </c>
      <c r="I161" s="66">
        <f t="shared" si="469"/>
        <v>0.044209307908889203</v>
      </c>
      <c r="J161" s="66">
        <f t="shared" si="469"/>
        <v>0.044209307908889203</v>
      </c>
      <c r="K161" s="66">
        <f t="shared" si="469"/>
        <v>0.059829723458234049</v>
      </c>
      <c r="L161" s="66">
        <f t="shared" si="469"/>
        <v>0.32356476431845871</v>
      </c>
      <c r="M161" s="66">
        <f t="shared" si="469"/>
        <v>0.2692131904637754</v>
      </c>
      <c r="N161" s="66">
        <f t="shared" si="469"/>
        <v>0.2692131904637754</v>
      </c>
      <c r="O161" s="66">
        <f t="shared" si="469"/>
        <v>0.23582335108420119</v>
      </c>
      <c r="P161" s="66">
        <f t="shared" si="469"/>
        <v>0.4423059229902393</v>
      </c>
      <c r="Q161" s="66">
        <f t="shared" si="469"/>
        <v>0.4423059229902393</v>
      </c>
      <c r="R161" s="66">
        <f t="shared" si="469"/>
        <v>0.27986757959806752</v>
      </c>
      <c r="S161" s="66">
        <f t="shared" si="469"/>
        <v>0.13065084594238213</v>
      </c>
      <c r="T161" s="66">
        <f t="shared" si="469"/>
        <v>0.11081253320997515</v>
      </c>
      <c r="U161" s="66">
        <f t="shared" si="469"/>
        <v>0.11081253320997515</v>
      </c>
      <c r="V161" s="66">
        <f t="shared" si="469"/>
        <v>0.096466874822188797</v>
      </c>
      <c r="W161" s="66">
        <f t="shared" si="469"/>
        <v>0.17216880687132971</v>
      </c>
      <c r="X161" s="66">
        <f t="shared" si="469"/>
        <v>0.17216880687132971</v>
      </c>
      <c r="Y161" s="66">
        <f t="shared" si="469"/>
        <v>0.14330676328407016</v>
      </c>
    </row>
    <row r="162">
      <c r="S162" s="68" t="s">
        <v>147</v>
      </c>
      <c r="T162" s="68" t="s">
        <v>215</v>
      </c>
      <c r="U162" s="68" t="s">
        <v>779</v>
      </c>
      <c r="V162" s="68" t="s">
        <v>191</v>
      </c>
      <c r="W162" s="68" t="s">
        <v>255</v>
      </c>
      <c r="X162" s="68" t="s">
        <v>760</v>
      </c>
      <c r="Y162" s="68" t="s">
        <v>558</v>
      </c>
    </row>
    <row r="163">
      <c r="R163" s="65" t="s">
        <v>800</v>
      </c>
      <c r="S163" s="65">
        <f>S158*1000</f>
        <v>130.65084594238212</v>
      </c>
      <c r="T163" s="65">
        <f t="shared" ref="T163:Y163" si="471">T158*1000</f>
        <v>110.81253320997517</v>
      </c>
      <c r="U163" s="65">
        <f t="shared" si="471"/>
        <v>110.81253320997517</v>
      </c>
      <c r="V163" s="65">
        <f t="shared" si="471"/>
        <v>96.466874822188799</v>
      </c>
      <c r="W163" s="65">
        <f t="shared" si="471"/>
        <v>172.16880687132974</v>
      </c>
      <c r="X163" s="65">
        <f>X158*1000</f>
        <v>172.16880687132974</v>
      </c>
      <c r="Y163" s="65">
        <f t="shared" si="471"/>
        <v>143.30676328407012</v>
      </c>
    </row>
    <row r="164">
      <c r="R164" s="65" t="s">
        <v>801</v>
      </c>
      <c r="S164" s="65">
        <f>E159*1000</f>
        <v>39.134431992959293</v>
      </c>
      <c r="T164" s="65">
        <f t="shared" ref="T164:Y164" si="472">F159*1000</f>
        <v>33.017211345353886</v>
      </c>
      <c r="U164" s="65">
        <f t="shared" si="472"/>
        <v>33.017211345353886</v>
      </c>
      <c r="V164" s="65">
        <f t="shared" si="472"/>
        <v>28.128975200973727</v>
      </c>
      <c r="W164" s="65">
        <f t="shared" si="472"/>
        <v>44.209307908889194</v>
      </c>
      <c r="X164" s="65">
        <f t="shared" si="472"/>
        <v>44.209307908889194</v>
      </c>
      <c r="Y164" s="65">
        <f t="shared" si="472"/>
        <v>59.829723458234056</v>
      </c>
    </row>
    <row r="165">
      <c r="R165" s="65" t="s">
        <v>802</v>
      </c>
      <c r="S165" s="65">
        <f>L158*1000</f>
        <v>323.56476431845863</v>
      </c>
      <c r="T165" s="65">
        <f t="shared" ref="T165:Y165" si="473">M158*1000</f>
        <v>269.21319046377539</v>
      </c>
      <c r="U165" s="65">
        <f t="shared" si="473"/>
        <v>269.21319046377539</v>
      </c>
      <c r="V165" s="65">
        <f t="shared" si="473"/>
        <v>235.82335108420114</v>
      </c>
      <c r="W165" s="65">
        <f t="shared" si="473"/>
        <v>442.30592299023925</v>
      </c>
      <c r="X165" s="65">
        <f t="shared" si="473"/>
        <v>442.30592299023925</v>
      </c>
      <c r="Y165" s="65">
        <f t="shared" si="473"/>
        <v>279.86757959806744</v>
      </c>
    </row>
    <row r="167">
      <c r="S167" s="65" t="s">
        <v>147</v>
      </c>
      <c r="T167" s="65" t="s">
        <v>215</v>
      </c>
      <c r="U167" s="65" t="s">
        <v>779</v>
      </c>
      <c r="V167" s="65" t="s">
        <v>191</v>
      </c>
      <c r="W167" s="65" t="s">
        <v>255</v>
      </c>
      <c r="X167" s="65" t="s">
        <v>760</v>
      </c>
      <c r="Y167" s="65" t="s">
        <v>558</v>
      </c>
    </row>
    <row r="168">
      <c r="R168" s="65" t="s">
        <v>800</v>
      </c>
      <c r="S168" s="65">
        <v>156.19645034032533</v>
      </c>
      <c r="T168" s="65">
        <v>122.01563394558616</v>
      </c>
      <c r="U168" s="65">
        <v>122.01563394558616</v>
      </c>
      <c r="V168" s="65">
        <v>136.72143317619086</v>
      </c>
      <c r="W168" s="65">
        <v>193.71803791295741</v>
      </c>
      <c r="X168" s="65">
        <v>193.71803791295741</v>
      </c>
      <c r="Y168" s="65">
        <v>190.09723952120422</v>
      </c>
    </row>
    <row r="169">
      <c r="R169" s="65" t="s">
        <v>801</v>
      </c>
      <c r="S169" s="65">
        <v>43.341156711729859</v>
      </c>
      <c r="T169" s="65">
        <v>34.239457218970145</v>
      </c>
      <c r="U169" s="65">
        <v>34.239457218970145</v>
      </c>
      <c r="V169" s="65">
        <v>31.432592520531259</v>
      </c>
      <c r="W169" s="65">
        <v>44.512382471418832</v>
      </c>
      <c r="X169" s="65">
        <v>44.512382471418832</v>
      </c>
      <c r="Y169" s="65">
        <v>77.407695023997491</v>
      </c>
    </row>
    <row r="170">
      <c r="R170" s="65" t="s">
        <v>802</v>
      </c>
      <c r="S170" s="65">
        <v>439.94393314308866</v>
      </c>
      <c r="T170" s="65">
        <v>307.35382524210098</v>
      </c>
      <c r="U170" s="65">
        <v>307.35382524210098</v>
      </c>
      <c r="V170" s="65">
        <v>332.48958863986184</v>
      </c>
      <c r="W170" s="65">
        <v>546.10265074166841</v>
      </c>
      <c r="X170" s="65">
        <v>546.10265074166841</v>
      </c>
      <c r="Y170" s="65">
        <v>375.97099991225394</v>
      </c>
    </row>
    <row r="172">
      <c r="S172" s="65" t="s">
        <v>800</v>
      </c>
      <c r="T172" s="65" t="s">
        <v>801</v>
      </c>
      <c r="U172" s="65" t="s">
        <v>802</v>
      </c>
    </row>
    <row r="173">
      <c r="R173" s="65" t="s">
        <v>147</v>
      </c>
      <c r="S173" s="65">
        <v>156.19645034032533</v>
      </c>
      <c r="T173" s="65">
        <v>43.341156711729859</v>
      </c>
      <c r="U173" s="65">
        <v>439.94393314308866</v>
      </c>
    </row>
    <row r="174">
      <c r="R174" s="65" t="s">
        <v>215</v>
      </c>
      <c r="S174" s="65">
        <v>122.01563394558616</v>
      </c>
      <c r="T174" s="65">
        <v>34.239457218970145</v>
      </c>
      <c r="U174" s="65">
        <v>307.35382524210098</v>
      </c>
    </row>
    <row r="175">
      <c r="R175" s="65" t="s">
        <v>779</v>
      </c>
      <c r="S175" s="65">
        <v>122.01563394558616</v>
      </c>
      <c r="T175" s="65">
        <v>34.239457218970145</v>
      </c>
      <c r="U175" s="65">
        <v>307.35382524210098</v>
      </c>
    </row>
    <row r="176">
      <c r="R176" s="65" t="s">
        <v>191</v>
      </c>
      <c r="S176" s="65">
        <v>136.72143317619086</v>
      </c>
      <c r="T176" s="65">
        <v>31.432592520531259</v>
      </c>
      <c r="U176" s="65">
        <v>332.48958863986184</v>
      </c>
    </row>
    <row r="177">
      <c r="R177" s="65" t="s">
        <v>255</v>
      </c>
      <c r="S177" s="65">
        <v>193.71803791295741</v>
      </c>
      <c r="T177" s="65">
        <v>44.512382471418832</v>
      </c>
      <c r="U177" s="65">
        <v>546.10265074166841</v>
      </c>
    </row>
    <row r="178">
      <c r="R178" s="65" t="s">
        <v>760</v>
      </c>
      <c r="S178" s="65">
        <v>193.71803791295741</v>
      </c>
      <c r="T178" s="65">
        <v>44.512382471418832</v>
      </c>
      <c r="U178" s="65">
        <v>546.10265074166841</v>
      </c>
    </row>
    <row r="179">
      <c r="R179" s="65" t="s">
        <v>558</v>
      </c>
      <c r="S179" s="65">
        <v>190.09723952120422</v>
      </c>
      <c r="T179" s="65">
        <v>77.407695023997491</v>
      </c>
      <c r="U179" s="65">
        <v>375.97099991225394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3" zoomScale="85" workbookViewId="0">
      <selection activeCell="B88" activeCellId="0" sqref="B88"/>
    </sheetView>
  </sheetViews>
  <sheetFormatPr baseColWidth="10" defaultRowHeight="14.25"/>
  <cols>
    <col customWidth="1" min="1" max="1" width="13.46484375"/>
    <col customWidth="1" min="3" max="3" width="14"/>
    <col customWidth="1" min="5" max="5" width="12.6640625"/>
    <col customWidth="1" min="6" max="7" width="12.33203125"/>
    <col bestFit="1" customWidth="1" min="9" max="9" width="10.6640625"/>
    <col bestFit="1" customWidth="1" min="10" max="10" width="10.796875"/>
    <col bestFit="1" customWidth="1" min="11" max="16" width="10.6640625"/>
    <col bestFit="1" customWidth="1" min="17" max="17" width="11.6640625"/>
    <col bestFit="1" customWidth="1" min="18" max="18" width="10.796875"/>
    <col bestFit="1" customWidth="1" min="19" max="20" width="12.796875"/>
    <col bestFit="1" customWidth="1" min="21" max="23" width="10.796875"/>
    <col bestFit="1" customWidth="1" min="24" max="24" width="12.796875"/>
    <col customWidth="1" min="26" max="26" width="13.6640625"/>
    <col bestFit="1" customWidth="1" min="27" max="29" width="10.6640625"/>
    <col bestFit="1" customWidth="1" min="31" max="33" width="10.6640625"/>
    <col bestFit="1" customWidth="1" min="35" max="37" width="10.6640625"/>
    <col bestFit="1" customWidth="1" min="39" max="41" width="10.6640625"/>
    <col bestFit="1" customWidth="1" min="43" max="45" width="10.6640625"/>
    <col bestFit="1" customWidth="1" min="47" max="49" width="10.6640625"/>
  </cols>
  <sheetData>
    <row r="1">
      <c r="D1" s="27" t="s">
        <v>517</v>
      </c>
      <c r="E1" s="27"/>
      <c r="F1" s="27"/>
      <c r="G1" s="27"/>
      <c r="H1" s="27"/>
      <c r="I1" s="27"/>
      <c r="J1" s="27"/>
      <c r="K1" s="32" t="s">
        <v>518</v>
      </c>
      <c r="L1" s="28"/>
      <c r="M1" s="28"/>
      <c r="N1" s="28"/>
      <c r="O1" s="28"/>
      <c r="P1" s="28"/>
      <c r="Q1" s="33"/>
      <c r="R1" s="29" t="s">
        <v>519</v>
      </c>
      <c r="S1" s="29"/>
      <c r="T1" s="29"/>
      <c r="U1" s="29"/>
      <c r="V1" s="29"/>
      <c r="W1" s="29"/>
      <c r="X1" s="29"/>
    </row>
    <row r="2">
      <c r="D2" s="66" t="s">
        <v>147</v>
      </c>
      <c r="E2" s="66" t="s">
        <v>215</v>
      </c>
      <c r="F2" s="66" t="s">
        <v>779</v>
      </c>
      <c r="G2" s="66" t="s">
        <v>191</v>
      </c>
      <c r="H2" s="66" t="s">
        <v>255</v>
      </c>
      <c r="I2" s="66" t="s">
        <v>760</v>
      </c>
      <c r="J2" s="66" t="s">
        <v>715</v>
      </c>
      <c r="K2" s="67" t="s">
        <v>147</v>
      </c>
      <c r="L2" s="67" t="s">
        <v>215</v>
      </c>
      <c r="M2" s="67" t="s">
        <v>779</v>
      </c>
      <c r="N2" s="67" t="s">
        <v>191</v>
      </c>
      <c r="O2" s="67" t="s">
        <v>255</v>
      </c>
      <c r="P2" s="67" t="s">
        <v>760</v>
      </c>
      <c r="Q2" s="67" t="s">
        <v>715</v>
      </c>
      <c r="R2" s="68" t="s">
        <v>147</v>
      </c>
      <c r="S2" s="68" t="s">
        <v>215</v>
      </c>
      <c r="T2" s="68" t="s">
        <v>731</v>
      </c>
      <c r="U2" s="68" t="s">
        <v>191</v>
      </c>
      <c r="V2" s="68" t="s">
        <v>255</v>
      </c>
      <c r="W2" s="68" t="s">
        <v>723</v>
      </c>
      <c r="X2" s="68" t="s">
        <v>715</v>
      </c>
    </row>
    <row r="3">
      <c r="A3" s="6" t="s">
        <v>803</v>
      </c>
      <c r="B3" t="s">
        <v>550</v>
      </c>
      <c r="C3" t="s">
        <v>804</v>
      </c>
      <c r="D3" s="1">
        <f>(Combined!E2+Combined!E6-Combined!E10)/Combined!E147</f>
        <v>0.21490478488190365</v>
      </c>
      <c r="E3" s="1">
        <f>(Combined!F2+Combined!F6-Combined!F10)/Combined!F147</f>
        <v>0.22950373430557319</v>
      </c>
      <c r="F3" s="1">
        <f>(Combined!G2+Combined!G6-Combined!G10)/Combined!G147</f>
        <v>0.20886280986279518</v>
      </c>
      <c r="G3" s="1">
        <f>(Combined!H2+Combined!H6-Combined!H10)/Combined!H147</f>
        <v>0.19091578355096181</v>
      </c>
      <c r="H3" s="1">
        <f>(Combined!I2+Combined!I6-Combined!I10)/Combined!I147</f>
        <v>0.22343623799551018</v>
      </c>
      <c r="I3" s="1">
        <f>(Combined!J2+Combined!J6-Combined!J10)/Combined!J147</f>
        <v>0.20883823876472007</v>
      </c>
      <c r="J3" s="1">
        <f>(Combined!K2+Combined!K6-Combined!K10)/Combined!K147</f>
        <v>0.16065479922902182</v>
      </c>
      <c r="K3" s="3">
        <f>(Combined!L2+Combined!L6-Combined!L10)/Combined!L147</f>
        <v>0.26910929963763214</v>
      </c>
      <c r="L3" s="3">
        <f>(Combined!M2+Combined!M6-Combined!M10)/Combined!M147</f>
        <v>0.31162453562604753</v>
      </c>
      <c r="M3" s="3">
        <f>(Combined!N2+Combined!N6-Combined!N10)/Combined!N147</f>
        <v>0.24625941140782653</v>
      </c>
      <c r="N3" s="3">
        <f>(Combined!O2+Combined!O6-Combined!O10)/Combined!O147</f>
        <v>0.24774673885043855</v>
      </c>
      <c r="O3" s="3">
        <f>(Combined!P2+Combined!P6-Combined!P10)/Combined!P147</f>
        <v>0.26101783897631242</v>
      </c>
      <c r="P3" s="3">
        <f>(Combined!Q2+Combined!Q6-Combined!Q10)/Combined!Q147</f>
        <v>0.24684179665883821</v>
      </c>
      <c r="Q3" s="3">
        <f>(Combined!R2+Combined!R6-Combined!R10)/Combined!R147</f>
        <v>0.24454521249643676</v>
      </c>
      <c r="R3" s="2">
        <f>(Combined!S2+Combined!S6-Combined!S10)/Combined!S147</f>
        <v>0.23666743714816926</v>
      </c>
      <c r="S3" s="2">
        <f>(Combined!T2+Combined!T6-Combined!T10)/Combined!T147</f>
        <v>0.26677478384827996</v>
      </c>
      <c r="T3" s="2">
        <f>(Combined!U2+Combined!U6-Combined!U10)/Combined!U147</f>
        <v>0.23032624529618181</v>
      </c>
      <c r="U3" s="2">
        <f>(Combined!V2+Combined!V6-Combined!V10)/Combined!V147</f>
        <v>0.21815254162645009</v>
      </c>
      <c r="V3" s="2">
        <f>(Combined!W2+Combined!W6-Combined!W10)/Combined!W147</f>
        <v>0.24283234088180924</v>
      </c>
      <c r="W3" s="2">
        <f>(Combined!X2+Combined!X6-Combined!X10)/Combined!X147</f>
        <v>0.22821464594649898</v>
      </c>
      <c r="X3" s="2">
        <f>(Combined!Y2+Combined!Y6-Combined!Y10)/Combined!Y147</f>
        <v>0.19774771846231243</v>
      </c>
    </row>
    <row r="4">
      <c r="C4" t="s">
        <v>786</v>
      </c>
      <c r="D4" s="1">
        <f>(Combined!E18+Combined!E22-Combined!E26)/Combined!E147</f>
        <v>0</v>
      </c>
      <c r="E4" s="1">
        <f>(Combined!F18+Combined!F22-Combined!F26)/Combined!F147</f>
        <v>0.15680273322656713</v>
      </c>
      <c r="F4" s="1">
        <f>(Combined!G18+Combined!G22-Combined!G26)/Combined!G147</f>
        <v>0.14270033363492762</v>
      </c>
      <c r="G4" s="1">
        <f>(Combined!H18+Combined!H22-Combined!H26)/Combined!H147</f>
        <v>0.0035303469101433714</v>
      </c>
      <c r="H4" s="1">
        <f>(Combined!I18+Combined!I22-Combined!I26)/Combined!I147</f>
        <v>0.22958954779620241</v>
      </c>
      <c r="I4" s="1">
        <f>(Combined!J18+Combined!J22-Combined!J26)/Combined!J147</f>
        <v>0.21458952778067678</v>
      </c>
      <c r="J4" s="1">
        <f>(Combined!K18+Combined!K22-Combined!K26)/Combined!K147</f>
        <v>0.22965114401350417</v>
      </c>
      <c r="K4" s="3">
        <f>(Combined!L18+Combined!L22-Combined!L26)/Combined!L147</f>
        <v>0</v>
      </c>
      <c r="L4" s="3">
        <f>(Combined!M18+Combined!M22-Combined!M26)/Combined!M147</f>
        <v>0.20559118611648786</v>
      </c>
      <c r="M4" s="3">
        <f>(Combined!N18+Combined!N22-Combined!N26)/Combined!N147</f>
        <v>0.16246719592207665</v>
      </c>
      <c r="N4" s="3">
        <f>(Combined!O18+Combined!O22-Combined!O26)/Combined!O147</f>
        <v>0.044400655667565285</v>
      </c>
      <c r="O4" s="3">
        <f>(Combined!P18+Combined!P22-Combined!P26)/Combined!P147</f>
        <v>0.34215448017056427</v>
      </c>
      <c r="P4" s="3">
        <f>(Combined!Q18+Combined!Q22-Combined!Q26)/Combined!Q147</f>
        <v>0.32357185605171435</v>
      </c>
      <c r="Q4" s="3">
        <f>(Combined!R18+Combined!R22-Combined!R26)/Combined!R147</f>
        <v>0.2190160850199864</v>
      </c>
      <c r="R4" s="2">
        <f>(Combined!S18+Combined!S22-Combined!S26)/Combined!S147</f>
        <v>0</v>
      </c>
      <c r="S4" s="2">
        <f>(Combined!T18+Combined!T22-Combined!T26)/Combined!T147</f>
        <v>0.18540421883406738</v>
      </c>
      <c r="T4" s="2">
        <f>(Combined!U18+Combined!U22-Combined!U26)/Combined!U147</f>
        <v>0.16007306601514731</v>
      </c>
      <c r="U4" s="2">
        <f>(Combined!V18+Combined!V22-Combined!V26)/Combined!V147</f>
        <v>0.02692776740933675</v>
      </c>
      <c r="V4" s="2">
        <f>(Combined!W18+Combined!W22-Combined!W26)/Combined!W147</f>
        <v>0.29171389443434098</v>
      </c>
      <c r="W4" s="2">
        <f>(Combined!X18+Combined!X22-Combined!X26)/Combined!X147</f>
        <v>0.27415369342590962</v>
      </c>
      <c r="X4" s="2">
        <f>(Combined!Y18+Combined!Y22-Combined!Y26)/Combined!Y147</f>
        <v>0.22622190136268644</v>
      </c>
    </row>
    <row r="5">
      <c r="C5" t="s">
        <v>377</v>
      </c>
      <c r="D5" s="66">
        <f>(Combined!E34+Combined!E38-Combined!E42)/Combined!E147</f>
        <v>0.0006169546520925866</v>
      </c>
      <c r="E5" s="66">
        <f>(Combined!F34+Combined!F38-Combined!F42)/Combined!F147</f>
        <v>0.00065886572339579424</v>
      </c>
      <c r="F5" s="66">
        <f>(Combined!G34+Combined!G38-Combined!G42)/Combined!G147</f>
        <v>0.0005996091816419173</v>
      </c>
      <c r="G5" s="66">
        <f>(Combined!H34+Combined!H38-Combined!H42)/Combined!H147</f>
        <v>0.00054808635779974039</v>
      </c>
      <c r="H5" s="66">
        <f>(Combined!I34+Combined!I38-Combined!I42)/Combined!I147</f>
        <v>0.00048720968346756797</v>
      </c>
      <c r="I5" s="66">
        <f>(Combined!J34+Combined!J38-Combined!J42)/Combined!J147</f>
        <v>0.00045537829099381909</v>
      </c>
      <c r="J5" s="66">
        <f>(Combined!K34+Combined!K38-Combined!K42)/Combined!K147</f>
        <v>0.00046121227975363667</v>
      </c>
      <c r="K5" s="67">
        <f>(Combined!L34+Combined!L38-Combined!L42)/Combined!L147</f>
        <v>0.0011869983549572939</v>
      </c>
      <c r="L5" s="67">
        <f>(Combined!M34+Combined!M38-Combined!M42)/Combined!M147</f>
        <v>0.002090149472491607</v>
      </c>
      <c r="M5" s="67">
        <f>(Combined!N34+Combined!N38-Combined!N42)/Combined!N147</f>
        <v>0.0016517280252535379</v>
      </c>
      <c r="N5" s="67">
        <f>(Combined!O34+Combined!O38-Combined!O42)/Combined!O147</f>
        <v>0.0010100246313797677</v>
      </c>
      <c r="O5" s="67">
        <f>(Combined!P34+Combined!P38-Combined!P42)/Combined!P147</f>
        <v>0.00020732323542421537</v>
      </c>
      <c r="P5" s="67">
        <f>(Combined!Q34+Combined!Q38-Combined!Q42)/Combined!Q147</f>
        <v>0.00019606338065606652</v>
      </c>
      <c r="Q5" s="67">
        <f>(Combined!R34+Combined!R38-Combined!R42)/Combined!R147</f>
        <v>0.001449057813967715</v>
      </c>
      <c r="R5" s="68">
        <f>(Combined!S34+Combined!S38-Combined!S42)/Combined!S147</f>
        <v>0.00077489527054820434</v>
      </c>
      <c r="S5" s="68">
        <f>(Combined!T34+Combined!T38-Combined!T42)/Combined!T147</f>
        <v>0.00087347258582151752</v>
      </c>
      <c r="T5" s="68">
        <f>(Combined!U34+Combined!U38-Combined!U42)/Combined!U147</f>
        <v>0.00075413297373650638</v>
      </c>
      <c r="U5" s="68">
        <f>(Combined!V34+Combined!V38-Combined!V42)/Combined!V147</f>
        <v>0.00071427389758983045</v>
      </c>
      <c r="V5" s="68">
        <f>(Combined!W34+Combined!W38-Combined!W42)/Combined!W147</f>
        <v>0.00062359109671603216</v>
      </c>
      <c r="W5" s="68">
        <f>(Combined!X34+Combined!X38-Combined!X42)/Combined!X147</f>
        <v>0.00058605299786532281</v>
      </c>
      <c r="X5" s="68">
        <f>(Combined!Y34+Combined!Y38-Combined!Y42)/Combined!Y147</f>
        <v>0.00064746453354378971</v>
      </c>
    </row>
    <row r="6">
      <c r="C6" t="s">
        <v>787</v>
      </c>
      <c r="D6" s="66">
        <f>(Combined!E50+Combined!E54-Combined!E58)/Combined!E147</f>
        <v>0.11921829025943702</v>
      </c>
      <c r="E6" s="66">
        <f>(Combined!F50+Combined!F54-Combined!F58)/Combined!F147</f>
        <v>0</v>
      </c>
      <c r="F6" s="66">
        <f>(Combined!G50+Combined!G54-Combined!G58)/Combined!G147</f>
        <v>0</v>
      </c>
      <c r="G6" s="66">
        <f>(Combined!H50+Combined!H54-Combined!H58)/Combined!H147</f>
        <v>0</v>
      </c>
      <c r="H6" s="66">
        <f>(Combined!I50+Combined!I54-Combined!I58)/Combined!I147</f>
        <v>0.0092805308473469655</v>
      </c>
      <c r="I6" s="66">
        <f>(Combined!J50+Combined!J54-Combined!J58)/Combined!J147</f>
        <v>0.0086741959780066696</v>
      </c>
      <c r="J6" s="66">
        <f>(Combined!K50+Combined!K54-Combined!K58)/Combined!K147</f>
        <v>0</v>
      </c>
      <c r="K6" s="67">
        <f>(Combined!L50+Combined!L54-Combined!L58)/Combined!L147</f>
        <v>0.21530897060716642</v>
      </c>
      <c r="L6" s="67">
        <f>(Combined!M50+Combined!M54-Combined!M58)/Combined!M147</f>
        <v>0</v>
      </c>
      <c r="M6" s="67">
        <f>(Combined!N50+Combined!N54-Combined!N58)/Combined!N147</f>
        <v>0</v>
      </c>
      <c r="N6" s="67">
        <f>(Combined!O50+Combined!O54-Combined!O58)/Combined!O147</f>
        <v>0</v>
      </c>
      <c r="O6" s="67">
        <f>(Combined!P50+Combined!P54-Combined!P58)/Combined!P147</f>
        <v>0.045855613951358572</v>
      </c>
      <c r="P6" s="67">
        <f>(Combined!Q50+Combined!Q54-Combined!Q58)/Combined!Q147</f>
        <v>0.043365166837024703</v>
      </c>
      <c r="Q6" s="67">
        <f>(Combined!R50+Combined!R54-Combined!R58)/Combined!R147</f>
        <v>0</v>
      </c>
      <c r="R6" s="68">
        <f>(Combined!S50+Combined!S54-Combined!S58)/Combined!S147</f>
        <v>0.17692863702954983</v>
      </c>
      <c r="S6" s="68">
        <f>(Combined!T50+Combined!T54-Combined!T58)/Combined!T147</f>
        <v>0</v>
      </c>
      <c r="T6" s="68">
        <f>(Combined!U50+Combined!U54-Combined!U58)/Combined!U147</f>
        <v>0</v>
      </c>
      <c r="U6" s="68">
        <f>(Combined!V50+Combined!V54-Combined!V58)/Combined!V147</f>
        <v>0</v>
      </c>
      <c r="V6" s="68">
        <f>(Combined!W50+Combined!W54-Combined!W58)/Combined!W147</f>
        <v>0.023596470640142437</v>
      </c>
      <c r="W6" s="68">
        <f>(Combined!X50+Combined!X54-Combined!X58)/Combined!X147</f>
        <v>0.022176042009775243</v>
      </c>
      <c r="X6" s="68">
        <f>(Combined!Y50+Combined!Y54-Combined!Y58)/Combined!Y147</f>
        <v>0</v>
      </c>
    </row>
    <row r="7">
      <c r="C7" t="s">
        <v>805</v>
      </c>
      <c r="D7" s="66">
        <f>(Combined!E66+Combined!E70-Combined!E74)/Combined!E147</f>
        <v>0</v>
      </c>
      <c r="E7" s="66">
        <f>(Combined!F66+Combined!F70-Combined!F74)/Combined!F147</f>
        <v>0</v>
      </c>
      <c r="F7" s="66">
        <f>(Combined!G66+Combined!G70-Combined!G74)/Combined!G147</f>
        <v>0</v>
      </c>
      <c r="G7" s="66">
        <f>(Combined!H66+Combined!H70-Combined!H74)/Combined!H147</f>
        <v>0</v>
      </c>
      <c r="H7" s="66">
        <f>(Combined!I66+Combined!I70-Combined!I74)/Combined!I147</f>
        <v>0</v>
      </c>
      <c r="I7" s="66">
        <f>(Combined!J66+Combined!J70-Combined!J74)/Combined!J147</f>
        <v>0</v>
      </c>
      <c r="J7" s="66">
        <f>(Combined!K66+Combined!K70-Combined!K74)/Combined!K147</f>
        <v>0</v>
      </c>
      <c r="K7" s="67">
        <f>(Combined!L66+Combined!L70-Combined!L74)/Combined!L147</f>
        <v>0</v>
      </c>
      <c r="L7" s="67">
        <f>(Combined!M66+Combined!M70-Combined!M74)/Combined!M147</f>
        <v>0</v>
      </c>
      <c r="M7" s="67">
        <f>(Combined!N66+Combined!N70-Combined!N74)/Combined!N147</f>
        <v>0</v>
      </c>
      <c r="N7" s="67">
        <f>(Combined!O66+Combined!O70-Combined!O74)/Combined!O147</f>
        <v>0</v>
      </c>
      <c r="O7" s="67">
        <f>(Combined!P66+Combined!P70-Combined!P74)/Combined!P147</f>
        <v>0</v>
      </c>
      <c r="P7" s="67">
        <f>(Combined!Q66+Combined!Q70-Combined!Q74)/Combined!Q147</f>
        <v>0</v>
      </c>
      <c r="Q7" s="67">
        <f>(Combined!R66+Combined!R70-Combined!R74)/Combined!R147</f>
        <v>0</v>
      </c>
      <c r="R7" s="68">
        <f>(Combined!S66+Combined!S70-Combined!S74)/Combined!S147</f>
        <v>0</v>
      </c>
      <c r="S7" s="68">
        <f>(Combined!T66+Combined!T70-Combined!T74)/Combined!T147</f>
        <v>0</v>
      </c>
      <c r="T7" s="68">
        <f>(Combined!U66+Combined!U70-Combined!U74)/Combined!U147</f>
        <v>0</v>
      </c>
      <c r="U7" s="68">
        <f>(Combined!V66+Combined!V70-Combined!V74)/Combined!V147</f>
        <v>0</v>
      </c>
      <c r="V7" s="68">
        <f>(Combined!W66+Combined!W70-Combined!W74)/Combined!W147</f>
        <v>0</v>
      </c>
      <c r="W7" s="68">
        <f>(Combined!X66+Combined!X70-Combined!X74)/Combined!X147</f>
        <v>0</v>
      </c>
      <c r="X7" s="68">
        <f>(Combined!Y66+Combined!Y70-Combined!Y74)/Combined!Y147</f>
        <v>0</v>
      </c>
    </row>
    <row r="8">
      <c r="C8" t="s">
        <v>806</v>
      </c>
      <c r="D8" s="66">
        <f>(Combined!E82+Combined!E86-Combined!E90)/Combined!E147</f>
        <v>0</v>
      </c>
      <c r="E8" s="66">
        <f>(Combined!F82+Combined!F86-Combined!F90)/Combined!F147</f>
        <v>0</v>
      </c>
      <c r="F8" s="66">
        <f>(Combined!G82+Combined!G86-Combined!G90)/Combined!G147</f>
        <v>0</v>
      </c>
      <c r="G8" s="66">
        <f>(Combined!H82+Combined!H86-Combined!H90)/Combined!H147</f>
        <v>0</v>
      </c>
      <c r="H8" s="66">
        <f>(Combined!I82+Combined!I86-Combined!I90)/Combined!I147</f>
        <v>0</v>
      </c>
      <c r="I8" s="66">
        <f>(Combined!J82+Combined!J86-Combined!J90)/Combined!J147</f>
        <v>0</v>
      </c>
      <c r="J8" s="66">
        <f>(Combined!K82+Combined!K86-Combined!K90)/Combined!K147</f>
        <v>0</v>
      </c>
      <c r="K8" s="67">
        <f>(Combined!L82+Combined!L86-Combined!L90)/Combined!L147</f>
        <v>0</v>
      </c>
      <c r="L8" s="67">
        <f>(Combined!M82+Combined!M86-Combined!M90)/Combined!M147</f>
        <v>0</v>
      </c>
      <c r="M8" s="67">
        <f>(Combined!N82+Combined!N86-Combined!N90)/Combined!N147</f>
        <v>0</v>
      </c>
      <c r="N8" s="67">
        <f>(Combined!O82+Combined!O86-Combined!O90)/Combined!O147</f>
        <v>0</v>
      </c>
      <c r="O8" s="67">
        <f>(Combined!P82+Combined!P86-Combined!P90)/Combined!P147</f>
        <v>0</v>
      </c>
      <c r="P8" s="67">
        <f>(Combined!Q82+Combined!Q86-Combined!Q90)/Combined!Q147</f>
        <v>0</v>
      </c>
      <c r="Q8" s="67">
        <f>(Combined!R82+Combined!R86-Combined!R90)/Combined!R147</f>
        <v>0</v>
      </c>
      <c r="R8" s="68">
        <f>(Combined!S82+Combined!S86-Combined!S90)/Combined!S147</f>
        <v>0</v>
      </c>
      <c r="S8" s="68">
        <f>(Combined!T82+Combined!T86-Combined!T90)/Combined!T147</f>
        <v>0</v>
      </c>
      <c r="T8" s="68">
        <f>(Combined!U82+Combined!U86-Combined!U90)/Combined!U147</f>
        <v>0</v>
      </c>
      <c r="U8" s="68">
        <f>(Combined!V82+Combined!V86-Combined!V90)/Combined!V147</f>
        <v>0</v>
      </c>
      <c r="V8" s="68">
        <f>(Combined!W82+Combined!W86-Combined!W90)/Combined!W147</f>
        <v>0</v>
      </c>
      <c r="W8" s="68">
        <f>(Combined!X82+Combined!X86-Combined!X90)/Combined!X147</f>
        <v>0</v>
      </c>
      <c r="X8" s="68">
        <f>(Combined!Y82+Combined!Y86-Combined!Y90)/Combined!Y147</f>
        <v>0</v>
      </c>
    </row>
    <row r="9">
      <c r="C9" t="s">
        <v>807</v>
      </c>
      <c r="D9" s="66">
        <f>(Combined!E98+Combined!E102-Combined!E106)/Combined!E147</f>
        <v>0.0010155950082204991</v>
      </c>
      <c r="E9" s="66">
        <f>(Combined!F98+Combined!F102-Combined!F106)/Combined!F147</f>
        <v>2.6657859439193246e-05</v>
      </c>
      <c r="F9" s="66">
        <f>(Combined!G98+Combined!G102-Combined!G106)/Combined!G147</f>
        <v>2.4260326065039242e-05</v>
      </c>
      <c r="G9" s="66">
        <f>(Combined!H98+Combined!H102-Combined!H106)/Combined!H147</f>
        <v>0</v>
      </c>
      <c r="H9" s="66">
        <f>(Combined!I98+Combined!I102-Combined!I106)/Combined!I147</f>
        <v>0.00013871630785703291</v>
      </c>
      <c r="I9" s="66">
        <f>(Combined!J98+Combined!J102-Combined!J106)/Combined!J147</f>
        <v>0.00012965340663043915</v>
      </c>
      <c r="J9" s="66">
        <f>(Combined!K98+Combined!K102-Combined!K106)/Combined!K147</f>
        <v>0</v>
      </c>
      <c r="K9" s="67">
        <f>(Combined!L98+Combined!L102-Combined!L106)/Combined!L147</f>
        <v>0.023318031239418901</v>
      </c>
      <c r="L9" s="67">
        <f>(Combined!M98+Combined!M102-Combined!M106)/Combined!M147</f>
        <v>0.00051349286791543011</v>
      </c>
      <c r="M9" s="67">
        <f>(Combined!N98+Combined!N102-Combined!N106)/Combined!N147</f>
        <v>0.00040578464452720376</v>
      </c>
      <c r="N9" s="67">
        <f>(Combined!O98+Combined!O102-Combined!O106)/Combined!O147</f>
        <v>0</v>
      </c>
      <c r="O9" s="67">
        <f>(Combined!P98+Combined!P102-Combined!P106)/Combined!P147</f>
        <v>0.0027409583645905673</v>
      </c>
      <c r="P9" s="67">
        <f>(Combined!Q98+Combined!Q102-Combined!Q106)/Combined!Q147</f>
        <v>0.0025920951990718419</v>
      </c>
      <c r="Q9" s="67">
        <f>(Combined!R98+Combined!R102-Combined!R106)/Combined!R147</f>
        <v>0</v>
      </c>
      <c r="R9" s="68">
        <f>(Combined!S98+Combined!S102-Combined!S106)/Combined!S147</f>
        <v>0.009410504944013031</v>
      </c>
      <c r="S9" s="68">
        <f>(Combined!T98+Combined!T102-Combined!T106)/Combined!T147</f>
        <v>0.00021231284491494352</v>
      </c>
      <c r="T9" s="68">
        <f>(Combined!U98+Combined!U102-Combined!U106)/Combined!U147</f>
        <v>0.00018330525731105295</v>
      </c>
      <c r="U9" s="68">
        <f>(Combined!V98+Combined!V102-Combined!V106)/Combined!V147</f>
        <v>0</v>
      </c>
      <c r="V9" s="68">
        <f>(Combined!W98+Combined!W102-Combined!W106)/Combined!W147</f>
        <v>0.0010338924824282651</v>
      </c>
      <c r="W9" s="68">
        <f>(Combined!X98+Combined!X102-Combined!X106)/Combined!X147</f>
        <v>0.00097165561212851029</v>
      </c>
      <c r="X9" s="68">
        <f>(Combined!Y98+Combined!Y102-Combined!Y106)/Combined!Y147</f>
        <v>0</v>
      </c>
    </row>
    <row r="10">
      <c r="C10" t="s">
        <v>791</v>
      </c>
      <c r="D10" s="66">
        <f>(Combined!E114+Combined!E118-Combined!E122)/Combined!E147</f>
        <v>0.0019867728071734777</v>
      </c>
      <c r="E10" s="66">
        <f>(Combined!F114+Combined!F118-Combined!F122)/Combined!F147</f>
        <v>0</v>
      </c>
      <c r="F10" s="66">
        <f>(Combined!G114+Combined!G118-Combined!G122)/Combined!G147</f>
        <v>0.10109472082039705</v>
      </c>
      <c r="G10" s="66">
        <f>(Combined!H114+Combined!H118-Combined!H122)/Combined!H147</f>
        <v>0.22255679373143605</v>
      </c>
      <c r="H10" s="66">
        <f>(Combined!I114+Combined!I118-Combined!I122)/Combined!I147</f>
        <v>0</v>
      </c>
      <c r="I10" s="66">
        <f>(Combined!J114+Combined!J118-Combined!J122)/Combined!J147</f>
        <v>0.26612564543151868</v>
      </c>
      <c r="J10" s="66">
        <f>(Combined!K114+Combined!K118-Combined!K122)/Combined!K147</f>
        <v>0</v>
      </c>
      <c r="K10" s="67">
        <f>(Combined!L114+Combined!L118-Combined!L122)/Combined!L147</f>
        <v>0.022228498125483859</v>
      </c>
      <c r="L10" s="67">
        <f>(Combined!M114+Combined!M118-Combined!M122)/Combined!M147</f>
        <v>0</v>
      </c>
      <c r="M10" s="67">
        <f>(Combined!N114+Combined!N118-Combined!N122)/Combined!N147</f>
        <v>0.2173452231466946</v>
      </c>
      <c r="N10" s="67">
        <f>(Combined!O114+Combined!O118-Combined!O122)/Combined!O147</f>
        <v>0.31044779868991457</v>
      </c>
      <c r="O10" s="67">
        <f>(Combined!P114+Combined!P118-Combined!P122)/Combined!P147</f>
        <v>0</v>
      </c>
      <c r="P10" s="67">
        <f>(Combined!Q114+Combined!Q118-Combined!Q122)/Combined!Q147</f>
        <v>0.20241570432288011</v>
      </c>
      <c r="Q10" s="67">
        <f>(Combined!R114+Combined!R118-Combined!R122)/Combined!R147</f>
        <v>0</v>
      </c>
      <c r="R10" s="68">
        <f>(Combined!S114+Combined!S118-Combined!S122)/Combined!S147</f>
        <v>0.022217656612374577</v>
      </c>
      <c r="S10" s="68">
        <f>(Combined!T114+Combined!T118-Combined!T122)/Combined!T147</f>
        <v>0</v>
      </c>
      <c r="T10" s="68">
        <f>(Combined!U114+Combined!U118-Combined!U122)/Combined!U147</f>
        <v>0.1460673582431313</v>
      </c>
      <c r="U10" s="68">
        <f>(Combined!V114+Combined!V118-Combined!V122)/Combined!V147</f>
        <v>0.26795351427291525</v>
      </c>
      <c r="V10" s="68">
        <f>(Combined!W114+Combined!W118-Combined!W122)/Combined!W147</f>
        <v>0</v>
      </c>
      <c r="W10" s="68">
        <f>(Combined!X114+Combined!X118-Combined!X122)/Combined!X147</f>
        <v>0.23533018697153657</v>
      </c>
      <c r="X10" s="68">
        <f>(Combined!Y114+Combined!Y118-Combined!Y122)/Combined!Y147</f>
        <v>0</v>
      </c>
    </row>
    <row r="11">
      <c r="C11" t="s">
        <v>793</v>
      </c>
      <c r="D11" s="66">
        <f>(Combined!E130+Combined!E134-Combined!E138)/Combined!E147</f>
        <v>0.2516578889086456</v>
      </c>
      <c r="E11" s="66">
        <f>(Combined!F130+Combined!F134-Combined!F138)/Combined!F147</f>
        <v>0.23294304337630939</v>
      </c>
      <c r="F11" s="66">
        <f>(Combined!G130+Combined!G134-Combined!G138)/Combined!G147</f>
        <v>0.20775294114618581</v>
      </c>
      <c r="G11" s="66">
        <f>(Combined!H130+Combined!H134-Combined!H138)/Combined!H147</f>
        <v>0.22133061599087042</v>
      </c>
      <c r="H11" s="66">
        <f>(Combined!I130+Combined!I134-Combined!I138)/Combined!I147</f>
        <v>0.19334439265306178</v>
      </c>
      <c r="I11" s="66">
        <f>(Combined!J130+Combined!J134-Combined!J138)/Combined!J147</f>
        <v>0.11445119693203244</v>
      </c>
      <c r="J11" s="66">
        <f>(Combined!K130+Combined!K134-Combined!K138)/Combined!K147</f>
        <v>0.30461642223886026</v>
      </c>
      <c r="K11" s="67">
        <f>(Combined!L130+Combined!L134-Combined!L138)/Combined!L147</f>
        <v>0.22035865495661039</v>
      </c>
      <c r="L11" s="67">
        <f>(Combined!M130+Combined!M134-Combined!M138)/Combined!M147</f>
        <v>0.22568489888101703</v>
      </c>
      <c r="M11" s="67">
        <f>(Combined!N130+Combined!N134-Combined!N138)/Combined!N147</f>
        <v>0.17477920872120206</v>
      </c>
      <c r="N11" s="67">
        <f>(Combined!O130+Combined!O134-Combined!O138)/Combined!O147</f>
        <v>0.18630554761552987</v>
      </c>
      <c r="O11" s="67">
        <f>(Combined!P130+Combined!P134-Combined!P138)/Combined!P147</f>
        <v>0.15661070338578748</v>
      </c>
      <c r="P11" s="67">
        <f>(Combined!Q130+Combined!Q134-Combined!Q138)/Combined!Q147</f>
        <v>0.085078139248412912</v>
      </c>
      <c r="Q11" s="67">
        <f>(Combined!R130+Combined!R134-Combined!R138)/Combined!R147</f>
        <v>0.29424430456828499</v>
      </c>
      <c r="R11" s="68">
        <f>(Combined!S130+Combined!S134-Combined!S138)/Combined!S147</f>
        <v>0.22894085911232637</v>
      </c>
      <c r="S11" s="68">
        <f>(Combined!T130+Combined!T134-Combined!T138)/Combined!T147</f>
        <v>0.22593832631226812</v>
      </c>
      <c r="T11" s="68">
        <f>(Combined!U130+Combined!U134-Combined!U138)/Combined!U147</f>
        <v>0.19116775245763876</v>
      </c>
      <c r="U11" s="68">
        <f>(Combined!V130+Combined!V134-Combined!V138)/Combined!V147</f>
        <v>0.20094359882949983</v>
      </c>
      <c r="V11" s="68">
        <f>(Combined!W130+Combined!W134-Combined!W138)/Combined!W147</f>
        <v>0.1731085754651894</v>
      </c>
      <c r="W11" s="68">
        <f>(Combined!X130+Combined!X134-Combined!X138)/Combined!X147</f>
        <v>0.098588111544745061</v>
      </c>
      <c r="X11" s="68">
        <f>(Combined!Y130+Combined!Y134-Combined!Y138)/Combined!Y147</f>
        <v>0.30207603071176509</v>
      </c>
    </row>
    <row r="12">
      <c r="C12" t="s">
        <v>808</v>
      </c>
      <c r="D12" s="66">
        <f>1-SUM(D3:D11)</f>
        <v>0.41059971348252722</v>
      </c>
      <c r="E12" s="66">
        <f t="shared" ref="E12:J12" si="474">1-SUM(E3:E11)</f>
        <v>0.38006496550871538</v>
      </c>
      <c r="F12" s="66">
        <f t="shared" si="474"/>
        <v>0.33896532502798737</v>
      </c>
      <c r="G12" s="66">
        <f t="shared" si="474"/>
        <v>0.36111837345878861</v>
      </c>
      <c r="H12" s="66">
        <f t="shared" si="474"/>
        <v>0.34372336471655407</v>
      </c>
      <c r="I12" s="66">
        <f t="shared" si="474"/>
        <v>0.1867361634154211</v>
      </c>
      <c r="J12" s="66">
        <f t="shared" si="474"/>
        <v>0.3046164222388601</v>
      </c>
      <c r="K12" s="67">
        <f t="shared" ref="K12:X12" si="475">1-SUM(K3:K11)</f>
        <v>0.24848954707873094</v>
      </c>
      <c r="L12" s="67">
        <f t="shared" si="475"/>
        <v>0.25449573703604045</v>
      </c>
      <c r="M12" s="67">
        <f t="shared" si="475"/>
        <v>0.1970914481324193</v>
      </c>
      <c r="N12" s="67">
        <f t="shared" si="475"/>
        <v>0.21008923454517203</v>
      </c>
      <c r="O12" s="67">
        <f t="shared" si="475"/>
        <v>0.19141308191596251</v>
      </c>
      <c r="P12" s="67">
        <f t="shared" si="475"/>
        <v>0.095939178301401751</v>
      </c>
      <c r="Q12" s="67">
        <f t="shared" si="475"/>
        <v>0.2407453401013242</v>
      </c>
      <c r="R12" s="68">
        <f t="shared" si="475"/>
        <v>0.32506000988301875</v>
      </c>
      <c r="S12" s="68">
        <f t="shared" si="475"/>
        <v>0.32079688557464803</v>
      </c>
      <c r="T12" s="68">
        <f t="shared" si="475"/>
        <v>0.27142813975685331</v>
      </c>
      <c r="U12" s="68">
        <f t="shared" si="475"/>
        <v>0.28530830396420825</v>
      </c>
      <c r="V12" s="68">
        <f t="shared" si="475"/>
        <v>0.26709123499937359</v>
      </c>
      <c r="W12" s="68">
        <f t="shared" si="475"/>
        <v>0.13997961149154059</v>
      </c>
      <c r="X12" s="68">
        <f t="shared" si="475"/>
        <v>0.27330688492969224</v>
      </c>
    </row>
    <row r="13">
      <c r="D13" s="66" t="s">
        <v>147</v>
      </c>
      <c r="E13" s="66" t="s">
        <v>215</v>
      </c>
      <c r="F13" s="66" t="s">
        <v>779</v>
      </c>
      <c r="G13" s="66" t="s">
        <v>191</v>
      </c>
      <c r="H13" s="66" t="s">
        <v>255</v>
      </c>
      <c r="I13" s="66" t="s">
        <v>760</v>
      </c>
      <c r="J13" s="66" t="s">
        <v>558</v>
      </c>
      <c r="K13" s="67" t="s">
        <v>147</v>
      </c>
      <c r="L13" s="67" t="s">
        <v>215</v>
      </c>
      <c r="M13" s="67" t="s">
        <v>779</v>
      </c>
      <c r="N13" s="67" t="s">
        <v>191</v>
      </c>
      <c r="O13" s="67" t="s">
        <v>255</v>
      </c>
      <c r="P13" s="67" t="s">
        <v>760</v>
      </c>
      <c r="Q13" s="67" t="s">
        <v>558</v>
      </c>
      <c r="R13" s="68" t="s">
        <v>147</v>
      </c>
      <c r="S13" s="68" t="s">
        <v>215</v>
      </c>
      <c r="T13" s="68" t="s">
        <v>731</v>
      </c>
      <c r="U13" s="68" t="s">
        <v>191</v>
      </c>
      <c r="V13" s="68" t="s">
        <v>255</v>
      </c>
      <c r="W13" s="68" t="s">
        <v>809</v>
      </c>
      <c r="X13" s="68" t="s">
        <v>558</v>
      </c>
    </row>
    <row r="14">
      <c r="B14" t="s">
        <v>551</v>
      </c>
      <c r="C14" t="s">
        <v>804</v>
      </c>
      <c r="D14" s="1">
        <f>(Combined!E3+Combined!E7-Combined!E11)/Combined!E148</f>
        <v>0.21025079694423021</v>
      </c>
      <c r="E14" s="1">
        <f>(Combined!F3+Combined!F7-Combined!F11)/Combined!F148</f>
        <v>0.22634569503378577</v>
      </c>
      <c r="F14" s="1">
        <f>(Combined!G3+Combined!G7-Combined!G11)/Combined!G148</f>
        <v>0.20624403571110633</v>
      </c>
      <c r="G14" s="1">
        <f>(Combined!H3+Combined!H7-Combined!H11)/Combined!H148</f>
        <v>0.18585933236967636</v>
      </c>
      <c r="H14" s="1">
        <f>(Combined!I3+Combined!I7-Combined!I11)/Combined!I148</f>
        <v>0.22177826618955401</v>
      </c>
      <c r="I14" s="1">
        <f>(Combined!J3+Combined!J7-Combined!J11)/Combined!J148</f>
        <v>0.20738913140817761</v>
      </c>
      <c r="J14" s="1">
        <f>(Combined!K3+Combined!K7-Combined!K11)/Combined!K148</f>
        <v>0.15823935951988577</v>
      </c>
      <c r="K14" s="3">
        <f>(Combined!L3+Combined!L7-Combined!L11)/Combined!L148</f>
        <v>0.26178448688469663</v>
      </c>
      <c r="L14" s="3">
        <f>(Combined!M3+Combined!M7-Combined!M11)/Combined!M148</f>
        <v>0.30839735011963726</v>
      </c>
      <c r="M14" s="3">
        <f>(Combined!N3+Combined!N7-Combined!N11)/Combined!N148</f>
        <v>0.2442396934282125</v>
      </c>
      <c r="N14" s="3">
        <f>(Combined!O3+Combined!O7-Combined!O11)/Combined!O148</f>
        <v>0.24278907720863671</v>
      </c>
      <c r="O14" s="3">
        <f>(Combined!P3+Combined!P7-Combined!P11)/Combined!P148</f>
        <v>0.25940741015391688</v>
      </c>
      <c r="P14" s="3">
        <f>(Combined!Q3+Combined!Q7-Combined!Q11)/Combined!Q148</f>
        <v>0.24540106167053408</v>
      </c>
      <c r="Q14" s="3">
        <f>(Combined!R3+Combined!R7-Combined!R11)/Combined!R148</f>
        <v>0.24130983391446573</v>
      </c>
      <c r="R14" s="2">
        <f>(Combined!S3+Combined!S7-Combined!S11)/Combined!S148</f>
        <v>0.23132176489198952</v>
      </c>
      <c r="S14" s="2">
        <f>(Combined!T3+Combined!T7-Combined!T11)/Combined!T148</f>
        <v>0.26347110203481167</v>
      </c>
      <c r="T14" s="2">
        <f>(Combined!U3+Combined!U7-Combined!U11)/Combined!U148</f>
        <v>0.22785946231178392</v>
      </c>
      <c r="U14" s="2">
        <f>(Combined!V3+Combined!V7-Combined!V11)/Combined!V148</f>
        <v>0.21307026144350227</v>
      </c>
      <c r="V14" s="2">
        <f>(Combined!W3+Combined!W7-Combined!W11)/Combined!W148</f>
        <v>0.24124190079960509</v>
      </c>
      <c r="W14" s="2">
        <f>(Combined!X3+Combined!X7-Combined!X11)/Combined!X148</f>
        <v>0.22680936698989826</v>
      </c>
      <c r="X14" s="2">
        <f>(Combined!Y3+Combined!Y7-Combined!Y11)/Combined!Y148</f>
        <v>0.19493743207315783</v>
      </c>
    </row>
    <row r="15">
      <c r="A15" s="6"/>
      <c r="C15" t="s">
        <v>786</v>
      </c>
      <c r="D15" s="1">
        <f>(Combined!E19+Combined!E23-Combined!E27)/Combined!E148</f>
        <v>0</v>
      </c>
      <c r="E15" s="1">
        <f>(Combined!F19+Combined!F23-Combined!F27)/Combined!F148</f>
        <v>0.1546450812347534</v>
      </c>
      <c r="F15" s="1">
        <f>(Combined!G19+Combined!G23-Combined!G27)/Combined!G148</f>
        <v>0.14091112115901575</v>
      </c>
      <c r="G15" s="1">
        <f>(Combined!H19+Combined!H23-Combined!H27)/Combined!H148</f>
        <v>0.0034368448095202426</v>
      </c>
      <c r="H15" s="1">
        <f>(Combined!I19+Combined!I23-Combined!I27)/Combined!I148</f>
        <v>0.22788591636826916</v>
      </c>
      <c r="I15" s="1">
        <f>(Combined!J19+Combined!J23-Combined!J27)/Combined!J148</f>
        <v>0.21310051281299985</v>
      </c>
      <c r="J15" s="1">
        <f>(Combined!K19+Combined!K23-Combined!K27)/Combined!K148</f>
        <v>0.22619834649260359</v>
      </c>
      <c r="K15" s="3">
        <f>(Combined!L19+Combined!L23-Combined!L27)/Combined!L148</f>
        <v>0</v>
      </c>
      <c r="L15" s="3">
        <f>(Combined!M19+Combined!M23-Combined!M27)/Combined!M148</f>
        <v>0.20346208259532922</v>
      </c>
      <c r="M15" s="3">
        <f>(Combined!N19+Combined!N23-Combined!N27)/Combined!N148</f>
        <v>0.16113470708510025</v>
      </c>
      <c r="N15" s="3">
        <f>(Combined!O19+Combined!O23-Combined!O27)/Combined!O148</f>
        <v>0.043512153851172769</v>
      </c>
      <c r="O15" s="3">
        <f>(Combined!P19+Combined!P23-Combined!P27)/Combined!P148</f>
        <v>0.34004345420107707</v>
      </c>
      <c r="P15" s="3">
        <f>(Combined!Q19+Combined!Q23-Combined!Q27)/Combined!Q148</f>
        <v>0.32168327275441921</v>
      </c>
      <c r="Q15" s="3">
        <f>(Combined!R19+Combined!R23-Combined!R27)/Combined!R148</f>
        <v>0.2161184615361853</v>
      </c>
      <c r="R15" s="2">
        <f>(Combined!S19+Combined!S23-Combined!S27)/Combined!S148</f>
        <v>0</v>
      </c>
      <c r="S15" s="2">
        <f>(Combined!T19+Combined!T23-Combined!T27)/Combined!T148</f>
        <v>0.18310821267836269</v>
      </c>
      <c r="T15" s="2">
        <f>(Combined!U19+Combined!U23-Combined!U27)/Combined!U148</f>
        <v>0.15835869119434118</v>
      </c>
      <c r="U15" s="2">
        <f>(Combined!V19+Combined!V23-Combined!V27)/Combined!V148</f>
        <v>0.026300433628785015</v>
      </c>
      <c r="V15" s="2">
        <f>(Combined!W19+Combined!W23-Combined!W27)/Combined!W148</f>
        <v>0.2898033026714833</v>
      </c>
      <c r="W15" s="2">
        <f>(Combined!X19+Combined!X23-Combined!X27)/Combined!X148</f>
        <v>0.27246553526827716</v>
      </c>
      <c r="X15" s="2">
        <f>(Combined!Y19+Combined!Y23-Combined!Y27)/Combined!Y148</f>
        <v>0.22300695488809874</v>
      </c>
    </row>
    <row r="16">
      <c r="A16" s="6"/>
      <c r="C16" t="s">
        <v>377</v>
      </c>
      <c r="D16" s="1">
        <f>(Combined!E35+Combined!E39-Combined!E43)/Combined!E148</f>
        <v>0.00060359385367899569</v>
      </c>
      <c r="E16" s="1">
        <f>(Combined!F35+Combined!F39-Combined!F43)/Combined!F148</f>
        <v>0.00064979953614790239</v>
      </c>
      <c r="F16" s="1">
        <f>(Combined!G35+Combined!G39-Combined!G43)/Combined!G148</f>
        <v>0.00059209113174581933</v>
      </c>
      <c r="G16" s="1">
        <f>(Combined!H35+Combined!H39-Combined!H43)/Combined!H148</f>
        <v>0.00053357015667799656</v>
      </c>
      <c r="H16" s="1">
        <f>(Combined!I35+Combined!I39-Combined!I43)/Combined!I148</f>
        <v>0.00048359442425089798</v>
      </c>
      <c r="I16" s="1">
        <f>(Combined!J35+Combined!J39-Combined!J43)/Combined!J148</f>
        <v>0.00045221846722127252</v>
      </c>
      <c r="J16" s="1">
        <f>(Combined!K35+Combined!K39-Combined!K43)/Combined!K148</f>
        <v>0.00045427796804798341</v>
      </c>
      <c r="K16" s="3">
        <f>(Combined!L35+Combined!L39-Combined!L43)/Combined!L148</f>
        <v>0.0011546897699332727</v>
      </c>
      <c r="L16" s="3">
        <f>(Combined!M35+Combined!M39-Combined!M43)/Combined!M148</f>
        <v>0.001360291702137839</v>
      </c>
      <c r="M16" s="3">
        <f>(Combined!N35+Combined!N39-Combined!N43)/Combined!N148</f>
        <v>0.0010773024741431846</v>
      </c>
      <c r="N16" s="3">
        <f>(Combined!O35+Combined!O39-Combined!O43)/Combined!O148</f>
        <v>0.0010415171075784601</v>
      </c>
      <c r="O16" s="3">
        <f>(Combined!P35+Combined!P39-Combined!P43)/Combined!P148</f>
        <v>0.00020273383140302553</v>
      </c>
      <c r="P16" s="3">
        <f>(Combined!Q35+Combined!Q39-Combined!Q43)/Combined!Q148</f>
        <v>0.00019178749532759373</v>
      </c>
      <c r="Q16" s="3">
        <f>(Combined!R35+Combined!R39-Combined!R43)/Combined!R148</f>
        <v>0.0014331254008510591</v>
      </c>
      <c r="R16" s="2">
        <f>(Combined!S35+Combined!S39-Combined!S43)/Combined!S148</f>
        <v>0.00075739249872998013</v>
      </c>
      <c r="S16" s="2">
        <f>(Combined!T35+Combined!T39-Combined!T43)/Combined!T148</f>
        <v>0.000862655688307017</v>
      </c>
      <c r="T16" s="2">
        <f>(Combined!U35+Combined!U39-Combined!U43)/Combined!U148</f>
        <v>0.00074605624594027502</v>
      </c>
      <c r="U16" s="2">
        <f>(Combined!V35+Combined!V39-Combined!V43)/Combined!V148</f>
        <v>0.0006976335227041506</v>
      </c>
      <c r="V16" s="2">
        <f>(Combined!W35+Combined!W39-Combined!W43)/Combined!W148</f>
        <v>0.00061950686200687509</v>
      </c>
      <c r="W16" s="2">
        <f>(Combined!X35+Combined!X39-Combined!X43)/Combined!X148</f>
        <v>0.00058244425513126962</v>
      </c>
      <c r="X16" s="2">
        <f>(Combined!Y35+Combined!Y39-Combined!Y43)/Combined!Y148</f>
        <v>0.00063826310871714263</v>
      </c>
    </row>
    <row r="17">
      <c r="C17" t="s">
        <v>787</v>
      </c>
      <c r="D17" s="1">
        <f>(Combined!E51+Combined!E55-Combined!E59)/Combined!E148</f>
        <v>0.11663649346453374</v>
      </c>
      <c r="E17" s="1">
        <f>(Combined!F51+Combined!F55-Combined!F59)/Combined!F148</f>
        <v>0</v>
      </c>
      <c r="F17" s="1">
        <f>(Combined!G51+Combined!G55-Combined!G59)/Combined!G148</f>
        <v>0</v>
      </c>
      <c r="G17" s="1">
        <f>(Combined!H51+Combined!H55-Combined!H59)/Combined!H148</f>
        <v>0</v>
      </c>
      <c r="H17" s="1">
        <f>(Combined!I51+Combined!I55-Combined!I59)/Combined!I148</f>
        <v>0.009211666196620432</v>
      </c>
      <c r="I17" s="1">
        <f>(Combined!J51+Combined!J55-Combined!J59)/Combined!J148</f>
        <v>0.0086140066119299672</v>
      </c>
      <c r="J17" s="1">
        <f>(Combined!K51+Combined!K55-Combined!K59)/Combined!K148</f>
        <v>0</v>
      </c>
      <c r="K17" s="3">
        <f>(Combined!L51+Combined!L55-Combined!L59)/Combined!L148</f>
        <v>0.20944853436119346</v>
      </c>
      <c r="L17" s="3">
        <f>(Combined!M51+Combined!M55-Combined!M59)/Combined!M148</f>
        <v>0</v>
      </c>
      <c r="M17" s="3">
        <f>(Combined!N51+Combined!N55-Combined!N59)/Combined!N148</f>
        <v>0</v>
      </c>
      <c r="N17" s="3">
        <f>(Combined!O51+Combined!O55-Combined!O59)/Combined!O148</f>
        <v>0</v>
      </c>
      <c r="O17" s="3">
        <f>(Combined!P51+Combined!P55-Combined!P59)/Combined!P148</f>
        <v>0.045572693815840143</v>
      </c>
      <c r="P17" s="3">
        <f>(Combined!Q51+Combined!Q55-Combined!Q59)/Combined!Q148</f>
        <v>0.043112058514279447</v>
      </c>
      <c r="Q17" s="3">
        <f>(Combined!R51+Combined!R55-Combined!R59)/Combined!R148</f>
        <v>0</v>
      </c>
      <c r="R17" s="2">
        <f>(Combined!S51+Combined!S55-Combined!S59)/Combined!S148</f>
        <v>0.17293230142170529</v>
      </c>
      <c r="S17" s="2">
        <f>(Combined!T51+Combined!T55-Combined!T59)/Combined!T148</f>
        <v>0</v>
      </c>
      <c r="T17" s="2">
        <f>(Combined!U51+Combined!U55-Combined!U59)/Combined!U148</f>
        <v>0</v>
      </c>
      <c r="U17" s="2">
        <f>(Combined!V51+Combined!V55-Combined!V59)/Combined!V148</f>
        <v>0</v>
      </c>
      <c r="V17" s="2">
        <f>(Combined!W51+Combined!W55-Combined!W59)/Combined!W148</f>
        <v>0.023441924616460608</v>
      </c>
      <c r="W17" s="2">
        <f>(Combined!X51+Combined!X55-Combined!X59)/Combined!X148</f>
        <v>0.022039488437379483</v>
      </c>
      <c r="X17" s="2">
        <f>(Combined!Y51+Combined!Y55-Combined!Y59)/Combined!Y148</f>
        <v>0</v>
      </c>
    </row>
    <row r="18">
      <c r="C18" t="s">
        <v>805</v>
      </c>
      <c r="D18" s="1">
        <f>(Combined!E67+Combined!E71-Combined!E75)/Combined!E148</f>
        <v>0.00050037837927237924</v>
      </c>
      <c r="E18" s="1">
        <f>(Combined!F67+Combined!F71-Combined!F75)/Combined!F148</f>
        <v>1.3165238954710482e-05</v>
      </c>
      <c r="F18" s="1">
        <f>(Combined!G67+Combined!G71-Combined!G75)/Combined!G148</f>
        <v>1.1996040007366879e-05</v>
      </c>
      <c r="G18" s="1">
        <f>(Combined!H67+Combined!H71-Combined!H75)/Combined!H148</f>
        <v>0</v>
      </c>
      <c r="H18" s="1">
        <f>(Combined!I67+Combined!I71-Combined!I75)/Combined!I148</f>
        <v>6.8967418759521287e-05</v>
      </c>
      <c r="I18" s="1">
        <f>(Combined!J67+Combined!J71-Combined!J75)/Combined!J148</f>
        <v>6.4492762603601163e-05</v>
      </c>
      <c r="J18" s="1">
        <f>(Combined!K67+Combined!K71-Combined!K75)/Combined!K148</f>
        <v>0</v>
      </c>
      <c r="K18" s="3">
        <f>(Combined!L67+Combined!L71-Combined!L75)/Combined!L148</f>
        <v>0.01202271667495358</v>
      </c>
      <c r="L18" s="3">
        <f>(Combined!M67+Combined!M71-Combined!M75)/Combined!M148</f>
        <v>0.00025866339415754407</v>
      </c>
      <c r="M18" s="3">
        <f>(Combined!N67+Combined!N71-Combined!N75)/Combined!N148</f>
        <v>0.00020485217549901611</v>
      </c>
      <c r="N18" s="3">
        <f>(Combined!O67+Combined!O71-Combined!O75)/Combined!O148</f>
        <v>0</v>
      </c>
      <c r="O18" s="3">
        <f>(Combined!P67+Combined!P71-Combined!P75)/Combined!P148</f>
        <v>0.0013926869508012524</v>
      </c>
      <c r="P18" s="3">
        <f>(Combined!Q67+Combined!Q71-Combined!Q75)/Combined!Q148</f>
        <v>0.0013174907227921598</v>
      </c>
      <c r="Q18" s="3">
        <f>(Combined!R67+Combined!R71-Combined!R75)/Combined!R148</f>
        <v>0</v>
      </c>
      <c r="R18" s="2">
        <f>(Combined!S67+Combined!S71-Combined!S75)/Combined!S148</f>
        <v>0.0047280962349692023</v>
      </c>
      <c r="S18" s="2">
        <f>(Combined!T67+Combined!T71-Combined!T75)/Combined!T148</f>
        <v>0.00010575613610496655</v>
      </c>
      <c r="T18" s="2">
        <f>(Combined!U67+Combined!U71-Combined!U75)/Combined!U148</f>
        <v>9.1461781284330685e-05</v>
      </c>
      <c r="U18" s="2">
        <f>(Combined!V67+Combined!V71-Combined!V75)/Combined!V148</f>
        <v>0</v>
      </c>
      <c r="V18" s="2">
        <f>(Combined!W67+Combined!W71-Combined!W75)/Combined!W148</f>
        <v>0.00051881140934729986</v>
      </c>
      <c r="W18" s="2">
        <f>(Combined!X67+Combined!X71-Combined!X75)/Combined!X148</f>
        <v>0.00048777300689130826</v>
      </c>
      <c r="X18" s="2">
        <f>(Combined!Y67+Combined!Y71-Combined!Y75)/Combined!Y148</f>
        <v>0</v>
      </c>
    </row>
    <row r="19">
      <c r="C19" t="s">
        <v>806</v>
      </c>
      <c r="D19" s="1">
        <f>(Combined!E83+Combined!E87-Combined!E91)/Combined!E148</f>
        <v>0.021155667763352939</v>
      </c>
      <c r="E19" s="1">
        <f>(Combined!F83+Combined!F87-Combined!F91)/Combined!F148</f>
        <v>0.013747130563389835</v>
      </c>
      <c r="F19" s="1">
        <f>(Combined!G83+Combined!G87-Combined!G91)/Combined!G148</f>
        <v>0.012526254084124751</v>
      </c>
      <c r="G19" s="1">
        <f>(Combined!H83+Combined!H87-Combined!H91)/Combined!H148</f>
        <v>0.026485244369205064</v>
      </c>
      <c r="H19" s="1">
        <f>(Combined!I83+Combined!I87-Combined!I91)/Combined!I148</f>
        <v>0.0073513678895594471</v>
      </c>
      <c r="I19" s="1">
        <f>(Combined!J83+Combined!J87-Combined!J91)/Combined!J148</f>
        <v>0.0068744058084331417</v>
      </c>
      <c r="J19" s="1">
        <f>(Combined!K83+Combined!K87-Combined!K91)/Combined!K148</f>
        <v>0.015034967649443001</v>
      </c>
      <c r="K19" s="3">
        <f>(Combined!L83+Combined!L87-Combined!L91)/Combined!L148</f>
        <v>0.015196011041995135</v>
      </c>
      <c r="L19" s="3">
        <f>(Combined!M83+Combined!M87-Combined!M91)/Combined!M148</f>
        <v>0.010805554601897392</v>
      </c>
      <c r="M19" s="3">
        <f>(Combined!N83+Combined!N87-Combined!N91)/Combined!N148</f>
        <v>0.0085576135536359847</v>
      </c>
      <c r="N19" s="3">
        <f>(Combined!O83+Combined!O87-Combined!O91)/Combined!O148</f>
        <v>0.019959302576887775</v>
      </c>
      <c r="O19" s="3">
        <f>(Combined!P83+Combined!P87-Combined!P91)/Combined!P148</f>
        <v>0.0047804269854753211</v>
      </c>
      <c r="P19" s="3">
        <f>(Combined!Q83+Combined!Q87-Combined!Q91)/Combined!Q148</f>
        <v>0.0045223143655690251</v>
      </c>
      <c r="Q19" s="3">
        <f>(Combined!R83+Combined!R87-Combined!R91)/Combined!R148</f>
        <v>0.013226946844252772</v>
      </c>
      <c r="R19" s="2">
        <f>(Combined!S83+Combined!S87-Combined!S91)/Combined!S148</f>
        <v>0.017859177792225935</v>
      </c>
      <c r="S19" s="2">
        <f>(Combined!T83+Combined!T87-Combined!T91)/Combined!T148</f>
        <v>0.012278029789281457</v>
      </c>
      <c r="T19" s="2">
        <f>(Combined!U83+Combined!U87-Combined!U91)/Combined!U148</f>
        <v>0.010618490014377709</v>
      </c>
      <c r="U19" s="2">
        <f>(Combined!V83+Combined!V87-Combined!V91)/Combined!V148</f>
        <v>0.023296910249390634</v>
      </c>
      <c r="V19" s="2">
        <f>(Combined!W83+Combined!W87-Combined!W91)/Combined!W148</f>
        <v>0.006030728394241837</v>
      </c>
      <c r="W19" s="2">
        <f>(Combined!X83+Combined!X87-Combined!X91)/Combined!X148</f>
        <v>0.0056699341410106976</v>
      </c>
      <c r="X19" s="2">
        <f>(Combined!Y83+Combined!Y87-Combined!Y91)/Combined!Y148</f>
        <v>0.014211473138640147</v>
      </c>
    </row>
    <row r="20">
      <c r="C20" t="s">
        <v>807</v>
      </c>
      <c r="D20" s="1">
        <f>(Combined!E99+Combined!E103-Combined!E107)/Combined!E148</f>
        <v>0.00099360123586029981</v>
      </c>
      <c r="E20" s="1">
        <f>(Combined!F99+Combined!F103-Combined!F107)/Combined!F148</f>
        <v>2.6291039407847895e-05</v>
      </c>
      <c r="F20" s="1">
        <f>(Combined!G99+Combined!G103-Combined!G107)/Combined!G148</f>
        <v>2.3956144028738465e-05</v>
      </c>
      <c r="G20" s="1">
        <f>(Combined!H99+Combined!H103-Combined!H107)/Combined!H148</f>
        <v>0</v>
      </c>
      <c r="H20" s="1">
        <f>(Combined!I99+Combined!I103-Combined!I107)/Combined!I148</f>
        <v>0.00013768698633998629</v>
      </c>
      <c r="I20" s="1">
        <f>(Combined!J99+Combined!J103-Combined!J107)/Combined!J148</f>
        <v>0.00012875375479242667</v>
      </c>
      <c r="J20" s="1">
        <f>(Combined!K99+Combined!K103-Combined!K107)/Combined!K148</f>
        <v>0</v>
      </c>
      <c r="K20" s="3">
        <f>(Combined!L99+Combined!L103-Combined!L107)/Combined!L148</f>
        <v>0.022683344096217879</v>
      </c>
      <c r="L20" s="3">
        <f>(Combined!M99+Combined!M103-Combined!M107)/Combined!M148</f>
        <v>0.00050817513278375874</v>
      </c>
      <c r="M20" s="3">
        <f>(Combined!N99+Combined!N103-Combined!N107)/Combined!N148</f>
        <v>0.00040245656647437992</v>
      </c>
      <c r="N20" s="3">
        <f>(Combined!O99+Combined!O103-Combined!O107)/Combined!O148</f>
        <v>0</v>
      </c>
      <c r="O20" s="3">
        <f>(Combined!P99+Combined!P103-Combined!P107)/Combined!P148</f>
        <v>0.0027240471895971772</v>
      </c>
      <c r="P20" s="3">
        <f>(Combined!Q99+Combined!Q103-Combined!Q107)/Combined!Q148</f>
        <v>0.002576965985555861</v>
      </c>
      <c r="Q20" s="3">
        <f>(Combined!R99+Combined!R103-Combined!R107)/Combined!R148</f>
        <v>0</v>
      </c>
      <c r="R20" s="2">
        <f>(Combined!S99+Combined!S103-Combined!S107)/Combined!S148</f>
        <v>0.0091979472901083225</v>
      </c>
      <c r="S20" s="2">
        <f>(Combined!T99+Combined!T103-Combined!T107)/Combined!T148</f>
        <v>0.00020968360809424337</v>
      </c>
      <c r="T20" s="2">
        <f>(Combined!U99+Combined!U103-Combined!U107)/Combined!U148</f>
        <v>0.00018134206684130503</v>
      </c>
      <c r="U20" s="2">
        <f>(Combined!V99+Combined!V103-Combined!V107)/Combined!V148</f>
        <v>0</v>
      </c>
      <c r="V20" s="2">
        <f>(Combined!W99+Combined!W103-Combined!W107)/Combined!W148</f>
        <v>0.0010271209624619646</v>
      </c>
      <c r="W20" s="2">
        <f>(Combined!X99+Combined!X103-Combined!X107)/Combined!X148</f>
        <v>0.00096567244142040272</v>
      </c>
      <c r="X20" s="2">
        <f>(Combined!Y99+Combined!Y103-Combined!Y107)/Combined!Y148</f>
        <v>0</v>
      </c>
    </row>
    <row r="21">
      <c r="C21" t="s">
        <v>791</v>
      </c>
      <c r="D21" s="1">
        <f>(Combined!E115+Combined!E119-Combined!E123)/Combined!E148</f>
        <v>0.001943747163586458</v>
      </c>
      <c r="E21" s="1">
        <f>(Combined!F115+Combined!F119-Combined!F123)/Combined!F148</f>
        <v>0</v>
      </c>
      <c r="F21" s="1">
        <f>(Combined!G115+Combined!G119-Combined!G123)/Combined!G148</f>
        <v>0.099827169924521703</v>
      </c>
      <c r="G21" s="1">
        <f>(Combined!H115+Combined!H119-Combined!H123)/Combined!H148</f>
        <v>0.21666232266343219</v>
      </c>
      <c r="H21" s="1">
        <f>(Combined!I115+Combined!I119-Combined!I123)/Combined!I148</f>
        <v>0</v>
      </c>
      <c r="I21" s="1">
        <f>(Combined!J115+Combined!J119-Combined!J123)/Combined!J148</f>
        <v>0.26427902657071761</v>
      </c>
      <c r="J21" s="1">
        <f>(Combined!K115+Combined!K119-Combined!K123)/Combined!K148</f>
        <v>0</v>
      </c>
      <c r="K21" s="3">
        <f>(Combined!L115+Combined!L119-Combined!L123)/Combined!L148</f>
        <v>0.021623466687449581</v>
      </c>
      <c r="L21" s="3">
        <f>(Combined!M115+Combined!M119-Combined!M123)/Combined!M148</f>
        <v>0</v>
      </c>
      <c r="M21" s="3">
        <f>(Combined!N115+Combined!N119-Combined!N123)/Combined!N148</f>
        <v>0.21556264739674441</v>
      </c>
      <c r="N21" s="3">
        <f>(Combined!O115+Combined!O119-Combined!O123)/Combined!O148</f>
        <v>0.30423542572190571</v>
      </c>
      <c r="O21" s="3">
        <f>(Combined!P115+Combined!P119-Combined!P123)/Combined!P148</f>
        <v>0</v>
      </c>
      <c r="P21" s="3">
        <f>(Combined!Q115+Combined!Q119-Combined!Q123)/Combined!Q148</f>
        <v>0.20123426993313101</v>
      </c>
      <c r="Q21" s="3">
        <f>(Combined!R115+Combined!R119-Combined!R123)/Combined!R148</f>
        <v>0</v>
      </c>
      <c r="R21" s="2">
        <f>(Combined!S115+Combined!S119-Combined!S123)/Combined!S148</f>
        <v>0.021715820314228813</v>
      </c>
      <c r="S21" s="2">
        <f>(Combined!T115+Combined!T119-Combined!T123)/Combined!T148</f>
        <v>0</v>
      </c>
      <c r="T21" s="2">
        <f>(Combined!U115+Combined!U119-Combined!U123)/Combined!U148</f>
        <v>0.14450298387742772</v>
      </c>
      <c r="U21" s="2">
        <f>(Combined!V115+Combined!V119-Combined!V123)/Combined!V148</f>
        <v>0.26171102529989032</v>
      </c>
      <c r="V21" s="2">
        <f>(Combined!W115+Combined!W119-Combined!W123)/Combined!W148</f>
        <v>0</v>
      </c>
      <c r="W21" s="2">
        <f>(Combined!X115+Combined!X119-Combined!X123)/Combined!X148</f>
        <v>0.23388109259710488</v>
      </c>
      <c r="X21" s="2">
        <f>(Combined!Y115+Combined!Y119-Combined!Y123)/Combined!Y148</f>
        <v>0</v>
      </c>
    </row>
    <row r="22">
      <c r="C22" t="s">
        <v>793</v>
      </c>
      <c r="D22" s="1">
        <f>(Combined!E131+Combined!E135-Combined!E139)/Combined!E148</f>
        <v>0.24620797405428427</v>
      </c>
      <c r="E22" s="1">
        <f>(Combined!F131+Combined!F135-Combined!F139)/Combined!F148</f>
        <v>0.22973767819435298</v>
      </c>
      <c r="F22" s="1">
        <f>(Combined!G131+Combined!G135-Combined!G139)/Combined!G148</f>
        <v>0.20514808280607086</v>
      </c>
      <c r="G22" s="1">
        <f>(Combined!H131+Combined!H135-Combined!H139)/Combined!H148</f>
        <v>0.21546862053996549</v>
      </c>
      <c r="H22" s="1">
        <f>(Combined!I131+Combined!I135-Combined!I139)/Combined!I148</f>
        <v>0.19190971242959273</v>
      </c>
      <c r="I22" s="1">
        <f>(Combined!J131+Combined!J135-Combined!J139)/Combined!J148</f>
        <v>0.11365703168518729</v>
      </c>
      <c r="J22" s="1">
        <f>(Combined!K131+Combined!K135-Combined!K139)/Combined!K148</f>
        <v>0.30003652418500981</v>
      </c>
      <c r="K22" s="3">
        <f>(Combined!L131+Combined!L135-Combined!L139)/Combined!L148</f>
        <v>0.21436077272727333</v>
      </c>
      <c r="L22" s="3">
        <f>(Combined!M131+Combined!M135-Combined!M139)/Combined!M148</f>
        <v>0.22334770475340673</v>
      </c>
      <c r="M22" s="3">
        <f>(Combined!N131+Combined!N135-Combined!N139)/Combined!N148</f>
        <v>0.17334574184048931</v>
      </c>
      <c r="N22" s="3">
        <f>(Combined!O131+Combined!O135-Combined!O139)/Combined!O148</f>
        <v>0.1825773860608948</v>
      </c>
      <c r="O22" s="3">
        <f>(Combined!P131+Combined!P135-Combined!P139)/Combined!P148</f>
        <v>0.15564444609235012</v>
      </c>
      <c r="P22" s="3">
        <f>(Combined!Q131+Combined!Q135-Combined!Q139)/Combined!Q148</f>
        <v>0.084581565922444091</v>
      </c>
      <c r="Q22" s="3">
        <f>(Combined!R131+Combined!R135-Combined!R139)/Combined!R148</f>
        <v>0.29035139776733471</v>
      </c>
      <c r="R22" s="2">
        <f>(Combined!S131+Combined!S135-Combined!S139)/Combined!S148</f>
        <v>0.2237697091915348</v>
      </c>
      <c r="S22" s="2">
        <f>(Combined!T131+Combined!T135-Combined!T139)/Combined!T148</f>
        <v>0.22314035444687694</v>
      </c>
      <c r="T22" s="2">
        <f>(Combined!U131+Combined!U135-Combined!U139)/Combined!U148</f>
        <v>0.18912035504393246</v>
      </c>
      <c r="U22" s="2">
        <f>(Combined!V131+Combined!V135-Combined!V139)/Combined!V148</f>
        <v>0.1962622338423794</v>
      </c>
      <c r="V22" s="2">
        <f>(Combined!W131+Combined!W135-Combined!W139)/Combined!W148</f>
        <v>0.17197479395983756</v>
      </c>
      <c r="W22" s="2">
        <f>(Combined!X131+Combined!X135-Combined!X139)/Combined!X148</f>
        <v>0.097981034825587857</v>
      </c>
      <c r="X22" s="2">
        <f>(Combined!Y131+Combined!Y135-Combined!Y139)/Combined!Y148</f>
        <v>0.29778308531547776</v>
      </c>
    </row>
    <row r="23">
      <c r="C23" t="s">
        <v>808</v>
      </c>
      <c r="D23" s="1">
        <f t="shared" ref="D23:X23" si="476">1-SUM(D14:D22)</f>
        <v>0.40170774714120072</v>
      </c>
      <c r="E23" s="1">
        <f t="shared" si="476"/>
        <v>0.37483515915920762</v>
      </c>
      <c r="F23" s="1">
        <f t="shared" si="476"/>
        <v>0.33471529299937863</v>
      </c>
      <c r="G23" s="1">
        <f t="shared" si="476"/>
        <v>0.35155406509152265</v>
      </c>
      <c r="H23" s="1">
        <f t="shared" si="476"/>
        <v>0.34117282209705391</v>
      </c>
      <c r="I23" s="1">
        <f t="shared" si="476"/>
        <v>0.18544042011793727</v>
      </c>
      <c r="J23" s="1">
        <f t="shared" si="476"/>
        <v>0.30003652418500981</v>
      </c>
      <c r="K23" s="3">
        <f t="shared" si="476"/>
        <v>0.24172597775628701</v>
      </c>
      <c r="L23" s="3">
        <f t="shared" si="476"/>
        <v>0.25186017770065028</v>
      </c>
      <c r="M23" s="3">
        <f t="shared" si="476"/>
        <v>0.19547498547970088</v>
      </c>
      <c r="N23" s="3">
        <f t="shared" si="476"/>
        <v>0.20588513747292381</v>
      </c>
      <c r="O23" s="3">
        <f t="shared" si="476"/>
        <v>0.19023210077953889</v>
      </c>
      <c r="P23" s="3">
        <f t="shared" si="476"/>
        <v>0.095379212635947397</v>
      </c>
      <c r="Q23" s="3">
        <f t="shared" si="476"/>
        <v>0.23756023453691044</v>
      </c>
      <c r="R23" s="2">
        <f t="shared" si="476"/>
        <v>0.31771779036450809</v>
      </c>
      <c r="S23" s="2">
        <f t="shared" si="476"/>
        <v>0.31682420561816105</v>
      </c>
      <c r="T23" s="2">
        <f t="shared" si="476"/>
        <v>0.26852115746407113</v>
      </c>
      <c r="U23" s="2">
        <f t="shared" si="476"/>
        <v>0.27866150201334827</v>
      </c>
      <c r="V23" s="2">
        <f t="shared" si="476"/>
        <v>0.26534191032455556</v>
      </c>
      <c r="W23" s="2">
        <f t="shared" si="476"/>
        <v>0.1391176580372987</v>
      </c>
      <c r="X23" s="2">
        <f t="shared" si="476"/>
        <v>0.26942279147590842</v>
      </c>
    </row>
    <row r="24">
      <c r="D24" s="66" t="str">
        <f t="shared" ref="D24:X24" si="477">D2</f>
        <v>H2</v>
      </c>
      <c r="E24" s="66" t="str">
        <f t="shared" si="477"/>
        <v>NH3</v>
      </c>
      <c r="F24" s="66" t="str">
        <f t="shared" si="477"/>
        <v xml:space="preserve">NH3 H2 Plant</v>
      </c>
      <c r="G24" s="66" t="str">
        <f t="shared" si="477"/>
        <v>LOHC</v>
      </c>
      <c r="H24" s="66" t="str">
        <f t="shared" si="477"/>
        <v>CH4</v>
      </c>
      <c r="I24" s="66" t="str">
        <f t="shared" si="477"/>
        <v xml:space="preserve">CH4 H2 Plant</v>
      </c>
      <c r="J24" s="66" t="str">
        <f t="shared" si="477"/>
        <v>Fe</v>
      </c>
      <c r="K24" s="67" t="str">
        <f t="shared" si="477"/>
        <v>H2</v>
      </c>
      <c r="L24" s="67" t="str">
        <f t="shared" si="477"/>
        <v>NH3</v>
      </c>
      <c r="M24" s="67" t="str">
        <f t="shared" si="477"/>
        <v xml:space="preserve">NH3 H2 Plant</v>
      </c>
      <c r="N24" s="67" t="str">
        <f t="shared" si="477"/>
        <v>LOHC</v>
      </c>
      <c r="O24" s="67" t="str">
        <f t="shared" si="477"/>
        <v>CH4</v>
      </c>
      <c r="P24" s="67" t="str">
        <f t="shared" si="477"/>
        <v xml:space="preserve">CH4 H2 Plant</v>
      </c>
      <c r="Q24" s="67" t="str">
        <f t="shared" si="477"/>
        <v>Fe</v>
      </c>
      <c r="R24" s="68" t="str">
        <f t="shared" si="477"/>
        <v>H2</v>
      </c>
      <c r="S24" s="68" t="str">
        <f t="shared" si="477"/>
        <v>NH3</v>
      </c>
      <c r="T24" s="68" t="s">
        <v>731</v>
      </c>
      <c r="U24" s="68" t="str">
        <f t="shared" si="477"/>
        <v>LOHC</v>
      </c>
      <c r="V24" s="68" t="str">
        <f t="shared" si="477"/>
        <v>CH4</v>
      </c>
      <c r="W24" s="68" t="str">
        <f t="shared" si="477"/>
        <v xml:space="preserve">H2 from CH4</v>
      </c>
      <c r="X24" s="68" t="str">
        <f t="shared" si="477"/>
        <v>Fe</v>
      </c>
    </row>
    <row r="25">
      <c r="B25" t="s">
        <v>552</v>
      </c>
      <c r="C25" t="s">
        <v>804</v>
      </c>
      <c r="D25" s="1">
        <f>(Combined!E4+Combined!E8-Combined!E12)/Combined!E149</f>
        <v>0.20333961181588978</v>
      </c>
      <c r="E25" s="1">
        <f>(Combined!F4+Combined!F8-Combined!F12)/Combined!F149</f>
        <v>0.221572647932642</v>
      </c>
      <c r="F25" s="1">
        <f>(Combined!G4+Combined!G8-Combined!G12)/Combined!G149</f>
        <v>0.20227369174905113</v>
      </c>
      <c r="G25" s="1">
        <f>(Combined!H4+Combined!H8-Combined!H12)/Combined!H149</f>
        <v>0.17758731157739158</v>
      </c>
      <c r="H25" s="1">
        <f>(Combined!I4+Combined!I8-Combined!I12)/Combined!I149</f>
        <v>0.21930790954708765</v>
      </c>
      <c r="I25" s="1">
        <f>(Combined!J4+Combined!J8-Combined!J12)/Combined!J149</f>
        <v>0.20522737054161699</v>
      </c>
      <c r="J25" s="1">
        <f>(Combined!K4+Combined!K8-Combined!K12)/Combined!K149</f>
        <v>0.15457633441721516</v>
      </c>
      <c r="K25" s="3">
        <f>(Combined!L4+Combined!L8-Combined!L12)/Combined!L149</f>
        <v>0.25554567439657733</v>
      </c>
      <c r="L25" s="3">
        <f>(Combined!M4+Combined!M8-Combined!M12)/Combined!M149</f>
        <v>0.30326243586333096</v>
      </c>
      <c r="M25" s="3">
        <f>(Combined!N4+Combined!N8-Combined!N12)/Combined!N149</f>
        <v>0.24100784220591467</v>
      </c>
      <c r="N25" s="3">
        <f>(Combined!O4+Combined!O8-Combined!O12)/Combined!O149</f>
        <v>0.23453880905690783</v>
      </c>
      <c r="O25" s="3">
        <f>(Combined!P4+Combined!P8-Combined!P12)/Combined!P149</f>
        <v>0.25752723210266482</v>
      </c>
      <c r="P25" s="3">
        <f>(Combined!Q4+Combined!Q8-Combined!Q12)/Combined!Q149</f>
        <v>0.24371777885664475</v>
      </c>
      <c r="Q25" s="3">
        <f>(Combined!R4+Combined!R8-Combined!R12)/Combined!R149</f>
        <v>0.23638068075536028</v>
      </c>
      <c r="R25" s="2">
        <f>(Combined!S4+Combined!S8-Combined!S12)/Combined!S149</f>
        <v>0.22486973649674566</v>
      </c>
      <c r="S25" s="2">
        <f>(Combined!T4+Combined!T8-Combined!T12)/Combined!T149</f>
        <v>0.2584977077168879</v>
      </c>
      <c r="T25" s="2">
        <f>(Combined!U4+Combined!U8-Combined!U12)/Combined!U149</f>
        <v>0.22413013475679613</v>
      </c>
      <c r="U25" s="2">
        <f>(Combined!V4+Combined!V8-Combined!V12)/Combined!V149</f>
        <v>0.20468382331036095</v>
      </c>
      <c r="V25" s="2">
        <f>(Combined!W4+Combined!W8-Combined!W12)/Combined!W149</f>
        <v>0.23903305733227417</v>
      </c>
      <c r="W25" s="2">
        <f>(Combined!X4+Combined!X8-Combined!X12)/Combined!X149</f>
        <v>0.22485584011423579</v>
      </c>
      <c r="X25" s="2">
        <f>(Combined!Y4+Combined!Y8-Combined!Y12)/Combined!Y149</f>
        <v>0.19066664214998932</v>
      </c>
    </row>
    <row r="26">
      <c r="C26" t="s">
        <v>786</v>
      </c>
      <c r="D26" s="1">
        <f>(Combined!E20+Combined!E24-Combined!E28)/Combined!E149</f>
        <v>0</v>
      </c>
      <c r="E26" s="1">
        <f>(Combined!F20+Combined!F24-Combined!F28)/Combined!F149</f>
        <v>0.15138401520659897</v>
      </c>
      <c r="F26" s="1">
        <f>(Combined!G20+Combined!G24-Combined!G28)/Combined!G149</f>
        <v>0.13819848213820166</v>
      </c>
      <c r="G26" s="1">
        <f>(Combined!H20+Combined!H24-Combined!H28)/Combined!H149</f>
        <v>0.0032838815369110866</v>
      </c>
      <c r="H26" s="1">
        <f>(Combined!I20+Combined!I24-Combined!I28)/Combined!I149</f>
        <v>0.22534752747698034</v>
      </c>
      <c r="I26" s="1">
        <f>(Combined!J20+Combined!J24-Combined!J28)/Combined!J149</f>
        <v>0.21087921825375686</v>
      </c>
      <c r="J26" s="1">
        <f>(Combined!K20+Combined!K24-Combined!K28)/Combined!K149</f>
        <v>0.22096216363709315</v>
      </c>
      <c r="K26" s="3">
        <f>(Combined!L20+Combined!L24-Combined!L28)/Combined!L149</f>
        <v>0</v>
      </c>
      <c r="L26" s="3">
        <f>(Combined!M20+Combined!M24-Combined!M28)/Combined!M149</f>
        <v>0.20007437401699274</v>
      </c>
      <c r="M26" s="3">
        <f>(Combined!N20+Combined!N24-Combined!N28)/Combined!N149</f>
        <v>0.15900252540431767</v>
      </c>
      <c r="N26" s="3">
        <f>(Combined!O20+Combined!O24-Combined!O28)/Combined!O149</f>
        <v>0.042033557938791689</v>
      </c>
      <c r="O26" s="3">
        <f>(Combined!P20+Combined!P24-Combined!P28)/Combined!P149</f>
        <v>0.33757882823421881</v>
      </c>
      <c r="P26" s="3">
        <f>(Combined!Q20+Combined!Q24-Combined!Q28)/Combined!Q149</f>
        <v>0.31947674634064943</v>
      </c>
      <c r="Q26" s="3">
        <f>(Combined!R20+Combined!R24-Combined!R28)/Combined!R149</f>
        <v>0.21170388389489578</v>
      </c>
      <c r="R26" s="2">
        <f>(Combined!S20+Combined!S24-Combined!S28)/Combined!S149</f>
        <v>0</v>
      </c>
      <c r="S26" s="2">
        <f>(Combined!T20+Combined!T24-Combined!T28)/Combined!T149</f>
        <v>0.17965178296950068</v>
      </c>
      <c r="T26" s="2">
        <f>(Combined!U20+Combined!U24-Combined!U28)/Combined!U149</f>
        <v>0.15576686803873852</v>
      </c>
      <c r="U26" s="2">
        <f>(Combined!V20+Combined!V24-Combined!V28)/Combined!V149</f>
        <v>0.025265249469304921</v>
      </c>
      <c r="V26" s="2">
        <f>(Combined!W20+Combined!W24-Combined!W28)/Combined!W149</f>
        <v>0.28714982444156095</v>
      </c>
      <c r="W26" s="2">
        <f>(Combined!X20+Combined!X24-Combined!X28)/Combined!X149</f>
        <v>0.27011876823258391</v>
      </c>
      <c r="X26" s="2">
        <f>(Combined!Y20+Combined!Y24-Combined!Y28)/Combined!Y149</f>
        <v>0.21812120336462953</v>
      </c>
    </row>
    <row r="27">
      <c r="C27" t="s">
        <v>377</v>
      </c>
      <c r="D27" s="1">
        <f>(Combined!E36+Combined!E40-Combined!E44)/Combined!E149</f>
        <v>0.00058375303059654061</v>
      </c>
      <c r="E27" s="1">
        <f>(Combined!F36+Combined!F40-Combined!F44)/Combined!F149</f>
        <v>0.00063609693936614287</v>
      </c>
      <c r="F27" s="1">
        <f>(Combined!G36+Combined!G40-Combined!G44)/Combined!G149</f>
        <v>0.00058069295753046372</v>
      </c>
      <c r="G27" s="1">
        <f>(Combined!H36+Combined!H40-Combined!H44)/Combined!H149</f>
        <v>0.00050982260860546133</v>
      </c>
      <c r="H27" s="1">
        <f>(Combined!I36+Combined!I40-Combined!I44)/Combined!I149</f>
        <v>0.00047820773456868292</v>
      </c>
      <c r="I27" s="1">
        <f>(Combined!J36+Combined!J40-Combined!J44)/Combined!J149</f>
        <v>0.00044750468025013193</v>
      </c>
      <c r="J27" s="1">
        <f>(Combined!K36+Combined!K40-Combined!K44)/Combined!K149</f>
        <v>0.00044376205338809272</v>
      </c>
      <c r="K27" s="3">
        <f>(Combined!L36+Combined!L40-Combined!L44)/Combined!L149</f>
        <v>0.0011271713594946202</v>
      </c>
      <c r="L27" s="3">
        <f>(Combined!M36+Combined!M40-Combined!M44)/Combined!M149</f>
        <v>0.0013376424113727325</v>
      </c>
      <c r="M27" s="3">
        <f>(Combined!N36+Combined!N40-Combined!N44)/Combined!N149</f>
        <v>0.0010630472919941341</v>
      </c>
      <c r="N27" s="3">
        <f>(Combined!O36+Combined!O40-Combined!O44)/Combined!O149</f>
        <v>0.0010774316930029211</v>
      </c>
      <c r="O27" s="3">
        <f>(Combined!P36+Combined!P40-Combined!P44)/Combined!P149</f>
        <v>0.00019523643984644228</v>
      </c>
      <c r="P27" s="3">
        <f>(Combined!Q36+Combined!Q40-Combined!Q44)/Combined!Q149</f>
        <v>0.00018476722280106188</v>
      </c>
      <c r="Q27" s="3">
        <f>(Combined!R36+Combined!R40-Combined!R44)/Combined!R149</f>
        <v>0.0014088521040925618</v>
      </c>
      <c r="R27" s="2">
        <f>(Combined!S36+Combined!S40-Combined!S44)/Combined!S149</f>
        <v>0.00073626730149468293</v>
      </c>
      <c r="S27" s="2">
        <f>(Combined!T36+Combined!T40-Combined!T44)/Combined!T149</f>
        <v>0.00084637182694453808</v>
      </c>
      <c r="T27" s="2">
        <f>(Combined!U36+Combined!U40-Combined!U44)/Combined!U149</f>
        <v>0.00073384570139088299</v>
      </c>
      <c r="U27" s="2">
        <f>(Combined!V36+Combined!V40-Combined!V44)/Combined!V149</f>
        <v>0.00067017469133969626</v>
      </c>
      <c r="V27" s="2">
        <f>(Combined!W36+Combined!W40-Combined!W44)/Combined!W149</f>
        <v>0.00061383457340124462</v>
      </c>
      <c r="W27" s="2">
        <f>(Combined!X36+Combined!X40-Combined!X44)/Combined!X149</f>
        <v>0.00057742761705731826</v>
      </c>
      <c r="X27" s="2">
        <f>(Combined!Y36+Combined!Y40-Combined!Y44)/Combined!Y149</f>
        <v>0.00062427971094663949</v>
      </c>
    </row>
    <row r="28">
      <c r="C28" t="s">
        <v>787</v>
      </c>
      <c r="D28" s="1">
        <f>(Combined!E52+Combined!E56-Combined!E60)/Combined!E149</f>
        <v>0.11280251798967421</v>
      </c>
      <c r="E28" s="1">
        <f>(Combined!F52+Combined!F56-Combined!F60)/Combined!F149</f>
        <v>0</v>
      </c>
      <c r="F28" s="1">
        <f>(Combined!G52+Combined!G56-Combined!G60)/Combined!G149</f>
        <v>0</v>
      </c>
      <c r="G28" s="1">
        <f>(Combined!H52+Combined!H56-Combined!H60)/Combined!H149</f>
        <v>0</v>
      </c>
      <c r="H28" s="1">
        <f>(Combined!I52+Combined!I56-Combined!I60)/Combined!I149</f>
        <v>0.0091090587537542428</v>
      </c>
      <c r="I28" s="1">
        <f>(Combined!J52+Combined!J56-Combined!J60)/Combined!J149</f>
        <v>0.0085242168419862509</v>
      </c>
      <c r="J28" s="1">
        <f>(Combined!K52+Combined!K56-Combined!K60)/Combined!K149</f>
        <v>0</v>
      </c>
      <c r="K28" s="3">
        <f>(Combined!L52+Combined!L56-Combined!L60)/Combined!L149</f>
        <v>0.20445698521578348</v>
      </c>
      <c r="L28" s="3">
        <f>(Combined!M52+Combined!M56-Combined!M60)/Combined!M149</f>
        <v>0</v>
      </c>
      <c r="M28" s="3">
        <f>(Combined!N52+Combined!N56-Combined!N60)/Combined!N149</f>
        <v>0</v>
      </c>
      <c r="N28" s="3">
        <f>(Combined!O52+Combined!O56-Combined!O60)/Combined!O149</f>
        <v>0</v>
      </c>
      <c r="O28" s="3">
        <f>(Combined!P52+Combined!P56-Combined!P60)/Combined!P149</f>
        <v>0.045242384135796156</v>
      </c>
      <c r="P28" s="3">
        <f>(Combined!Q52+Combined!Q56-Combined!Q60)/Combined!Q149</f>
        <v>0.04281633938953535</v>
      </c>
      <c r="Q28" s="3">
        <f>(Combined!R52+Combined!R56-Combined!R60)/Combined!R149</f>
        <v>0</v>
      </c>
      <c r="R28" s="2">
        <f>(Combined!S52+Combined!S56-Combined!S60)/Combined!S149</f>
        <v>0.16810887237797179</v>
      </c>
      <c r="S28" s="2">
        <f>(Combined!T52+Combined!T56-Combined!T60)/Combined!T149</f>
        <v>0</v>
      </c>
      <c r="T28" s="2">
        <f>(Combined!U52+Combined!U56-Combined!U60)/Combined!U149</f>
        <v>0</v>
      </c>
      <c r="U28" s="2">
        <f>(Combined!V52+Combined!V56-Combined!V60)/Combined!V149</f>
        <v>0</v>
      </c>
      <c r="V28" s="2">
        <f>(Combined!W52+Combined!W56-Combined!W60)/Combined!W149</f>
        <v>0.023227287184575399</v>
      </c>
      <c r="W28" s="2">
        <f>(Combined!X52+Combined!X56-Combined!X60)/Combined!X149</f>
        <v>0.021849660594025062</v>
      </c>
      <c r="X28" s="2">
        <f>(Combined!Y52+Combined!Y56-Combined!Y60)/Combined!Y149</f>
        <v>0</v>
      </c>
    </row>
    <row r="29">
      <c r="C29" t="s">
        <v>805</v>
      </c>
      <c r="D29" s="1">
        <f>(Combined!E68+Combined!E72-Combined!E76)/Combined!E149</f>
        <v>0.00048393036735686545</v>
      </c>
      <c r="E29" s="1">
        <f>(Combined!F68+Combined!F72-Combined!F76)/Combined!F149</f>
        <v>1.2887618010221834e-05</v>
      </c>
      <c r="F29" s="1">
        <f>(Combined!G68+Combined!G72-Combined!G76)/Combined!G149</f>
        <v>1.1765107729233823e-05</v>
      </c>
      <c r="G29" s="1">
        <f>(Combined!H68+Combined!H72-Combined!H76)/Combined!H149</f>
        <v>0</v>
      </c>
      <c r="H29" s="1">
        <f>(Combined!I68+Combined!I72-Combined!I76)/Combined!I149</f>
        <v>6.8199200466699734e-05</v>
      </c>
      <c r="I29" s="1">
        <f>(Combined!J68+Combined!J72-Combined!J76)/Combined!J149</f>
        <v>6.3820509774255302e-05</v>
      </c>
      <c r="J29" s="1">
        <f>(Combined!K68+Combined!K72-Combined!K76)/Combined!K149</f>
        <v>0</v>
      </c>
      <c r="K29" s="3">
        <f>(Combined!L68+Combined!L72-Combined!L76)/Combined!L149</f>
        <v>0.011736192917089106</v>
      </c>
      <c r="L29" s="3">
        <f>(Combined!M68+Combined!M72-Combined!M76)/Combined!M149</f>
        <v>0.00025435656613284293</v>
      </c>
      <c r="M29" s="3">
        <f>(Combined!N68+Combined!N72-Combined!N76)/Combined!N149</f>
        <v>0.00020214151146042035</v>
      </c>
      <c r="N29" s="3">
        <f>(Combined!O68+Combined!O72-Combined!O76)/Combined!O149</f>
        <v>0</v>
      </c>
      <c r="O29" s="3">
        <f>(Combined!P68+Combined!P72-Combined!P76)/Combined!P149</f>
        <v>0.001382592792598111</v>
      </c>
      <c r="P29" s="3">
        <f>(Combined!Q68+Combined!Q72-Combined!Q76)/Combined!Q149</f>
        <v>0.0013084536408983932</v>
      </c>
      <c r="Q29" s="3">
        <f>(Combined!R68+Combined!R72-Combined!R76)/Combined!R149</f>
        <v>0</v>
      </c>
      <c r="R29" s="2">
        <f>(Combined!S68+Combined!S72-Combined!S76)/Combined!S149</f>
        <v>0.0045962201394460908</v>
      </c>
      <c r="S29" s="2">
        <f>(Combined!T68+Combined!T72-Combined!T76)/Combined!T149</f>
        <v>0.00010375983760262129</v>
      </c>
      <c r="T29" s="2">
        <f>(Combined!U68+Combined!U72-Combined!U76)/Combined!U149</f>
        <v>8.9964845683231079e-05</v>
      </c>
      <c r="U29" s="2">
        <f>(Combined!V68+Combined!V72-Combined!V76)/Combined!V149</f>
        <v>0</v>
      </c>
      <c r="V29" s="2">
        <f>(Combined!W68+Combined!W72-Combined!W76)/Combined!W149</f>
        <v>0.0005140611019234468</v>
      </c>
      <c r="W29" s="2">
        <f>(Combined!X68+Combined!X72-Combined!X76)/Combined!X149</f>
        <v>0.00048357177970730639</v>
      </c>
      <c r="X29" s="2">
        <f>(Combined!Y68+Combined!Y72-Combined!Y76)/Combined!Y149</f>
        <v>0</v>
      </c>
    </row>
    <row r="30">
      <c r="C30" t="s">
        <v>806</v>
      </c>
      <c r="D30" s="1">
        <f>(Combined!E84+Combined!E88-Combined!E92)/Combined!E149</f>
        <v>0.053331404979267742</v>
      </c>
      <c r="E30" s="1">
        <f>(Combined!F84+Combined!F88-Combined!F92)/Combined!F149</f>
        <v>0.034544660636831336</v>
      </c>
      <c r="F30" s="1">
        <f>(Combined!G84+Combined!G88-Combined!G92)/Combined!G149</f>
        <v>0.031535824039771336</v>
      </c>
      <c r="G30" s="1">
        <f>(Combined!H84+Combined!H88-Combined!H92)/Combined!H149</f>
        <v>0.06981335815020466</v>
      </c>
      <c r="H30" s="1">
        <f>(Combined!I84+Combined!I88-Combined!I92)/Combined!I149</f>
        <v>0.018408340171384773</v>
      </c>
      <c r="I30" s="1">
        <f>(Combined!J84+Combined!J88-Combined!J92)/Combined!J149</f>
        <v>0.017226443210420387</v>
      </c>
      <c r="J30" s="1">
        <f>(Combined!K84+Combined!K88-Combined!K92)/Combined!K149</f>
        <v>0.03783556321365468</v>
      </c>
      <c r="K30" s="3">
        <f>(Combined!L84+Combined!L88-Combined!L92)/Combined!L149</f>
        <v>0.038665726523520488</v>
      </c>
      <c r="L30" s="3">
        <f>(Combined!M84+Combined!M88-Combined!M92)/Combined!M149</f>
        <v>0.027275957664580186</v>
      </c>
      <c r="M30" s="3">
        <f>(Combined!N84+Combined!N88-Combined!N92)/Combined!N149</f>
        <v>0.021676669852387784</v>
      </c>
      <c r="N30" s="3">
        <f>(Combined!O84+Combined!O88-Combined!O92)/Combined!O149</f>
        <v>0.053190970910710726</v>
      </c>
      <c r="O30" s="3">
        <f>(Combined!P84+Combined!P88-Combined!P92)/Combined!P149</f>
        <v>0.011999780123744508</v>
      </c>
      <c r="P30" s="3">
        <f>(Combined!Q84+Combined!Q88-Combined!Q92)/Combined!Q149</f>
        <v>0.011356312630119176</v>
      </c>
      <c r="Q30" s="3">
        <f>(Combined!R84+Combined!R88-Combined!R92)/Combined!R149</f>
        <v>0.033378420673615197</v>
      </c>
      <c r="R30" s="2">
        <f>(Combined!S84+Combined!S88-Combined!S92)/Combined!S149</f>
        <v>0.04525305694567041</v>
      </c>
      <c r="S30" s="2">
        <f>(Combined!T84+Combined!T88-Combined!T92)/Combined!T149</f>
        <v>0.030922696306391127</v>
      </c>
      <c r="T30" s="2">
        <f>(Combined!U84+Combined!U88-Combined!U92)/Combined!U149</f>
        <v>0.026811487619788032</v>
      </c>
      <c r="U30" s="2">
        <f>(Combined!V84+Combined!V88-Combined!V92)/Combined!V149</f>
        <v>0.061739910136605514</v>
      </c>
      <c r="V30" s="2">
        <f>(Combined!W84+Combined!W88-Combined!W92)/Combined!W149</f>
        <v>0.015131645461454761</v>
      </c>
      <c r="W30" s="2">
        <f>(Combined!X84+Combined!X88-Combined!X92)/Combined!X149</f>
        <v>0.014234177023542497</v>
      </c>
      <c r="X30" s="2">
        <f>(Combined!Y84+Combined!Y88-Combined!Y92)/Combined!Y149</f>
        <v>0.035808637224163775</v>
      </c>
    </row>
    <row r="31">
      <c r="C31" t="s">
        <v>807</v>
      </c>
      <c r="D31" s="1">
        <f>(Combined!E100+Combined!E104-Combined!E108)/Combined!E149</f>
        <v>0.00096094042227675737</v>
      </c>
      <c r="E31" s="1">
        <f>(Combined!F100+Combined!F104-Combined!F108)/Combined!F149</f>
        <v>2.5736629175215388e-05</v>
      </c>
      <c r="F31" s="1">
        <f>(Combined!G100+Combined!G104-Combined!G108)/Combined!G149</f>
        <v>2.3494971265721068e-05</v>
      </c>
      <c r="G31" s="1">
        <f>(Combined!H100+Combined!H104-Combined!H108)/Combined!H149</f>
        <v>0</v>
      </c>
      <c r="H31" s="1">
        <f>(Combined!I100+Combined!I104-Combined!I108)/Combined!I149</f>
        <v>0.00013615331053336109</v>
      </c>
      <c r="I31" s="1">
        <f>(Combined!J100+Combined!J104-Combined!J108)/Combined!J149</f>
        <v>0.00012741166503754588</v>
      </c>
      <c r="J31" s="1">
        <f>(Combined!K100+Combined!K104-Combined!K108)/Combined!K149</f>
        <v>0</v>
      </c>
      <c r="K31" s="3">
        <f>(Combined!L100+Combined!L104-Combined!L108)/Combined!L149</f>
        <v>0.022142757707376153</v>
      </c>
      <c r="L31" s="3">
        <f>(Combined!M100+Combined!M104-Combined!M108)/Combined!M149</f>
        <v>0.00049971385471820663</v>
      </c>
      <c r="M31" s="3">
        <f>(Combined!N100+Combined!N104-Combined!N108)/Combined!N149</f>
        <v>0.00039713114320663985</v>
      </c>
      <c r="N31" s="3">
        <f>(Combined!O100+Combined!O104-Combined!O108)/Combined!O149</f>
        <v>0</v>
      </c>
      <c r="O31" s="3">
        <f>(Combined!P100+Combined!P104-Combined!P108)/Combined!P149</f>
        <v>0.0027043033675783049</v>
      </c>
      <c r="P31" s="3">
        <f>(Combined!Q100+Combined!Q104-Combined!Q108)/Combined!Q149</f>
        <v>0.0025592897679961859</v>
      </c>
      <c r="Q31" s="3">
        <f>(Combined!R100+Combined!R104-Combined!R108)/Combined!R149</f>
        <v>0</v>
      </c>
      <c r="R31" s="2">
        <f>(Combined!S100+Combined!S104-Combined!S108)/Combined!S149</f>
        <v>0.0089413980755480259</v>
      </c>
      <c r="S31" s="2">
        <f>(Combined!T100+Combined!T104-Combined!T108)/Combined!T149</f>
        <v>0.00020572552974332386</v>
      </c>
      <c r="T31" s="2">
        <f>(Combined!U100+Combined!U104-Combined!U108)/Combined!U149</f>
        <v>0.00017837407964477699</v>
      </c>
      <c r="U31" s="2">
        <f>(Combined!V100+Combined!V104-Combined!V108)/Combined!V149</f>
        <v>0</v>
      </c>
      <c r="V31" s="2">
        <f>(Combined!W100+Combined!W104-Combined!W108)/Combined!W149</f>
        <v>0.0010177165040301047</v>
      </c>
      <c r="W31" s="2">
        <f>(Combined!X100+Combined!X104-Combined!X108)/Combined!X149</f>
        <v>0.00095735502890593018</v>
      </c>
      <c r="X31" s="2">
        <f>(Combined!Y100+Combined!Y104-Combined!Y108)/Combined!Y149</f>
        <v>0</v>
      </c>
    </row>
    <row r="32">
      <c r="C32" t="s">
        <v>791</v>
      </c>
      <c r="D32" s="1">
        <f>(Combined!E116+Combined!E120-Combined!E124)/Combined!E149</f>
        <v>0.0018798539622979411</v>
      </c>
      <c r="E32" s="1">
        <f>(Combined!F116+Combined!F120-Combined!F124)/Combined!F149</f>
        <v>0</v>
      </c>
      <c r="F32" s="1">
        <f>(Combined!G116+Combined!G120-Combined!G124)/Combined!G149</f>
        <v>0.097905426102973925</v>
      </c>
      <c r="G32" s="1">
        <f>(Combined!H116+Combined!H120-Combined!H124)/Combined!H149</f>
        <v>0.20701935658190204</v>
      </c>
      <c r="H32" s="1">
        <f>(Combined!I116+Combined!I120-Combined!I124)/Combined!I149</f>
        <v>0</v>
      </c>
      <c r="I32" s="1">
        <f>(Combined!J116+Combined!J120-Combined!J124)/Combined!J149</f>
        <v>0.26152426283930053</v>
      </c>
      <c r="J32" s="1">
        <f>(Combined!K116+Combined!K120-Combined!K124)/Combined!K149</f>
        <v>0</v>
      </c>
      <c r="K32" s="3">
        <f>(Combined!L116+Combined!L120-Combined!L124)/Combined!L149</f>
        <v>0.021108139153677496</v>
      </c>
      <c r="L32" s="3">
        <f>(Combined!M116+Combined!M120-Combined!M124)/Combined!M149</f>
        <v>0</v>
      </c>
      <c r="M32" s="3">
        <f>(Combined!N116+Combined!N120-Combined!N124)/Combined!N149</f>
        <v>0.21271025925420986</v>
      </c>
      <c r="N32" s="3">
        <f>(Combined!O116+Combined!O120-Combined!O124)/Combined!O149</f>
        <v>0.29389713590953426</v>
      </c>
      <c r="O32" s="3">
        <f>(Combined!P116+Combined!P120-Combined!P124)/Combined!P149</f>
        <v>0</v>
      </c>
      <c r="P32" s="3">
        <f>(Combined!Q116+Combined!Q120-Combined!Q124)/Combined!Q149</f>
        <v>0.19985394098981629</v>
      </c>
      <c r="Q32" s="3">
        <f>(Combined!R116+Combined!R120-Combined!R124)/Combined!R149</f>
        <v>0</v>
      </c>
      <c r="R32" s="2">
        <f>(Combined!S116+Combined!S120-Combined!S124)/Combined!S149</f>
        <v>0.021110122491722328</v>
      </c>
      <c r="S32" s="2">
        <f>(Combined!T116+Combined!T120-Combined!T124)/Combined!T149</f>
        <v>0</v>
      </c>
      <c r="T32" s="2">
        <f>(Combined!U116+Combined!U120-Combined!U124)/Combined!U149</f>
        <v>0.14213793414859674</v>
      </c>
      <c r="U32" s="2">
        <f>(Combined!V116+Combined!V120-Combined!V124)/Combined!V149</f>
        <v>0.25141008838091788</v>
      </c>
      <c r="V32" s="2">
        <f>(Combined!W116+Combined!W120-Combined!W124)/Combined!W149</f>
        <v>0</v>
      </c>
      <c r="W32" s="2">
        <f>(Combined!X116+Combined!X120-Combined!X124)/Combined!X149</f>
        <v>0.23186665639386769</v>
      </c>
      <c r="X32" s="2">
        <f>(Combined!Y116+Combined!Y120-Combined!Y124)/Combined!Y149</f>
        <v>0</v>
      </c>
    </row>
    <row r="33">
      <c r="C33" t="s">
        <v>793</v>
      </c>
      <c r="D33" s="1">
        <f>(Combined!E132+Combined!E136-Combined!E140)/Combined!E149</f>
        <v>0.23811483522440322</v>
      </c>
      <c r="E33" s="1">
        <f>(Combined!F132+Combined!F136-Combined!F140)/Combined!F149</f>
        <v>0.22489310291420292</v>
      </c>
      <c r="F33" s="1">
        <f>(Combined!G132+Combined!G136-Combined!G140)/Combined!G149</f>
        <v>0.20119883671472111</v>
      </c>
      <c r="G33" s="1">
        <f>(Combined!H132+Combined!H136-Combined!H140)/Combined!H149</f>
        <v>0.20587878242709434</v>
      </c>
      <c r="H33" s="1">
        <f>(Combined!I132+Combined!I136-Combined!I140)/Combined!I149</f>
        <v>0.1897720573698807</v>
      </c>
      <c r="I33" s="1">
        <f>(Combined!J132+Combined!J136-Combined!J140)/Combined!J149</f>
        <v>0.11247230555398564</v>
      </c>
      <c r="J33" s="1">
        <f>(Combined!K132+Combined!K136-Combined!K140)/Combined!K149</f>
        <v>0.29309108833932446</v>
      </c>
      <c r="K33" s="3">
        <f>(Combined!L132+Combined!L136-Combined!L140)/Combined!L149</f>
        <v>0.20925215578144626</v>
      </c>
      <c r="L33" s="3">
        <f>(Combined!M132+Combined!M136-Combined!M140)/Combined!M149</f>
        <v>0.21962889422274992</v>
      </c>
      <c r="M33" s="3">
        <f>(Combined!N132+Combined!N136-Combined!N140)/Combined!N149</f>
        <v>0.17105198016815917</v>
      </c>
      <c r="N33" s="3">
        <f>(Combined!O132+Combined!O136-Combined!O140)/Combined!O149</f>
        <v>0.17637318441079475</v>
      </c>
      <c r="O33" s="3">
        <f>(Combined!P132+Combined!P136-Combined!P140)/Combined!P149</f>
        <v>0.15451633926159886</v>
      </c>
      <c r="P33" s="3">
        <f>(Combined!Q132+Combined!Q136-Combined!Q140)/Combined!Q149</f>
        <v>0.084001394445923555</v>
      </c>
      <c r="Q33" s="3">
        <f>(Combined!R132+Combined!R136-Combined!R140)/Combined!R149</f>
        <v>0.28442048941461989</v>
      </c>
      <c r="R33" s="2">
        <f>(Combined!S132+Combined!S136-Combined!S140)/Combined!S149</f>
        <v>0.21752832279033135</v>
      </c>
      <c r="S33" s="2">
        <f>(Combined!T132+Combined!T136-Combined!T140)/Combined!T149</f>
        <v>0.21892826073969318</v>
      </c>
      <c r="T33" s="2">
        <f>(Combined!U132+Combined!U136-Combined!U140)/Combined!U149</f>
        <v>0.18602506225196866</v>
      </c>
      <c r="U33" s="2">
        <f>(Combined!V132+Combined!V136-Combined!V140)/Combined!V149</f>
        <v>0.18853735909524044</v>
      </c>
      <c r="V33" s="2">
        <f>(Combined!W132+Combined!W136-Combined!W140)/Combined!W149</f>
        <v>0.17040016948985665</v>
      </c>
      <c r="W33" s="2">
        <f>(Combined!X132+Combined!X136-Combined!X140)/Combined!X149</f>
        <v>0.097137116484042732</v>
      </c>
      <c r="X33" s="2">
        <f>(Combined!Y132+Combined!Y136-Combined!Y140)/Combined!Y149</f>
        <v>0.29125909971389213</v>
      </c>
    </row>
    <row r="34">
      <c r="C34" t="s">
        <v>808</v>
      </c>
      <c r="D34" s="1">
        <f t="shared" ref="D34:I34" si="478">1-SUM(D25:D33)</f>
        <v>0.38850315220823695</v>
      </c>
      <c r="E34" s="1">
        <f t="shared" si="478"/>
        <v>0.36693085212317322</v>
      </c>
      <c r="F34" s="1">
        <f t="shared" si="478"/>
        <v>0.32827178621875541</v>
      </c>
      <c r="G34" s="1">
        <f t="shared" si="478"/>
        <v>0.33590748711789087</v>
      </c>
      <c r="H34" s="1">
        <f t="shared" si="478"/>
        <v>0.33737254643534365</v>
      </c>
      <c r="I34" s="1">
        <f t="shared" si="478"/>
        <v>0.18350744590387136</v>
      </c>
      <c r="J34" s="1">
        <f t="shared" ref="J34:P34" si="479">1-SUM(J25:J33)</f>
        <v>0.29309108833932451</v>
      </c>
      <c r="K34" s="3">
        <f t="shared" si="479"/>
        <v>0.23596519694503504</v>
      </c>
      <c r="L34" s="3">
        <f t="shared" si="479"/>
        <v>0.24766662540012241</v>
      </c>
      <c r="M34" s="3">
        <f t="shared" si="479"/>
        <v>0.19288840316834965</v>
      </c>
      <c r="N34" s="3">
        <f t="shared" si="479"/>
        <v>0.19888891008025777</v>
      </c>
      <c r="O34" s="3">
        <f t="shared" si="479"/>
        <v>0.18885330354195395</v>
      </c>
      <c r="P34" s="3">
        <f t="shared" si="479"/>
        <v>0.094724976715615861</v>
      </c>
      <c r="Q34" s="3">
        <f t="shared" ref="Q34:X34" si="480">1-SUM(Q25:Q33)</f>
        <v>0.23270767315741625</v>
      </c>
      <c r="R34" s="2">
        <f t="shared" si="480"/>
        <v>0.30885600338106967</v>
      </c>
      <c r="S34" s="2">
        <f t="shared" si="480"/>
        <v>0.31084369507323661</v>
      </c>
      <c r="T34" s="2">
        <f t="shared" si="480"/>
        <v>0.26412632855739304</v>
      </c>
      <c r="U34" s="2">
        <f t="shared" si="480"/>
        <v>0.26769339491623056</v>
      </c>
      <c r="V34" s="2">
        <f t="shared" si="480"/>
        <v>0.26291240391092319</v>
      </c>
      <c r="W34" s="2">
        <f t="shared" si="480"/>
        <v>0.13791942673203172</v>
      </c>
      <c r="X34" s="2">
        <f t="shared" si="480"/>
        <v>0.26352013783637851</v>
      </c>
    </row>
    <row r="35">
      <c r="D35" s="66" t="str">
        <f t="shared" ref="D35:X35" si="481">D2</f>
        <v>H2</v>
      </c>
      <c r="E35" s="66" t="str">
        <f t="shared" si="481"/>
        <v>NH3</v>
      </c>
      <c r="F35" s="66" t="str">
        <f t="shared" si="481"/>
        <v xml:space="preserve">NH3 H2 Plant</v>
      </c>
      <c r="G35" s="66" t="str">
        <f t="shared" si="481"/>
        <v>LOHC</v>
      </c>
      <c r="H35" s="66" t="str">
        <f t="shared" si="481"/>
        <v>CH4</v>
      </c>
      <c r="I35" s="66" t="str">
        <f t="shared" si="481"/>
        <v xml:space="preserve">CH4 H2 Plant</v>
      </c>
      <c r="J35" s="66" t="str">
        <f t="shared" si="481"/>
        <v>Fe</v>
      </c>
      <c r="K35" s="67" t="str">
        <f t="shared" si="481"/>
        <v>H2</v>
      </c>
      <c r="L35" s="67" t="str">
        <f t="shared" si="481"/>
        <v>NH3</v>
      </c>
      <c r="M35" s="67" t="str">
        <f t="shared" si="481"/>
        <v xml:space="preserve">NH3 H2 Plant</v>
      </c>
      <c r="N35" s="67" t="str">
        <f t="shared" si="481"/>
        <v>LOHC</v>
      </c>
      <c r="O35" s="67" t="str">
        <f t="shared" si="481"/>
        <v>CH4</v>
      </c>
      <c r="P35" s="67" t="str">
        <f t="shared" si="481"/>
        <v xml:space="preserve">CH4 H2 Plant</v>
      </c>
      <c r="Q35" s="67" t="str">
        <f t="shared" si="481"/>
        <v>Fe</v>
      </c>
      <c r="R35" s="68" t="str">
        <f t="shared" si="481"/>
        <v>H2</v>
      </c>
      <c r="S35" s="68" t="str">
        <f t="shared" si="481"/>
        <v>NH3</v>
      </c>
      <c r="T35" s="68" t="str">
        <f t="shared" si="481"/>
        <v xml:space="preserve">H2 from NH3</v>
      </c>
      <c r="U35" s="68" t="str">
        <f t="shared" si="481"/>
        <v>LOHC</v>
      </c>
      <c r="V35" s="68" t="str">
        <f t="shared" si="481"/>
        <v>CH4</v>
      </c>
      <c r="W35" s="68" t="str">
        <f t="shared" si="481"/>
        <v xml:space="preserve">H2 from CH4</v>
      </c>
      <c r="X35" s="68" t="str">
        <f t="shared" si="481"/>
        <v>Fe</v>
      </c>
    </row>
    <row r="36">
      <c r="B36" t="s">
        <v>553</v>
      </c>
      <c r="C36" t="s">
        <v>804</v>
      </c>
      <c r="D36" s="1">
        <f>(Combined!E5+Combined!E9-Combined!E13)/Combined!E150</f>
        <v>0.18666529210404573</v>
      </c>
      <c r="E36" s="1">
        <f>(Combined!F5+Combined!F9-Combined!F13)/Combined!F150</f>
        <v>0.21018131133343015</v>
      </c>
      <c r="F36" s="1">
        <f>(Combined!G5+Combined!G9-Combined!G13)/Combined!G150</f>
        <v>0.19273760279040281</v>
      </c>
      <c r="G36" s="1">
        <f>(Combined!H5+Combined!H9-Combined!H13)/Combined!H150</f>
        <v>0.15308189581726575</v>
      </c>
      <c r="H36" s="1">
        <f>(Combined!I5+Combined!I9-Combined!I13)/Combined!I150</f>
        <v>0.21348145594134166</v>
      </c>
      <c r="I36" s="1">
        <f>(Combined!J5+Combined!J9-Combined!J13)/Combined!J150</f>
        <v>0.2001163492100789</v>
      </c>
      <c r="J36" s="1">
        <f>(Combined!K5+Combined!K9-Combined!K13)/Combined!K150</f>
        <v>0.14579112436524116</v>
      </c>
      <c r="K36" s="3">
        <f>(Combined!L5+Combined!L9-Combined!L13)/Combined!L150</f>
        <v>0.24000237409586336</v>
      </c>
      <c r="L36" s="3">
        <f>(Combined!M5+Combined!M9-Combined!M13)/Combined!M150</f>
        <v>0.29081729283838248</v>
      </c>
      <c r="M36" s="3">
        <f>(Combined!N5+Combined!N9-Combined!N13)/Combined!N150</f>
        <v>0.23308101977466672</v>
      </c>
      <c r="N36" s="3">
        <f>(Combined!O5+Combined!O9-Combined!O13)/Combined!O150</f>
        <v>0.20898855535452621</v>
      </c>
      <c r="O36" s="3">
        <f>(Combined!P5+Combined!P9-Combined!P13)/Combined!P150</f>
        <v>0.2530667226290344</v>
      </c>
      <c r="P36" s="3">
        <f>(Combined!Q5+Combined!Q9-Combined!Q13)/Combined!Q150</f>
        <v>0.23971910372241167</v>
      </c>
      <c r="Q36" s="3">
        <f>(Combined!R5+Combined!R9-Combined!R13)/Combined!R150</f>
        <v>0.22444615547122876</v>
      </c>
      <c r="R36" s="2">
        <f>(Combined!S5+Combined!S9-Combined!S13)/Combined!S150</f>
        <v>0.20902626633167393</v>
      </c>
      <c r="S36" s="2">
        <f>(Combined!T5+Combined!T9-Combined!T13)/Combined!T150</f>
        <v>0.24653694112407409</v>
      </c>
      <c r="T36" s="2">
        <f>(Combined!U5+Combined!U9-Combined!U13)/Combined!U150</f>
        <v>0.21508268824651575</v>
      </c>
      <c r="U36" s="2">
        <f>(Combined!V5+Combined!V9-Combined!V13)/Combined!V150</f>
        <v>0.1793005652032249</v>
      </c>
      <c r="V36" s="2">
        <f>(Combined!W5+Combined!W9-Combined!W13)/Combined!W150</f>
        <v>0.23378814601360398</v>
      </c>
      <c r="W36" s="2">
        <f>(Combined!X5+Combined!X9-Combined!X13)/Combined!X150</f>
        <v>0.22020858918811093</v>
      </c>
      <c r="X36" s="2">
        <f>(Combined!Y5+Combined!Y9-Combined!Y13)/Combined!Y150</f>
        <v>0.18037947552222838</v>
      </c>
    </row>
    <row r="37">
      <c r="C37" t="s">
        <v>786</v>
      </c>
      <c r="D37" s="1">
        <f>(Combined!E21+Combined!E25-Combined!E29)/Combined!E150</f>
        <v>0</v>
      </c>
      <c r="E37" s="1">
        <f>(Combined!F21+Combined!F25-Combined!F29)/Combined!F150</f>
        <v>0.1436011670570258</v>
      </c>
      <c r="F37" s="1">
        <f>(Combined!G21+Combined!G25-Combined!G29)/Combined!G150</f>
        <v>0.13168318591641179</v>
      </c>
      <c r="G37" s="1">
        <f>(Combined!H21+Combined!H25-Combined!H29)/Combined!H150</f>
        <v>0.0028307360860666281</v>
      </c>
      <c r="H37" s="1">
        <f>(Combined!I21+Combined!I25-Combined!I29)/Combined!I150</f>
        <v>0.21936061657747935</v>
      </c>
      <c r="I37" s="1">
        <f>(Combined!J21+Combined!J25-Combined!J29)/Combined!J150</f>
        <v>0.20562744223563306</v>
      </c>
      <c r="J37" s="1">
        <f>(Combined!K21+Combined!K25-Combined!K29)/Combined!K150</f>
        <v>0.208403973352602</v>
      </c>
      <c r="K37" s="3">
        <f>(Combined!L21+Combined!L25-Combined!L29)/Combined!L150</f>
        <v>0</v>
      </c>
      <c r="L37" s="3">
        <f>(Combined!M21+Combined!M25-Combined!M29)/Combined!M150</f>
        <v>0.19186381475936468</v>
      </c>
      <c r="M37" s="3">
        <f>(Combined!N21+Combined!N25-Combined!N29)/Combined!N150</f>
        <v>0.15377288319241339</v>
      </c>
      <c r="N37" s="3">
        <f>(Combined!O21+Combined!O25-Combined!O29)/Combined!O150</f>
        <v>0.037454494568988</v>
      </c>
      <c r="O37" s="3">
        <f>(Combined!P21+Combined!P25-Combined!P29)/Combined!P150</f>
        <v>0.33173178227662659</v>
      </c>
      <c r="P37" s="3">
        <f>(Combined!Q21+Combined!Q25-Combined!Q29)/Combined!Q150</f>
        <v>0.31423509459266818</v>
      </c>
      <c r="Q37" s="3">
        <f>(Combined!R21+Combined!R25-Combined!R29)/Combined!R150</f>
        <v>0.20101525508217416</v>
      </c>
      <c r="R37" s="2">
        <f>(Combined!S21+Combined!S25-Combined!S29)/Combined!S150</f>
        <v>0</v>
      </c>
      <c r="S37" s="2">
        <f>(Combined!T21+Combined!T25-Combined!T29)/Combined!T150</f>
        <v>0.1713392410012971</v>
      </c>
      <c r="T37" s="2">
        <f>(Combined!U21+Combined!U25-Combined!U29)/Combined!U150</f>
        <v>0.14947903705080098</v>
      </c>
      <c r="U37" s="2">
        <f>(Combined!V21+Combined!V25-Combined!V29)/Combined!V150</f>
        <v>0.022132054387991061</v>
      </c>
      <c r="V37" s="2">
        <f>(Combined!W21+Combined!W25-Combined!W29)/Combined!W150</f>
        <v>0.28084912536179246</v>
      </c>
      <c r="W37" s="2">
        <f>(Combined!X21+Combined!X25-Combined!X29)/Combined!X150</f>
        <v>0.26453603711385987</v>
      </c>
      <c r="X37" s="2">
        <f>(Combined!Y21+Combined!Y25-Combined!Y29)/Combined!Y150</f>
        <v>0.20635276217975487</v>
      </c>
    </row>
    <row r="38">
      <c r="C38" t="s">
        <v>377</v>
      </c>
      <c r="D38" s="1">
        <f>(Combined!E37+Combined!E41-Combined!E45)/Combined!E150</f>
        <v>0.0005358839283690468</v>
      </c>
      <c r="E38" s="1">
        <f>(Combined!F37+Combined!F41-Combined!F45)/Combined!F150</f>
        <v>0.00060339437244892689</v>
      </c>
      <c r="F38" s="1">
        <f>(Combined!G37+Combined!G41-Combined!G45)/Combined!G150</f>
        <v>0.00055331648729954499</v>
      </c>
      <c r="G38" s="1">
        <f>(Combined!H37+Combined!H41-Combined!H45)/Combined!H150</f>
        <v>0.00043947177736181731</v>
      </c>
      <c r="H38" s="1">
        <f>(Combined!I37+Combined!I41-Combined!I45)/Combined!I150</f>
        <v>0.00046550297081841098</v>
      </c>
      <c r="I38" s="1">
        <f>(Combined!J37+Combined!J41-Combined!J45)/Combined!J150</f>
        <v>0.00043635993888022973</v>
      </c>
      <c r="J38" s="1">
        <f>(Combined!K37+Combined!K41-Combined!K45)/Combined!K150</f>
        <v>0.00041854122727129426</v>
      </c>
      <c r="K38" s="3">
        <f>(Combined!L37+Combined!L41-Combined!L45)/Combined!L150</f>
        <v>0.0010586123319456053</v>
      </c>
      <c r="L38" s="3">
        <f>(Combined!M37+Combined!M41-Combined!M45)/Combined!M150</f>
        <v>0.0012827488632207748</v>
      </c>
      <c r="M38" s="3">
        <f>(Combined!N37+Combined!N41-Combined!N45)/Combined!N150</f>
        <v>0.0010280833379480256</v>
      </c>
      <c r="N38" s="3">
        <f>(Combined!O37+Combined!O41-Combined!O45)/Combined!O150</f>
        <v>0.0012193883294143821</v>
      </c>
      <c r="O38" s="3">
        <f>(Combined!P37+Combined!P41-Combined!P45)/Combined!P150</f>
        <v>0.00017716190805475244</v>
      </c>
      <c r="P38" s="3">
        <f>(Combined!Q37+Combined!Q41-Combined!Q45)/Combined!Q150</f>
        <v>0.00016781777300246695</v>
      </c>
      <c r="Q38" s="3">
        <f>(Combined!R37+Combined!R41-Combined!R45)/Combined!R150</f>
        <v>0.0013500813042122491</v>
      </c>
      <c r="R38" s="2">
        <f>(Combined!S37+Combined!S41-Combined!S45)/Combined!S150</f>
        <v>0.00068439269530498452</v>
      </c>
      <c r="S38" s="2">
        <f>(Combined!T37+Combined!T41-Combined!T45)/Combined!T150</f>
        <v>0.000807209948248457</v>
      </c>
      <c r="T38" s="2">
        <f>(Combined!U37+Combined!U41-Combined!U45)/Combined!U150</f>
        <v>0.00070422259989521489</v>
      </c>
      <c r="U38" s="2">
        <f>(Combined!V37+Combined!V41-Combined!V45)/Combined!V150</f>
        <v>0.00058706496194326028</v>
      </c>
      <c r="V38" s="2">
        <f>(Combined!W37+Combined!W41-Combined!W45)/Combined!W150</f>
        <v>0.0006003656919932245</v>
      </c>
      <c r="W38" s="2">
        <f>(Combined!X37+Combined!X41-Combined!X45)/Combined!X150</f>
        <v>0.00056549352174202602</v>
      </c>
      <c r="X38" s="2">
        <f>(Combined!Y37+Combined!Y41-Combined!Y45)/Combined!Y150</f>
        <v>0.00059059752440143221</v>
      </c>
    </row>
    <row r="39" ht="15" customHeight="1">
      <c r="C39" t="s">
        <v>787</v>
      </c>
      <c r="D39" s="1">
        <f>(Combined!E53+Combined!E57-Combined!E61)/Combined!E150</f>
        <v>0.10355244992637966</v>
      </c>
      <c r="E39" s="1">
        <f>(Combined!F53+Combined!F57-Combined!F61)/Combined!F150</f>
        <v>0</v>
      </c>
      <c r="F39" s="1">
        <f>(Combined!G53+Combined!G57-Combined!G61)/Combined!G150</f>
        <v>0</v>
      </c>
      <c r="G39" s="1">
        <f>(Combined!H53+Combined!H57-Combined!H61)/Combined!H150</f>
        <v>0</v>
      </c>
      <c r="H39" s="1">
        <f>(Combined!I53+Combined!I57-Combined!I61)/Combined!I150</f>
        <v>0.0088670542208107595</v>
      </c>
      <c r="I39" s="1">
        <f>(Combined!J53+Combined!J57-Combined!J61)/Combined!J150</f>
        <v>0.0083119281302074018</v>
      </c>
      <c r="J39" s="1">
        <f>(Combined!K53+Combined!K57-Combined!K61)/Combined!K150</f>
        <v>0</v>
      </c>
      <c r="K39" s="3">
        <f>(Combined!L53+Combined!L57-Combined!L61)/Combined!L150</f>
        <v>0.1920211013868294</v>
      </c>
      <c r="L39" s="3">
        <f>(Combined!M53+Combined!M57-Combined!M61)/Combined!M150</f>
        <v>0</v>
      </c>
      <c r="M39" s="3">
        <f>(Combined!N53+Combined!N57-Combined!N61)/Combined!N150</f>
        <v>0</v>
      </c>
      <c r="N39" s="3">
        <f>(Combined!O53+Combined!O57-Combined!O61)/Combined!O150</f>
        <v>0</v>
      </c>
      <c r="O39" s="3">
        <f>(Combined!P53+Combined!P57-Combined!P61)/Combined!P150</f>
        <v>0.044458761831468754</v>
      </c>
      <c r="P39" s="3">
        <f>(Combined!Q53+Combined!Q57-Combined!Q61)/Combined!Q150</f>
        <v>0.042113852141953276</v>
      </c>
      <c r="Q39" s="3">
        <f>(Combined!R53+Combined!R57-Combined!R61)/Combined!R150</f>
        <v>0</v>
      </c>
      <c r="R39" s="2">
        <f>(Combined!S53+Combined!S57-Combined!S61)/Combined!S150</f>
        <v>0.15626455777389076</v>
      </c>
      <c r="S39" s="2">
        <f>(Combined!T53+Combined!T57-Combined!T61)/Combined!T150</f>
        <v>0</v>
      </c>
      <c r="T39" s="2">
        <f>(Combined!U53+Combined!U57-Combined!U61)/Combined!U150</f>
        <v>0</v>
      </c>
      <c r="U39" s="2">
        <f>(Combined!V53+Combined!V57-Combined!V61)/Combined!V150</f>
        <v>0</v>
      </c>
      <c r="V39" s="2">
        <f>(Combined!W53+Combined!W57-Combined!W61)/Combined!W150</f>
        <v>0.022717629387381925</v>
      </c>
      <c r="W39" s="2">
        <f>(Combined!X53+Combined!X57-Combined!X61)/Combined!X150</f>
        <v>0.021398078569828956</v>
      </c>
      <c r="X39" s="2">
        <f>(Combined!Y53+Combined!Y57-Combined!Y61)/Combined!Y150</f>
        <v>0</v>
      </c>
    </row>
    <row r="40">
      <c r="C40" t="s">
        <v>805</v>
      </c>
      <c r="D40" s="1">
        <f>(Combined!E69+Combined!E73-Combined!E77)/Combined!E150</f>
        <v>0.00044424695500291467</v>
      </c>
      <c r="E40" s="1">
        <f>(Combined!F69+Combined!F73-Combined!F77)/Combined!F150</f>
        <v>1.2225048888577733e-05</v>
      </c>
      <c r="F40" s="1">
        <f>(Combined!G69+Combined!G73-Combined!G77)/Combined!G150</f>
        <v>1.1210447788300496e-05</v>
      </c>
      <c r="G40" s="1">
        <f>(Combined!H69+Combined!H73-Combined!H77)/Combined!H150</f>
        <v>0</v>
      </c>
      <c r="H40" s="1">
        <f>(Combined!I69+Combined!I73-Combined!I77)/Combined!I150</f>
        <v>6.6387321094459059e-05</v>
      </c>
      <c r="I40" s="1">
        <f>(Combined!J69+Combined!J73-Combined!J77)/Combined!J150</f>
        <v>6.2231111703260907e-05</v>
      </c>
      <c r="J40" s="1">
        <f>(Combined!K69+Combined!K73-Combined!K77)/Combined!K150</f>
        <v>0</v>
      </c>
      <c r="K40" s="3">
        <f>(Combined!L69+Combined!L73-Combined!L77)/Combined!L150</f>
        <v>0.011022351169119145</v>
      </c>
      <c r="L40" s="3">
        <f>(Combined!M69+Combined!M73-Combined!M77)/Combined!M150</f>
        <v>0.00024391839948075799</v>
      </c>
      <c r="M40" s="3">
        <f>(Combined!N69+Combined!N73-Combined!N77)/Combined!N150</f>
        <v>0.00019549301466187125</v>
      </c>
      <c r="N40" s="3">
        <f>(Combined!O69+Combined!O73-Combined!O77)/Combined!O150</f>
        <v>0</v>
      </c>
      <c r="O40" s="3">
        <f>(Combined!P69+Combined!P73-Combined!P77)/Combined!P150</f>
        <v>0.001358645545546984</v>
      </c>
      <c r="P40" s="3">
        <f>(Combined!Q69+Combined!Q73-Combined!Q77)/Combined!Q150</f>
        <v>0.0012869858552378597</v>
      </c>
      <c r="Q40" s="3">
        <f>(Combined!R69+Combined!R73-Combined!R77)/Combined!R150</f>
        <v>0</v>
      </c>
      <c r="R40" s="2">
        <f>(Combined!S69+Combined!S73-Combined!S77)/Combined!S150</f>
        <v>0.0042723878719925501</v>
      </c>
      <c r="S40" s="2">
        <f>(Combined!T69+Combined!T73-Combined!T77)/Combined!T150</f>
        <v>9.8958838745685505e-05</v>
      </c>
      <c r="T40" s="2">
        <f>(Combined!U69+Combined!U73-Combined!U77)/Combined!U150</f>
        <v>8.633324063375873e-05</v>
      </c>
      <c r="U40" s="2">
        <f>(Combined!V69+Combined!V73-Combined!V77)/Combined!V150</f>
        <v>0</v>
      </c>
      <c r="V40" s="2">
        <f>(Combined!W69+Combined!W73-Combined!W77)/Combined!W150</f>
        <v>0.00050278147005136545</v>
      </c>
      <c r="W40" s="2">
        <f>(Combined!X69+Combined!X73-Combined!X77)/Combined!X150</f>
        <v>0.00047357746779639161</v>
      </c>
      <c r="X40" s="2">
        <f>(Combined!Y69+Combined!Y73-Combined!Y77)/Combined!Y150</f>
        <v>0</v>
      </c>
    </row>
    <row r="41">
      <c r="C41" t="s">
        <v>806</v>
      </c>
      <c r="D41" s="1">
        <f>(Combined!E85+Combined!E89-Combined!E93)/Combined!E150</f>
        <v>0.13096042508790354</v>
      </c>
      <c r="E41" s="1">
        <f>(Combined!F85+Combined!F89-Combined!F93)/Combined!F150</f>
        <v>0.084179969167943208</v>
      </c>
      <c r="F41" s="1">
        <f>(Combined!G85+Combined!G89-Combined!G93)/Combined!G150</f>
        <v>0.077193568531222681</v>
      </c>
      <c r="G41" s="1">
        <f>(Combined!H85+Combined!H89-Combined!H93)/Combined!H150</f>
        <v>0.19817055997152239</v>
      </c>
      <c r="H41" s="1">
        <f>(Combined!I85+Combined!I89-Combined!I93)/Combined!I150</f>
        <v>0.044486735052763855</v>
      </c>
      <c r="I41" s="1">
        <f>(Combined!J85+Combined!J89-Combined!J93)/Combined!J150</f>
        <v>0.041701622128159449</v>
      </c>
      <c r="J41" s="1">
        <f>(Combined!K85+Combined!K89-Combined!K93)/Combined!K150</f>
        <v>0.092519332974247345</v>
      </c>
      <c r="K41" s="3">
        <f>(Combined!L85+Combined!L89-Combined!L93)/Combined!L150</f>
        <v>0.09713788551152544</v>
      </c>
      <c r="L41" s="3">
        <f>(Combined!M85+Combined!M89-Combined!M93)/Combined!M150</f>
        <v>0.067194155235630368</v>
      </c>
      <c r="M41" s="3">
        <f>(Combined!N85+Combined!N89-Combined!N93)/Combined!N150</f>
        <v>0.053854026603300166</v>
      </c>
      <c r="N41" s="3">
        <f>(Combined!O85+Combined!O89-Combined!O93)/Combined!O150</f>
        <v>0.15607538481398578</v>
      </c>
      <c r="O41" s="3">
        <f>(Combined!P85+Combined!P89-Combined!P93)/Combined!P150</f>
        <v>0.029127165584490237</v>
      </c>
      <c r="P41" s="3">
        <f>(Combined!Q85+Combined!Q89-Combined!Q93)/Combined!Q150</f>
        <v>0.027590897591555523</v>
      </c>
      <c r="Q41" s="3">
        <f>(Combined!R85+Combined!R89-Combined!R93)/Combined!R150</f>
        <v>0.082169412993416929</v>
      </c>
      <c r="R41" s="2">
        <f>(Combined!S85+Combined!S89-Combined!S93)/Combined!S150</f>
        <v>0.11252091140724084</v>
      </c>
      <c r="S41" s="2">
        <f>(Combined!T85+Combined!T89-Combined!T93)/Combined!T150</f>
        <v>0.075762194274269432</v>
      </c>
      <c r="T41" s="2">
        <f>(Combined!U85+Combined!U89-Combined!U93)/Combined!U150</f>
        <v>0.066096124733549921</v>
      </c>
      <c r="U41" s="2">
        <f>(Combined!V85+Combined!V89-Combined!V93)/Combined!V150</f>
        <v>0.17809545620491912</v>
      </c>
      <c r="V41" s="2">
        <f>(Combined!W85+Combined!W89-Combined!W93)/Combined!W150</f>
        <v>0.036741824562911904</v>
      </c>
      <c r="W41" s="2">
        <f>(Combined!X85+Combined!X89-Combined!X93)/Combined!X150</f>
        <v>0.034607680026365023</v>
      </c>
      <c r="X41" s="2">
        <f>(Combined!Y85+Combined!Y89-Combined!Y93)/Combined!Y150</f>
        <v>0.087830307601724014</v>
      </c>
    </row>
    <row r="42">
      <c r="C42" t="s">
        <v>807</v>
      </c>
      <c r="D42" s="1">
        <f>(Combined!E101+Combined!E105-Combined!E109)/Combined!E150</f>
        <v>0.00088214107923689701</v>
      </c>
      <c r="E42" s="1">
        <f>(Combined!F101+Combined!F105-Combined!F109)/Combined!F150</f>
        <v>2.4413475759869067e-05</v>
      </c>
      <c r="F42" s="1">
        <f>(Combined!G101+Combined!G105-Combined!G109)/Combined!G150</f>
        <v>2.2387312953215738e-05</v>
      </c>
      <c r="G42" s="1">
        <f>(Combined!H101+Combined!H105-Combined!H109)/Combined!H150</f>
        <v>0</v>
      </c>
      <c r="H42" s="1">
        <f>(Combined!I101+Combined!I105-Combined!I109)/Combined!I150</f>
        <v>0.00013253606321780823</v>
      </c>
      <c r="I42" s="1">
        <f>(Combined!J101+Combined!J105-Combined!J109)/Combined!J150</f>
        <v>0.00012423858078385803</v>
      </c>
      <c r="J42" s="1">
        <f>(Combined!K101+Combined!K105-Combined!K109)/Combined!K150</f>
        <v>0</v>
      </c>
      <c r="K42" s="3">
        <f>(Combined!L101+Combined!L105-Combined!L109)/Combined!L150</f>
        <v>0.020795947461636686</v>
      </c>
      <c r="L42" s="3">
        <f>(Combined!M101+Combined!M105-Combined!M109)/Combined!M150</f>
        <v>0.0004792068295872629</v>
      </c>
      <c r="M42" s="3">
        <f>(Combined!N101+Combined!N105-Combined!N109)/Combined!N150</f>
        <v>0.00038406937714414562</v>
      </c>
      <c r="N42" s="3">
        <f>(Combined!O101+Combined!O105-Combined!O109)/Combined!O150</f>
        <v>0</v>
      </c>
      <c r="O42" s="3">
        <f>(Combined!P101+Combined!P105-Combined!P109)/Combined!P150</f>
        <v>0.0026574633860657984</v>
      </c>
      <c r="P42" s="3">
        <f>(Combined!Q101+Combined!Q105-Combined!Q109)/Combined!Q150</f>
        <v>0.0025172995266416359</v>
      </c>
      <c r="Q42" s="3">
        <f>(Combined!R101+Combined!R105-Combined!R109)/Combined!R150</f>
        <v>0</v>
      </c>
      <c r="R42" s="2">
        <f>(Combined!S101+Combined!S105-Combined!S109)/Combined!S150</f>
        <v>0.0083114210237182108</v>
      </c>
      <c r="S42" s="2">
        <f>(Combined!T101+Combined!T105-Combined!T109)/Combined!T150</f>
        <v>0.00019620654767893059</v>
      </c>
      <c r="T42" s="2">
        <f>(Combined!U101+Combined!U105-Combined!U109)/Combined!U150</f>
        <v>0.00017117366482256443</v>
      </c>
      <c r="U42" s="2">
        <f>(Combined!V101+Combined!V105-Combined!V109)/Combined!V150</f>
        <v>0</v>
      </c>
      <c r="V42" s="2">
        <f>(Combined!W101+Combined!W105-Combined!W109)/Combined!W150</f>
        <v>0.00099538556423980147</v>
      </c>
      <c r="W42" s="2">
        <f>(Combined!X101+Combined!X105-Combined!X109)/Combined!X150</f>
        <v>0.00093756871140380149</v>
      </c>
      <c r="X42" s="2">
        <f>(Combined!Y101+Combined!Y105-Combined!Y109)/Combined!Y150</f>
        <v>0</v>
      </c>
    </row>
    <row r="43">
      <c r="C43" t="s">
        <v>791</v>
      </c>
      <c r="D43" s="1">
        <f>(Combined!E117+Combined!E121-Combined!E125)/Combined!E150</f>
        <v>0.0017257015780231609</v>
      </c>
      <c r="E43" s="1">
        <f>(Combined!F117+Combined!F121-Combined!F125)/Combined!F150</f>
        <v>0</v>
      </c>
      <c r="F43" s="1">
        <f>(Combined!G117+Combined!G121-Combined!G125)/Combined!G150</f>
        <v>0.09328972524351356</v>
      </c>
      <c r="G43" s="1">
        <f>(Combined!H117+Combined!H121-Combined!H125)/Combined!H150</f>
        <v>0.17845258929221078</v>
      </c>
      <c r="H43" s="1">
        <f>(Combined!I117+Combined!I121-Combined!I125)/Combined!I150</f>
        <v>0</v>
      </c>
      <c r="I43" s="1">
        <f>(Combined!J117+Combined!J121-Combined!J125)/Combined!J150</f>
        <v>0.25501121303235291</v>
      </c>
      <c r="J43" s="1">
        <f>(Combined!K117+Combined!K121-Combined!K125)/Combined!K150</f>
        <v>0</v>
      </c>
      <c r="K43" s="3">
        <f>(Combined!L117+Combined!L121-Combined!L125)/Combined!L150</f>
        <v>0.019824258507176274</v>
      </c>
      <c r="L43" s="3">
        <f>(Combined!M117+Combined!M121-Combined!M125)/Combined!M150</f>
        <v>0</v>
      </c>
      <c r="M43" s="3">
        <f>(Combined!N117+Combined!N121-Combined!N125)/Combined!N150</f>
        <v>0.20571415307368049</v>
      </c>
      <c r="N43" s="3">
        <f>(Combined!O117+Combined!O121-Combined!O125)/Combined!O150</f>
        <v>0.26188048836584371</v>
      </c>
      <c r="O43" s="3">
        <f>(Combined!P117+Combined!P121-Combined!P125)/Combined!P150</f>
        <v>0</v>
      </c>
      <c r="P43" s="3">
        <f>(Combined!Q117+Combined!Q121-Combined!Q125)/Combined!Q150</f>
        <v>0.19657493940009418</v>
      </c>
      <c r="Q43" s="3">
        <f>(Combined!R117+Combined!R121-Combined!R125)/Combined!R150</f>
        <v>0</v>
      </c>
      <c r="R43" s="2">
        <f>(Combined!S117+Combined!S121-Combined!S125)/Combined!S150</f>
        <v>0.019622783194362305</v>
      </c>
      <c r="S43" s="2">
        <f>(Combined!T117+Combined!T121-Combined!T125)/Combined!T150</f>
        <v>0</v>
      </c>
      <c r="T43" s="2">
        <f>(Combined!U117+Combined!U121-Combined!U125)/Combined!U150</f>
        <v>0.13640026144480527</v>
      </c>
      <c r="U43" s="2">
        <f>(Combined!V117+Combined!V121-Combined!V125)/Combined!V150</f>
        <v>0.22023221090676909</v>
      </c>
      <c r="V43" s="2">
        <f>(Combined!W117+Combined!W121-Combined!W125)/Combined!W150</f>
        <v>0</v>
      </c>
      <c r="W43" s="2">
        <f>(Combined!X117+Combined!X121-Combined!X125)/Combined!X150</f>
        <v>0.22707450808623897</v>
      </c>
      <c r="X43" s="2">
        <f>(Combined!Y117+Combined!Y121-Combined!Y125)/Combined!Y150</f>
        <v>0</v>
      </c>
    </row>
    <row r="44">
      <c r="C44" t="s">
        <v>793</v>
      </c>
      <c r="D44" s="1">
        <f>(Combined!E133+Combined!E137-Combined!E141)/Combined!E150</f>
        <v>0.21858886654959486</v>
      </c>
      <c r="E44" s="1">
        <f>(Combined!F133+Combined!F137-Combined!F141)/Combined!F150</f>
        <v>0.21333105742691127</v>
      </c>
      <c r="F44" s="1">
        <f>(Combined!G133+Combined!G137-Combined!G141)/Combined!G150</f>
        <v>0.19171342124275506</v>
      </c>
      <c r="G44" s="1">
        <f>(Combined!H133+Combined!H137-Combined!H141)/Combined!H150</f>
        <v>0.17746940388111765</v>
      </c>
      <c r="H44" s="1">
        <f>(Combined!I133+Combined!I137-Combined!I141)/Combined!I150</f>
        <v>0.18473029626689055</v>
      </c>
      <c r="I44" s="1">
        <f>(Combined!J133+Combined!J137-Combined!J141)/Combined!J150</f>
        <v>0.1096712739402364</v>
      </c>
      <c r="J44" s="1">
        <f>(Combined!K133+Combined!K137-Combined!K141)/Combined!K150</f>
        <v>0.27643351404031913</v>
      </c>
      <c r="K44" s="3">
        <f>(Combined!L133+Combined!L137-Combined!L141)/Combined!L150</f>
        <v>0.19652461068187496</v>
      </c>
      <c r="L44" s="3">
        <f>(Combined!M133+Combined!M137-Combined!M141)/Combined!M150</f>
        <v>0.21061586564493689</v>
      </c>
      <c r="M44" s="3">
        <f>(Combined!N133+Combined!N137-Combined!N141)/Combined!N150</f>
        <v>0.16542602766430711</v>
      </c>
      <c r="N44" s="3">
        <f>(Combined!O133+Combined!O137-Combined!O141)/Combined!O150</f>
        <v>0.15715939362660367</v>
      </c>
      <c r="O44" s="3">
        <f>(Combined!P133+Combined!P137-Combined!P141)/Combined!P150</f>
        <v>0.1518400335774206</v>
      </c>
      <c r="P44" s="3">
        <f>(Combined!Q133+Combined!Q137-Combined!Q141)/Combined!Q150</f>
        <v>0.082623184416324533</v>
      </c>
      <c r="Q44" s="3">
        <f>(Combined!R133+Combined!R137-Combined!R141)/Combined!R150</f>
        <v>0.27006050233193235</v>
      </c>
      <c r="R44" s="2">
        <f>(Combined!S133+Combined!S137-Combined!S141)/Combined!S150</f>
        <v>0.20220210083677559</v>
      </c>
      <c r="S44" s="2">
        <f>(Combined!T133+Combined!T137-Combined!T141)/Combined!T150</f>
        <v>0.20879838434579484</v>
      </c>
      <c r="T44" s="2">
        <f>(Combined!U133+Combined!U137-Combined!U141)/Combined!U150</f>
        <v>0.178515800714592</v>
      </c>
      <c r="U44" s="2">
        <f>(Combined!V133+Combined!V137-Combined!V141)/Combined!V150</f>
        <v>0.16515645692450179</v>
      </c>
      <c r="V44" s="2">
        <f>(Combined!W133+Combined!W137-Combined!W141)/Combined!W150</f>
        <v>0.16666121477106097</v>
      </c>
      <c r="W44" s="2">
        <f>(Combined!X133+Combined!X137-Combined!X141)/Combined!X150</f>
        <v>0.095129516617780754</v>
      </c>
      <c r="X44" s="2">
        <f>(Combined!Y133+Combined!Y137-Combined!Y141)/Combined!Y150</f>
        <v>0.27554460001524289</v>
      </c>
    </row>
    <row r="45">
      <c r="C45" t="s">
        <v>808</v>
      </c>
      <c r="D45" s="1">
        <f t="shared" ref="D45:I45" si="482">1-SUM(D36:D44)</f>
        <v>0.35664499279144435</v>
      </c>
      <c r="E45" s="1">
        <f t="shared" si="482"/>
        <v>0.34806646211759218</v>
      </c>
      <c r="F45" s="1">
        <f t="shared" si="482"/>
        <v>0.31279558202765312</v>
      </c>
      <c r="G45" s="1">
        <f t="shared" si="482"/>
        <v>0.28955534317445497</v>
      </c>
      <c r="H45" s="1">
        <f t="shared" si="482"/>
        <v>0.32840941558558312</v>
      </c>
      <c r="I45" s="1">
        <f t="shared" si="482"/>
        <v>0.1789373416919644</v>
      </c>
      <c r="J45" s="1">
        <f t="shared" ref="J45:P45" si="483">1-SUM(J36:J44)</f>
        <v>0.27643351404031902</v>
      </c>
      <c r="K45" s="3">
        <f t="shared" si="483"/>
        <v>0.22161285885402904</v>
      </c>
      <c r="L45" s="3">
        <f t="shared" si="483"/>
        <v>0.23750299742939673</v>
      </c>
      <c r="M45" s="3">
        <f t="shared" si="483"/>
        <v>0.18654424396187808</v>
      </c>
      <c r="N45" s="3">
        <f t="shared" si="483"/>
        <v>0.17722229494063824</v>
      </c>
      <c r="O45" s="3">
        <f t="shared" si="483"/>
        <v>0.1855822632612919</v>
      </c>
      <c r="P45" s="3">
        <f t="shared" si="483"/>
        <v>0.093170824980110645</v>
      </c>
      <c r="Q45" s="3">
        <f t="shared" ref="Q45:X45" si="484">1-SUM(Q36:Q44)</f>
        <v>0.22095859281703556</v>
      </c>
      <c r="R45" s="2">
        <f t="shared" si="484"/>
        <v>0.28709517886504077</v>
      </c>
      <c r="S45" s="2">
        <f t="shared" si="484"/>
        <v>0.29646086391989146</v>
      </c>
      <c r="T45" s="2">
        <f t="shared" si="484"/>
        <v>0.25346435830438452</v>
      </c>
      <c r="U45" s="2">
        <f t="shared" si="484"/>
        <v>0.23449619141065081</v>
      </c>
      <c r="V45" s="2">
        <f t="shared" si="484"/>
        <v>0.25714352717696443</v>
      </c>
      <c r="W45" s="2">
        <f t="shared" si="484"/>
        <v>0.13506895069687319</v>
      </c>
      <c r="X45" s="2">
        <f t="shared" si="484"/>
        <v>0.24930225715664833</v>
      </c>
    </row>
    <row r="46">
      <c r="D46" s="66" t="str">
        <f t="shared" ref="D46:X46" si="485">D2</f>
        <v>H2</v>
      </c>
      <c r="E46" s="66" t="str">
        <f t="shared" si="485"/>
        <v>NH3</v>
      </c>
      <c r="F46" s="66" t="str">
        <f t="shared" si="485"/>
        <v xml:space="preserve">NH3 H2 Plant</v>
      </c>
      <c r="G46" s="66" t="str">
        <f t="shared" si="485"/>
        <v>LOHC</v>
      </c>
      <c r="H46" s="66" t="str">
        <f t="shared" si="485"/>
        <v>CH4</v>
      </c>
      <c r="I46" s="66" t="str">
        <f t="shared" si="485"/>
        <v xml:space="preserve">CH4 H2 Plant</v>
      </c>
      <c r="J46" s="66" t="str">
        <f t="shared" si="485"/>
        <v>Fe</v>
      </c>
      <c r="K46" s="67" t="str">
        <f t="shared" si="485"/>
        <v>H2</v>
      </c>
      <c r="L46" s="67" t="str">
        <f t="shared" si="485"/>
        <v>NH3</v>
      </c>
      <c r="M46" s="67" t="str">
        <f t="shared" si="485"/>
        <v xml:space="preserve">NH3 H2 Plant</v>
      </c>
      <c r="N46" s="67" t="str">
        <f t="shared" si="485"/>
        <v>LOHC</v>
      </c>
      <c r="O46" s="67" t="str">
        <f t="shared" si="485"/>
        <v>CH4</v>
      </c>
      <c r="P46" s="67" t="str">
        <f t="shared" si="485"/>
        <v xml:space="preserve">CH4 H2 Plant</v>
      </c>
      <c r="Q46" s="67" t="str">
        <f t="shared" si="485"/>
        <v>Fe</v>
      </c>
      <c r="R46" s="68" t="str">
        <f t="shared" si="485"/>
        <v>H2</v>
      </c>
      <c r="S46" s="68" t="str">
        <f t="shared" si="485"/>
        <v>NH3</v>
      </c>
      <c r="T46" s="68" t="str">
        <f t="shared" si="485"/>
        <v xml:space="preserve">H2 from NH3</v>
      </c>
      <c r="U46" s="68" t="str">
        <f t="shared" si="485"/>
        <v>LOHC</v>
      </c>
      <c r="V46" s="68" t="str">
        <f t="shared" si="485"/>
        <v>CH4</v>
      </c>
      <c r="W46" s="68" t="str">
        <f t="shared" si="485"/>
        <v xml:space="preserve">H2 from CH4</v>
      </c>
      <c r="X46" s="68" t="str">
        <f t="shared" si="485"/>
        <v>Fe</v>
      </c>
      <c r="AA46" t="s">
        <v>810</v>
      </c>
      <c r="AB46" t="s">
        <v>2</v>
      </c>
      <c r="AC46" t="s">
        <v>811</v>
      </c>
      <c r="AE46" t="s">
        <v>810</v>
      </c>
      <c r="AF46" t="s">
        <v>2</v>
      </c>
      <c r="AG46" t="s">
        <v>811</v>
      </c>
      <c r="AI46" t="s">
        <v>810</v>
      </c>
      <c r="AJ46" t="s">
        <v>2</v>
      </c>
      <c r="AK46" t="s">
        <v>811</v>
      </c>
      <c r="AM46" t="s">
        <v>810</v>
      </c>
      <c r="AN46" t="s">
        <v>2</v>
      </c>
      <c r="AO46" t="s">
        <v>811</v>
      </c>
      <c r="AQ46" t="s">
        <v>810</v>
      </c>
      <c r="AR46" t="s">
        <v>2</v>
      </c>
      <c r="AS46" t="s">
        <v>811</v>
      </c>
      <c r="AU46" t="s">
        <v>810</v>
      </c>
      <c r="AV46" t="s">
        <v>2</v>
      </c>
      <c r="AW46" t="s">
        <v>811</v>
      </c>
      <c r="AY46" t="s">
        <v>810</v>
      </c>
      <c r="AZ46" t="s">
        <v>2</v>
      </c>
      <c r="BA46" t="s">
        <v>811</v>
      </c>
    </row>
    <row r="47">
      <c r="A47" s="6" t="s">
        <v>784</v>
      </c>
      <c r="B47" t="s">
        <v>550</v>
      </c>
      <c r="C47" t="s">
        <v>804</v>
      </c>
      <c r="D47" s="1">
        <f>Combined!E14/Combined!E138</f>
        <v>0.043487337358884437</v>
      </c>
      <c r="E47" s="1">
        <f>Combined!F14/Combined!F138</f>
        <v>0.050172679182863715</v>
      </c>
      <c r="F47" s="1">
        <f>Combined!G14/Combined!G138</f>
        <v>0.051196611411085419</v>
      </c>
      <c r="G47" s="1">
        <f>Combined!H14/Combined!H138</f>
        <v>0.043926603392812562</v>
      </c>
      <c r="H47" s="1">
        <f>Combined!I14/Combined!I138</f>
        <v>0.054010715469768343</v>
      </c>
      <c r="I47" s="1">
        <f>Combined!J14/Combined!J138</f>
        <v>0.092921661023257371</v>
      </c>
      <c r="J47" s="1">
        <f>Combined!K14/Combined!K138</f>
        <v>0.04382034223237681</v>
      </c>
      <c r="K47" s="3">
        <f>Combined!L14/Combined!L138</f>
        <v>0.43414459549018769</v>
      </c>
      <c r="L47" s="3">
        <f>Combined!M14/Combined!M138</f>
        <v>0.49086825855002997</v>
      </c>
      <c r="M47" s="63">
        <f>Combined!N14/Combined!N138</f>
        <v>0.50088597811227553</v>
      </c>
      <c r="N47" s="63">
        <f>Combined!O14/Combined!O138</f>
        <v>0.47273522620042663</v>
      </c>
      <c r="O47" s="3">
        <f>Combined!P14/Combined!P138</f>
        <v>0.54665382520631156</v>
      </c>
      <c r="P47" s="3">
        <f>Combined!Q14/Combined!Q138</f>
        <v>1.0314223117100219</v>
      </c>
      <c r="Q47" s="3">
        <f>Combined!R14/Combined!R138</f>
        <v>0.40720686672449391</v>
      </c>
      <c r="R47" s="2">
        <f>Combined!S14/Combined!S138</f>
        <v>0.15898072092827722</v>
      </c>
      <c r="S47" s="2">
        <f>Combined!T14/Combined!T138</f>
        <v>0.18158673995494909</v>
      </c>
      <c r="T47" s="64">
        <f>Combined!U14/Combined!U138</f>
        <v>0.18529259179076438</v>
      </c>
      <c r="U47" s="64">
        <f>Combined!V14/Combined!V138</f>
        <v>0.16696112542855948</v>
      </c>
      <c r="V47" s="2">
        <f>Combined!W14/Combined!W138</f>
        <v>0.19852554119335736</v>
      </c>
      <c r="W47" s="2">
        <f>Combined!X14/Combined!X138</f>
        <v>0.35599854824602928</v>
      </c>
      <c r="X47" s="2">
        <f>Combined!Y14/Combined!Y138</f>
        <v>0.15799029413998145</v>
      </c>
      <c r="Z47" s="68" t="str">
        <f t="array" ref="Z47:Z55">C47:C55</f>
        <v>Elektrolyser</v>
      </c>
      <c r="AA47">
        <f t="shared" ref="AA47:AA89" si="486">D47</f>
        <v>0.043487337358884437</v>
      </c>
      <c r="AB47">
        <f t="shared" ref="AB47:AB89" si="487">R47</f>
        <v>0.15898072092827722</v>
      </c>
      <c r="AC47">
        <f t="shared" ref="AC47:AC89" si="488">K47</f>
        <v>0.43414459549018769</v>
      </c>
      <c r="AE47">
        <f t="array" ref="AE47:AE55">E47:E55</f>
        <v>0.050172679182863715</v>
      </c>
      <c r="AF47">
        <f t="array" ref="AF47:AF55">S47:S55</f>
        <v>0.18158673995494909</v>
      </c>
      <c r="AG47">
        <f t="shared" ref="AG47:AG89" si="489">L47</f>
        <v>0.49086825855002997</v>
      </c>
      <c r="AI47">
        <f t="array" ref="AI47:AI55">F47:F55</f>
        <v>0.051196611411085419</v>
      </c>
      <c r="AJ47">
        <f t="array" ref="AJ47:AJ55">T47:T55</f>
        <v>0.18529259179076438</v>
      </c>
      <c r="AK47">
        <f t="array" ref="AK47:AK55">M47:M55</f>
        <v>0.50088597811227553</v>
      </c>
      <c r="AM47">
        <f t="array" ref="AM47:AM55">G47:G55</f>
        <v>0.043926603392812562</v>
      </c>
      <c r="AN47">
        <f t="shared" ref="AN47:AN89" si="490">U47</f>
        <v>0.16696112542855948</v>
      </c>
      <c r="AO47">
        <f t="shared" ref="AO47:AO89" si="491">N47</f>
        <v>0.47273522620042663</v>
      </c>
      <c r="AQ47">
        <f t="shared" ref="AQ47:AQ89" si="492">H47</f>
        <v>0.054010715469768343</v>
      </c>
      <c r="AR47">
        <f t="shared" ref="AR47:AR89" si="493">V47</f>
        <v>0.19852554119335736</v>
      </c>
      <c r="AS47">
        <f t="shared" ref="AS47:AS89" si="494">O47</f>
        <v>0.54665382520631156</v>
      </c>
      <c r="AU47">
        <f t="shared" ref="AU47:AU89" si="495">I47</f>
        <v>0.092921661023257371</v>
      </c>
      <c r="AV47">
        <f t="array" ref="AV47">_xlfn.ANCHORARRAY(W47)</f>
        <v>0.35599854824602928</v>
      </c>
      <c r="AW47">
        <f t="shared" ref="AW47:AW89" si="496">P47</f>
        <v>1.0314223117100219</v>
      </c>
      <c r="AY47">
        <f t="shared" ref="AY47:AY89" si="497">J47</f>
        <v>0.04382034223237681</v>
      </c>
      <c r="AZ47">
        <f t="shared" ref="AZ47:AZ89" si="498">X47</f>
        <v>0.15799029413998145</v>
      </c>
      <c r="BA47">
        <f t="shared" ref="BA47:BA89" si="499">Q47</f>
        <v>0.40720686672449391</v>
      </c>
    </row>
    <row r="48">
      <c r="C48" t="s">
        <v>786</v>
      </c>
      <c r="D48" s="66">
        <f>Combined!E30/Combined!E138</f>
        <v>0</v>
      </c>
      <c r="E48" s="66">
        <f>Combined!F30/Combined!F138</f>
        <v>0.010874496327375813</v>
      </c>
      <c r="F48" s="66">
        <f>Combined!G30/Combined!G138</f>
        <v>0.01109642482385287</v>
      </c>
      <c r="G48" s="66">
        <f>Combined!H30/Combined!H138</f>
        <v>0.0015568224126815144</v>
      </c>
      <c r="H48" s="66">
        <f>Combined!I30/Combined!I138</f>
        <v>0.0089017662120122569</v>
      </c>
      <c r="I48" s="66">
        <f>Combined!J30/Combined!J138</f>
        <v>0.015314866601311412</v>
      </c>
      <c r="J48" s="66">
        <f>Combined!K30/Combined!K138</f>
        <v>0.075578327305971388</v>
      </c>
      <c r="K48" s="67">
        <f>Combined!L30/Combined!L138</f>
        <v>0</v>
      </c>
      <c r="L48" s="67">
        <f>Combined!M30/Combined!M138</f>
        <v>0.093078481248365361</v>
      </c>
      <c r="M48" s="67">
        <f>Combined!N30/Combined!N138</f>
        <v>0.094978042090168746</v>
      </c>
      <c r="N48" s="67">
        <f>Combined!O30/Combined!O138</f>
        <v>0.019640430830880871</v>
      </c>
      <c r="O48" s="67">
        <f>Combined!P30/Combined!P138</f>
        <v>0.19863675863021557</v>
      </c>
      <c r="P48" s="67">
        <f>Combined!Q30/Combined!Q138</f>
        <v>0.37478633703814257</v>
      </c>
      <c r="Q48" s="67">
        <f>Combined!R30/Combined!R138</f>
        <v>0.21298718983937148</v>
      </c>
      <c r="R48" s="68">
        <f>Combined!S30/Combined!S138</f>
        <v>0</v>
      </c>
      <c r="S48" s="68">
        <f>Combined!T30/Combined!T138</f>
        <v>0.035408282325537055</v>
      </c>
      <c r="T48" s="68">
        <f>Combined!U30/Combined!U138</f>
        <v>0.036130900332180665</v>
      </c>
      <c r="U48" s="68">
        <f>Combined!V30/Combined!V138</f>
        <v>0.006620372939270233</v>
      </c>
      <c r="V48" s="68">
        <f>Combined!W30/Combined!W138</f>
        <v>0.064677170118679086</v>
      </c>
      <c r="W48" s="68">
        <f>Combined!X30/Combined!X138</f>
        <v>0.11597993149146309</v>
      </c>
      <c r="X48" s="68">
        <f>Combined!Y30/Combined!Y138</f>
        <v>0.14292818325285397</v>
      </c>
      <c r="Z48" t="str">
        <f/>
        <v>Conversion</v>
      </c>
      <c r="AA48">
        <f t="shared" si="486"/>
        <v>0</v>
      </c>
      <c r="AB48">
        <f t="shared" si="487"/>
        <v>0</v>
      </c>
      <c r="AC48">
        <f t="shared" si="488"/>
        <v>0</v>
      </c>
      <c r="AE48">
        <f/>
        <v>0.010874496327375813</v>
      </c>
      <c r="AF48">
        <f/>
        <v>0.035408282325537055</v>
      </c>
      <c r="AG48">
        <f t="shared" si="489"/>
        <v>0.093078481248365361</v>
      </c>
      <c r="AI48">
        <f/>
        <v>0.01109642482385287</v>
      </c>
      <c r="AJ48">
        <f/>
        <v>0.036130900332180665</v>
      </c>
      <c r="AK48">
        <f/>
        <v>0.094978042090168746</v>
      </c>
      <c r="AM48">
        <f/>
        <v>0.0015568224126815144</v>
      </c>
      <c r="AN48">
        <f t="shared" si="490"/>
        <v>0.006620372939270233</v>
      </c>
      <c r="AO48">
        <f t="shared" si="491"/>
        <v>0.019640430830880871</v>
      </c>
      <c r="AQ48">
        <f t="shared" si="492"/>
        <v>0.0089017662120122569</v>
      </c>
      <c r="AR48">
        <f t="shared" si="493"/>
        <v>0.064677170118679086</v>
      </c>
      <c r="AS48">
        <f t="shared" si="494"/>
        <v>0.19863675863021557</v>
      </c>
      <c r="AU48">
        <f t="shared" si="495"/>
        <v>0.015314866601311412</v>
      </c>
      <c r="AV48">
        <f t="array" ref="AV48">_xlfn.ANCHORARRAY(W48)</f>
        <v>0.11597993149146309</v>
      </c>
      <c r="AW48">
        <f t="shared" si="496"/>
        <v>0.37478633703814257</v>
      </c>
      <c r="AY48">
        <f t="shared" si="497"/>
        <v>0.075578327305971388</v>
      </c>
      <c r="AZ48">
        <f t="shared" si="498"/>
        <v>0.14292818325285397</v>
      </c>
      <c r="BA48">
        <f t="shared" si="499"/>
        <v>0.21298718983937148</v>
      </c>
    </row>
    <row r="49">
      <c r="C49" t="s">
        <v>377</v>
      </c>
      <c r="D49" s="66">
        <f>Combined!E46/Combined!E138</f>
        <v>0.00034072329284106056</v>
      </c>
      <c r="E49" s="66">
        <f>Combined!F46/Combined!F138</f>
        <v>0.00039310294674435744</v>
      </c>
      <c r="F49" s="66">
        <f>Combined!G46/Combined!G138</f>
        <v>0.00040112545586158926</v>
      </c>
      <c r="G49" s="66">
        <f>Combined!H46/Combined!H138</f>
        <v>0.00034416494226369745</v>
      </c>
      <c r="H49" s="66">
        <f>Combined!I46/Combined!I138</f>
        <v>0.00032142087562654886</v>
      </c>
      <c r="I49" s="66">
        <f>Combined!J46/Combined!J138</f>
        <v>0.00055298215161556801</v>
      </c>
      <c r="J49" s="66">
        <f>Combined!K46/Combined!K138</f>
        <v>0.00026077737811989039</v>
      </c>
      <c r="K49" s="67">
        <f>Combined!L46/Combined!L138</f>
        <v>0.0018485996924671915</v>
      </c>
      <c r="L49" s="67">
        <f>Combined!M46/Combined!M138</f>
        <v>0.0020901306182861375</v>
      </c>
      <c r="M49" s="67">
        <f>Combined!N46/Combined!N138</f>
        <v>0.0021327863451899363</v>
      </c>
      <c r="N49" s="67">
        <f>Combined!O46/Combined!O138</f>
        <v>0.0020129196651309418</v>
      </c>
      <c r="O49" s="67">
        <f>Combined!P46/Combined!P138</f>
        <v>0.0018738623391346728</v>
      </c>
      <c r="P49" s="67">
        <f>Combined!Q46/Combined!Q138</f>
        <v>0.0035355893191220244</v>
      </c>
      <c r="Q49" s="67">
        <f>Combined!R46/Combined!R138</f>
        <v>0.0017338980985067715</v>
      </c>
      <c r="R49" s="68">
        <f>Combined!S46/Combined!S138</f>
        <v>0.00078486119746372276</v>
      </c>
      <c r="S49" s="68">
        <f>Combined!T46/Combined!T138</f>
        <v>0.00089646332795831145</v>
      </c>
      <c r="T49" s="68">
        <f>Combined!U46/Combined!U138</f>
        <v>0.00091475849791664422</v>
      </c>
      <c r="U49" s="68">
        <f>Combined!V46/Combined!V138</f>
        <v>0.00082425911814092319</v>
      </c>
      <c r="V49" s="68">
        <f>Combined!W46/Combined!W138</f>
        <v>0.00076869430288180568</v>
      </c>
      <c r="W49" s="68">
        <f>Combined!X46/Combined!X138</f>
        <v>0.001378432488968189</v>
      </c>
      <c r="X49" s="68">
        <f>Combined!Y46/Combined!Y138</f>
        <v>0.00077997162625959742</v>
      </c>
      <c r="Z49" t="str">
        <f/>
        <v>Water</v>
      </c>
      <c r="AA49">
        <f t="shared" si="486"/>
        <v>0.00034072329284106056</v>
      </c>
      <c r="AB49">
        <f t="shared" si="487"/>
        <v>0.00078486119746372276</v>
      </c>
      <c r="AC49">
        <f t="shared" si="488"/>
        <v>0.0018485996924671915</v>
      </c>
      <c r="AE49">
        <f/>
        <v>0.00039310294674435744</v>
      </c>
      <c r="AF49">
        <f/>
        <v>0.00089646332795831145</v>
      </c>
      <c r="AG49">
        <f t="shared" si="489"/>
        <v>0.0020901306182861375</v>
      </c>
      <c r="AI49">
        <f/>
        <v>0.00040112545586158926</v>
      </c>
      <c r="AJ49">
        <f/>
        <v>0.00091475849791664422</v>
      </c>
      <c r="AK49">
        <f/>
        <v>0.0021327863451899363</v>
      </c>
      <c r="AM49">
        <f/>
        <v>0.00034416494226369745</v>
      </c>
      <c r="AN49">
        <f t="shared" si="490"/>
        <v>0.00082425911814092319</v>
      </c>
      <c r="AO49">
        <f t="shared" si="491"/>
        <v>0.0020129196651309418</v>
      </c>
      <c r="AQ49">
        <f t="shared" si="492"/>
        <v>0.00032142087562654886</v>
      </c>
      <c r="AR49">
        <f t="shared" si="493"/>
        <v>0.00076869430288180568</v>
      </c>
      <c r="AS49">
        <f t="shared" si="494"/>
        <v>0.0018738623391346728</v>
      </c>
      <c r="AU49">
        <f t="shared" si="495"/>
        <v>0.00055298215161556801</v>
      </c>
      <c r="AV49">
        <f t="array" ref="AV49">_xlfn.ANCHORARRAY(W49)</f>
        <v>0.001378432488968189</v>
      </c>
      <c r="AW49">
        <f t="shared" si="496"/>
        <v>0.0035355893191220244</v>
      </c>
      <c r="AY49">
        <f t="shared" si="497"/>
        <v>0.00026077737811989039</v>
      </c>
      <c r="AZ49">
        <f t="shared" si="498"/>
        <v>0.00077997162625959742</v>
      </c>
      <c r="BA49">
        <f t="shared" si="499"/>
        <v>0.0017338980985067715</v>
      </c>
    </row>
    <row r="50">
      <c r="C50" t="s">
        <v>787</v>
      </c>
      <c r="D50" s="66">
        <f>Combined!E62/Combined!E138</f>
        <v>0.019291990949821741</v>
      </c>
      <c r="E50" s="66">
        <f>Combined!F62/Combined!F138</f>
        <v>0</v>
      </c>
      <c r="F50" s="66">
        <f>Combined!G62/Combined!G138</f>
        <v>0</v>
      </c>
      <c r="G50" s="66">
        <f>Combined!H62/Combined!H138</f>
        <v>0</v>
      </c>
      <c r="H50" s="66">
        <f>Combined!I62/Combined!I138</f>
        <v>0.0058431410502322347</v>
      </c>
      <c r="I50" s="66">
        <f>Combined!J62/Combined!J138</f>
        <v>0.010052715785345782</v>
      </c>
      <c r="J50" s="66">
        <f>Combined!K62/Combined!K138</f>
        <v>0</v>
      </c>
      <c r="K50" s="67">
        <f>Combined!L62/Combined!L138</f>
        <v>0.18696553473351504</v>
      </c>
      <c r="L50" s="67">
        <f>Combined!M62/Combined!M138</f>
        <v>0</v>
      </c>
      <c r="M50" s="67">
        <f>Combined!N62/Combined!N138</f>
        <v>0</v>
      </c>
      <c r="N50" s="67">
        <f>Combined!O62/Combined!O138</f>
        <v>0</v>
      </c>
      <c r="O50" s="67">
        <f>Combined!P62/Combined!P138</f>
        <v>0.057028141079318584</v>
      </c>
      <c r="P50" s="67">
        <f>Combined!Q62/Combined!Q138</f>
        <v>0.10760026618739356</v>
      </c>
      <c r="Q50" s="67">
        <f>Combined!R62/Combined!R138</f>
        <v>0</v>
      </c>
      <c r="R50" s="68">
        <f>Combined!S62/Combined!S138</f>
        <v>0.065152272935105518</v>
      </c>
      <c r="S50" s="68">
        <f>Combined!T62/Combined!T138</f>
        <v>0</v>
      </c>
      <c r="T50" s="68">
        <f>Combined!U62/Combined!U138</f>
        <v>0</v>
      </c>
      <c r="U50" s="68">
        <f>Combined!V62/Combined!V138</f>
        <v>0</v>
      </c>
      <c r="V50" s="68">
        <f>Combined!W62/Combined!W138</f>
        <v>0.019784353546729378</v>
      </c>
      <c r="W50" s="68">
        <f>Combined!X62/Combined!X138</f>
        <v>0.035477556682552966</v>
      </c>
      <c r="X50" s="68">
        <f>Combined!Y62/Combined!Y138</f>
        <v>0</v>
      </c>
      <c r="Z50" t="str">
        <f/>
        <v>Liquefaction</v>
      </c>
      <c r="AA50">
        <f t="shared" si="486"/>
        <v>0.019291990949821741</v>
      </c>
      <c r="AB50">
        <f t="shared" si="487"/>
        <v>0.065152272935105518</v>
      </c>
      <c r="AC50">
        <f t="shared" si="488"/>
        <v>0.18696553473351504</v>
      </c>
      <c r="AE50">
        <f/>
        <v>0</v>
      </c>
      <c r="AF50">
        <f/>
        <v>0</v>
      </c>
      <c r="AG50">
        <f t="shared" si="489"/>
        <v>0</v>
      </c>
      <c r="AI50">
        <f/>
        <v>0</v>
      </c>
      <c r="AJ50">
        <f/>
        <v>0</v>
      </c>
      <c r="AK50">
        <f/>
        <v>0</v>
      </c>
      <c r="AM50">
        <f/>
        <v>0</v>
      </c>
      <c r="AN50">
        <f t="shared" si="490"/>
        <v>0</v>
      </c>
      <c r="AO50">
        <f t="shared" si="491"/>
        <v>0</v>
      </c>
      <c r="AQ50">
        <f t="shared" si="492"/>
        <v>0.0058431410502322347</v>
      </c>
      <c r="AR50">
        <f t="shared" si="493"/>
        <v>0.019784353546729378</v>
      </c>
      <c r="AS50">
        <f t="shared" si="494"/>
        <v>0.057028141079318584</v>
      </c>
      <c r="AU50">
        <f t="shared" si="495"/>
        <v>0.010052715785345782</v>
      </c>
      <c r="AV50">
        <f t="array" ref="AV50">_xlfn.ANCHORARRAY(W50)</f>
        <v>0.035477556682552966</v>
      </c>
      <c r="AW50">
        <f t="shared" si="496"/>
        <v>0.10760026618739356</v>
      </c>
      <c r="AY50">
        <f t="shared" si="497"/>
        <v>0</v>
      </c>
      <c r="AZ50">
        <f t="shared" si="498"/>
        <v>0</v>
      </c>
      <c r="BA50">
        <f t="shared" si="499"/>
        <v>0</v>
      </c>
    </row>
    <row r="51">
      <c r="C51" t="s">
        <v>805</v>
      </c>
      <c r="D51" s="66">
        <f>Combined!E78/Combined!E138</f>
        <v>0</v>
      </c>
      <c r="E51" s="66">
        <f>Combined!F78/Combined!F138</f>
        <v>0</v>
      </c>
      <c r="F51" s="66">
        <f>Combined!G78/Combined!G138</f>
        <v>0</v>
      </c>
      <c r="G51" s="66">
        <f>Combined!H78/Combined!H138</f>
        <v>0</v>
      </c>
      <c r="H51" s="66">
        <f>Combined!I78/Combined!I138</f>
        <v>0</v>
      </c>
      <c r="I51" s="66">
        <f>Combined!J78/Combined!J138</f>
        <v>0</v>
      </c>
      <c r="J51" s="66">
        <f>Combined!K78/Combined!K138</f>
        <v>0</v>
      </c>
      <c r="K51" s="67">
        <f>Combined!L78/Combined!L138</f>
        <v>0</v>
      </c>
      <c r="L51" s="67">
        <f>Combined!M78/Combined!M138</f>
        <v>0</v>
      </c>
      <c r="M51" s="67">
        <f>Combined!N78/Combined!N138</f>
        <v>0</v>
      </c>
      <c r="N51" s="67">
        <f>Combined!O78/Combined!O138</f>
        <v>0</v>
      </c>
      <c r="O51" s="67">
        <f>Combined!P78/Combined!P138</f>
        <v>0</v>
      </c>
      <c r="P51" s="67">
        <f>Combined!Q78/Combined!Q138</f>
        <v>0</v>
      </c>
      <c r="Q51" s="67">
        <f>Combined!R78/Combined!R138</f>
        <v>0</v>
      </c>
      <c r="R51" s="68">
        <f>Combined!S78/Combined!S138</f>
        <v>0</v>
      </c>
      <c r="S51" s="68">
        <f>Combined!T78/Combined!T138</f>
        <v>0</v>
      </c>
      <c r="T51" s="68">
        <f>Combined!U78/Combined!U138</f>
        <v>0</v>
      </c>
      <c r="U51" s="68">
        <f>Combined!V78/Combined!V138</f>
        <v>0</v>
      </c>
      <c r="V51" s="68">
        <f>Combined!W78/Combined!W138</f>
        <v>0</v>
      </c>
      <c r="W51" s="68">
        <f>Combined!X78/Combined!X138</f>
        <v>0</v>
      </c>
      <c r="X51" s="68">
        <f>Combined!Y78/Combined!Y138</f>
        <v>0</v>
      </c>
      <c r="Z51" t="str">
        <f/>
        <v xml:space="preserve">Storage production</v>
      </c>
      <c r="AA51">
        <f t="shared" si="486"/>
        <v>0</v>
      </c>
      <c r="AB51">
        <f t="shared" si="487"/>
        <v>0</v>
      </c>
      <c r="AC51">
        <f t="shared" si="488"/>
        <v>0</v>
      </c>
      <c r="AE51">
        <f/>
        <v>0</v>
      </c>
      <c r="AF51">
        <f/>
        <v>0</v>
      </c>
      <c r="AG51">
        <f t="shared" si="489"/>
        <v>0</v>
      </c>
      <c r="AI51">
        <f/>
        <v>0</v>
      </c>
      <c r="AJ51">
        <f/>
        <v>0</v>
      </c>
      <c r="AK51">
        <f/>
        <v>0</v>
      </c>
      <c r="AM51">
        <f/>
        <v>0</v>
      </c>
      <c r="AN51">
        <f t="shared" si="490"/>
        <v>0</v>
      </c>
      <c r="AO51">
        <f t="shared" si="491"/>
        <v>0</v>
      </c>
      <c r="AQ51">
        <f t="shared" si="492"/>
        <v>0</v>
      </c>
      <c r="AR51">
        <f t="shared" si="493"/>
        <v>0</v>
      </c>
      <c r="AS51">
        <f t="shared" si="494"/>
        <v>0</v>
      </c>
      <c r="AU51">
        <f t="shared" si="495"/>
        <v>0</v>
      </c>
      <c r="AV51">
        <f t="array" ref="AV51">_xlfn.ANCHORARRAY(W51)</f>
        <v>0</v>
      </c>
      <c r="AW51">
        <f t="shared" si="496"/>
        <v>0</v>
      </c>
      <c r="AY51">
        <f t="shared" si="497"/>
        <v>0</v>
      </c>
      <c r="AZ51">
        <f t="shared" si="498"/>
        <v>0</v>
      </c>
      <c r="BA51">
        <f t="shared" si="499"/>
        <v>0</v>
      </c>
    </row>
    <row r="52">
      <c r="C52" t="s">
        <v>806</v>
      </c>
      <c r="D52" s="66">
        <f>Combined!E94/Combined!E138</f>
        <v>0</v>
      </c>
      <c r="E52" s="66">
        <f>Combined!F94/Combined!F138</f>
        <v>0</v>
      </c>
      <c r="F52" s="66">
        <f>Combined!G94/Combined!G138</f>
        <v>0</v>
      </c>
      <c r="G52" s="66">
        <f>Combined!H94/Combined!H138</f>
        <v>0</v>
      </c>
      <c r="H52" s="66">
        <f>Combined!I94/Combined!I138</f>
        <v>0</v>
      </c>
      <c r="I52" s="66">
        <f>Combined!J94/Combined!J138</f>
        <v>0</v>
      </c>
      <c r="J52" s="66">
        <f>Combined!K94/Combined!K138</f>
        <v>0</v>
      </c>
      <c r="K52" s="67">
        <f>Combined!L94/Combined!L138</f>
        <v>0</v>
      </c>
      <c r="L52" s="67">
        <f>Combined!M94/Combined!M138</f>
        <v>0</v>
      </c>
      <c r="M52" s="67">
        <f>Combined!N94/Combined!N138</f>
        <v>0</v>
      </c>
      <c r="N52" s="67">
        <f>Combined!O94/Combined!O138</f>
        <v>0</v>
      </c>
      <c r="O52" s="67">
        <f>Combined!P94/Combined!P138</f>
        <v>0</v>
      </c>
      <c r="P52" s="67">
        <f>Combined!Q94/Combined!Q138</f>
        <v>0</v>
      </c>
      <c r="Q52" s="67">
        <f>Combined!R94/Combined!R138</f>
        <v>0</v>
      </c>
      <c r="R52" s="68">
        <f>Combined!S94/Combined!S138</f>
        <v>0</v>
      </c>
      <c r="S52" s="68">
        <f>Combined!T94/Combined!T138</f>
        <v>0</v>
      </c>
      <c r="T52" s="68">
        <f>Combined!U94/Combined!U138</f>
        <v>0</v>
      </c>
      <c r="U52" s="68">
        <f>Combined!V94/Combined!V138</f>
        <v>0</v>
      </c>
      <c r="V52" s="68">
        <f>Combined!W94/Combined!W138</f>
        <v>0</v>
      </c>
      <c r="W52" s="68">
        <f>Combined!X94/Combined!X138</f>
        <v>0</v>
      </c>
      <c r="X52" s="68">
        <f>Combined!Y94/Combined!Y138</f>
        <v>0</v>
      </c>
      <c r="Z52" t="str">
        <f/>
        <v>Transport</v>
      </c>
      <c r="AA52">
        <f t="shared" si="486"/>
        <v>0</v>
      </c>
      <c r="AB52">
        <f t="shared" si="487"/>
        <v>0</v>
      </c>
      <c r="AC52">
        <f t="shared" si="488"/>
        <v>0</v>
      </c>
      <c r="AE52">
        <f/>
        <v>0</v>
      </c>
      <c r="AF52">
        <f/>
        <v>0</v>
      </c>
      <c r="AG52">
        <f t="shared" si="489"/>
        <v>0</v>
      </c>
      <c r="AI52">
        <f/>
        <v>0</v>
      </c>
      <c r="AJ52">
        <f/>
        <v>0</v>
      </c>
      <c r="AK52">
        <f/>
        <v>0</v>
      </c>
      <c r="AM52">
        <f/>
        <v>0</v>
      </c>
      <c r="AN52">
        <f t="shared" si="490"/>
        <v>0</v>
      </c>
      <c r="AO52">
        <f t="shared" si="491"/>
        <v>0</v>
      </c>
      <c r="AQ52">
        <f t="shared" si="492"/>
        <v>0</v>
      </c>
      <c r="AR52">
        <f t="shared" si="493"/>
        <v>0</v>
      </c>
      <c r="AS52">
        <f t="shared" si="494"/>
        <v>0</v>
      </c>
      <c r="AU52">
        <f t="shared" si="495"/>
        <v>0</v>
      </c>
      <c r="AV52">
        <f t="array" ref="AV52">_xlfn.ANCHORARRAY(W52)</f>
        <v>0</v>
      </c>
      <c r="AW52">
        <f t="shared" si="496"/>
        <v>0</v>
      </c>
      <c r="AY52">
        <f t="shared" si="497"/>
        <v>0</v>
      </c>
      <c r="AZ52">
        <f t="shared" si="498"/>
        <v>0</v>
      </c>
      <c r="BA52">
        <f t="shared" si="499"/>
        <v>0</v>
      </c>
    </row>
    <row r="53">
      <c r="C53" t="s">
        <v>807</v>
      </c>
      <c r="D53" s="66">
        <f>Combined!E110/Combined!E138</f>
        <v>0.022780550041458715</v>
      </c>
      <c r="E53" s="66">
        <f>Combined!F110/Combined!F138</f>
        <v>0.0034063705389041341</v>
      </c>
      <c r="F53" s="66">
        <f>Combined!G110/Combined!G138</f>
        <v>0.0034758883050042184</v>
      </c>
      <c r="G53" s="66">
        <f>Combined!H110/Combined!H138</f>
        <v>0.0042171463673872298</v>
      </c>
      <c r="H53" s="66">
        <f>Combined!I110/Combined!I138</f>
        <v>0.0025101067791075257</v>
      </c>
      <c r="I53" s="66">
        <f>Combined!J110/Combined!J138</f>
        <v>0.0043184632758839154</v>
      </c>
      <c r="J53" s="66">
        <f>Combined!K110/Combined!K138</f>
        <v>5.6712023444109491e-06</v>
      </c>
      <c r="K53" s="67">
        <f>Combined!L110/Combined!L138</f>
        <v>0.1762804791067249</v>
      </c>
      <c r="L53" s="67">
        <f>Combined!M110/Combined!M138</f>
        <v>0.012362010470870126</v>
      </c>
      <c r="M53" s="67">
        <f>Combined!N110/Combined!N138</f>
        <v>0.012614296398847067</v>
      </c>
      <c r="N53" s="67">
        <f>Combined!O110/Combined!O138</f>
        <v>0.021857952723751725</v>
      </c>
      <c r="O53" s="67">
        <f>Combined!P110/Combined!P138</f>
        <v>0.11655985823442354</v>
      </c>
      <c r="P53" s="67">
        <f>Combined!Q110/Combined!Q138</f>
        <v>0.21992426081966704</v>
      </c>
      <c r="Q53" s="67">
        <f>Combined!R110/Combined!R138</f>
        <v>6.3013359382343883e-06</v>
      </c>
      <c r="R53" s="68">
        <f>Combined!S110/Combined!S138</f>
        <v>0.064748845567592847</v>
      </c>
      <c r="S53" s="68">
        <f>Combined!T110/Combined!T138</f>
        <v>0.0062267088997308324</v>
      </c>
      <c r="T53" s="68">
        <f>Combined!U110/Combined!U138</f>
        <v>0.0063537845915620731</v>
      </c>
      <c r="U53" s="68">
        <f>Combined!V110/Combined!V138</f>
        <v>0.0099377953712868044</v>
      </c>
      <c r="V53" s="68">
        <f>Combined!W110/Combined!W138</f>
        <v>0.034332410896086428</v>
      </c>
      <c r="W53" s="68">
        <f>Combined!X110/Combined!X138</f>
        <v>0.06156531982395564</v>
      </c>
      <c r="X53" s="68">
        <f>Combined!Y110/Combined!Y138</f>
        <v>5.9696866783273147e-06</v>
      </c>
      <c r="Z53" t="str">
        <f/>
        <v xml:space="preserve">Storage utilization</v>
      </c>
      <c r="AA53">
        <f t="shared" si="486"/>
        <v>0.022780550041458715</v>
      </c>
      <c r="AB53">
        <f t="shared" si="487"/>
        <v>0.064748845567592847</v>
      </c>
      <c r="AC53">
        <f t="shared" si="488"/>
        <v>0.1762804791067249</v>
      </c>
      <c r="AE53">
        <f/>
        <v>0.0034063705389041341</v>
      </c>
      <c r="AF53">
        <f/>
        <v>0.0062267088997308324</v>
      </c>
      <c r="AG53">
        <f t="shared" si="489"/>
        <v>0.012362010470870126</v>
      </c>
      <c r="AI53">
        <f/>
        <v>0.0034758883050042184</v>
      </c>
      <c r="AJ53">
        <f/>
        <v>0.0063537845915620731</v>
      </c>
      <c r="AK53">
        <f/>
        <v>0.012614296398847067</v>
      </c>
      <c r="AM53">
        <f/>
        <v>0.0042171463673872298</v>
      </c>
      <c r="AN53">
        <f t="shared" si="490"/>
        <v>0.0099377953712868044</v>
      </c>
      <c r="AO53">
        <f t="shared" si="491"/>
        <v>0.021857952723751725</v>
      </c>
      <c r="AQ53">
        <f t="shared" si="492"/>
        <v>0.0025101067791075257</v>
      </c>
      <c r="AR53">
        <f t="shared" si="493"/>
        <v>0.034332410896086428</v>
      </c>
      <c r="AS53">
        <f t="shared" si="494"/>
        <v>0.11655985823442354</v>
      </c>
      <c r="AU53">
        <f t="shared" si="495"/>
        <v>0.0043184632758839154</v>
      </c>
      <c r="AV53">
        <f t="array" ref="AV53">_xlfn.ANCHORARRAY(W53)</f>
        <v>0.06156531982395564</v>
      </c>
      <c r="AW53">
        <f t="shared" si="496"/>
        <v>0.21992426081966704</v>
      </c>
      <c r="AY53">
        <f t="shared" si="497"/>
        <v>5.6712023444109491e-06</v>
      </c>
      <c r="AZ53">
        <f t="shared" si="498"/>
        <v>5.9696866783273147e-06</v>
      </c>
      <c r="BA53">
        <f t="shared" si="499"/>
        <v>6.3013359382343883e-06</v>
      </c>
    </row>
    <row r="54">
      <c r="C54" t="s">
        <v>791</v>
      </c>
      <c r="D54" s="66">
        <f>Combined!E126/Combined!E138</f>
        <v>0.0049815994550186562</v>
      </c>
      <c r="E54" s="66">
        <f>Combined!F126/Combined!F138</f>
        <v>0</v>
      </c>
      <c r="F54" s="66">
        <f>Combined!G126/Combined!G138</f>
        <v>0.028143873352985533</v>
      </c>
      <c r="G54" s="66">
        <f>Combined!H126/Combined!H138</f>
        <v>0.045063152410055547</v>
      </c>
      <c r="H54" s="66">
        <f>Combined!I126/Combined!I138</f>
        <v>0</v>
      </c>
      <c r="I54" s="66">
        <f>Combined!J126/Combined!J138</f>
        <v>0.056465801552125661</v>
      </c>
      <c r="J54" s="66">
        <f>Combined!K126/Combined!K138</f>
        <v>0</v>
      </c>
      <c r="K54" s="67">
        <f>Combined!L126/Combined!L138</f>
        <v>0.073523124589386965</v>
      </c>
      <c r="L54" s="67">
        <f>Combined!M126/Combined!M138</f>
        <v>0</v>
      </c>
      <c r="M54" s="67">
        <f>Combined!N126/Combined!N138</f>
        <v>0.30323754301571076</v>
      </c>
      <c r="N54" s="67">
        <f>Combined!O126/Combined!O138</f>
        <v>0.2771810767022298</v>
      </c>
      <c r="O54" s="67">
        <f>Combined!P126/Combined!P138</f>
        <v>0</v>
      </c>
      <c r="P54" s="67">
        <f>Combined!Q126/Combined!Q138</f>
        <v>0.18231300535609946</v>
      </c>
      <c r="Q54" s="67">
        <f>Combined!R126/Combined!R138</f>
        <v>0</v>
      </c>
      <c r="R54" s="68">
        <f>Combined!S126/Combined!S138</f>
        <v>0.019995365632340532</v>
      </c>
      <c r="S54" s="68">
        <f>Combined!T126/Combined!T138</f>
        <v>0</v>
      </c>
      <c r="T54" s="68">
        <f>Combined!U126/Combined!U138</f>
        <v>0.076121444879713368</v>
      </c>
      <c r="U54" s="68">
        <f>Combined!V126/Combined!V138</f>
        <v>0.097758954547690485</v>
      </c>
      <c r="V54" s="68">
        <f>Combined!W126/Combined!W138</f>
        <v>0</v>
      </c>
      <c r="W54" s="68">
        <f>Combined!X126/Combined!X138</f>
        <v>0.093083156436675321</v>
      </c>
      <c r="X54" s="68">
        <f>Combined!Y126/Combined!Y138</f>
        <v>0</v>
      </c>
      <c r="Z54" t="str">
        <f/>
        <v>Reconversion</v>
      </c>
      <c r="AA54">
        <f t="shared" si="486"/>
        <v>0.0049815994550186562</v>
      </c>
      <c r="AB54">
        <f t="shared" si="487"/>
        <v>0.019995365632340532</v>
      </c>
      <c r="AC54">
        <f t="shared" si="488"/>
        <v>0.073523124589386965</v>
      </c>
      <c r="AE54">
        <f/>
        <v>0</v>
      </c>
      <c r="AF54">
        <f/>
        <v>0</v>
      </c>
      <c r="AG54">
        <f t="shared" si="489"/>
        <v>0</v>
      </c>
      <c r="AI54">
        <f/>
        <v>0.028143873352985533</v>
      </c>
      <c r="AJ54">
        <f/>
        <v>0.076121444879713368</v>
      </c>
      <c r="AK54">
        <f/>
        <v>0.30323754301571076</v>
      </c>
      <c r="AM54">
        <f/>
        <v>0.045063152410055547</v>
      </c>
      <c r="AN54">
        <f t="shared" si="490"/>
        <v>0.097758954547690485</v>
      </c>
      <c r="AO54">
        <f t="shared" si="491"/>
        <v>0.2771810767022298</v>
      </c>
      <c r="AQ54">
        <f t="shared" si="492"/>
        <v>0</v>
      </c>
      <c r="AR54">
        <f t="shared" si="493"/>
        <v>0</v>
      </c>
      <c r="AS54">
        <f t="shared" si="494"/>
        <v>0</v>
      </c>
      <c r="AU54">
        <f t="shared" si="495"/>
        <v>0.056465801552125661</v>
      </c>
      <c r="AV54">
        <f t="array" ref="AV54">_xlfn.ANCHORARRAY(W54)</f>
        <v>0.093083156436675321</v>
      </c>
      <c r="AW54">
        <f t="shared" si="496"/>
        <v>0.18231300535609946</v>
      </c>
      <c r="AY54">
        <f t="shared" si="497"/>
        <v>0</v>
      </c>
      <c r="AZ54">
        <f t="shared" si="498"/>
        <v>0</v>
      </c>
      <c r="BA54">
        <f t="shared" si="499"/>
        <v>0</v>
      </c>
    </row>
    <row r="55">
      <c r="C55" t="s">
        <v>793</v>
      </c>
      <c r="D55" s="66">
        <f>Combined!E142/Combined!E138</f>
        <v>0.024189398809287922</v>
      </c>
      <c r="E55" s="66">
        <f>Combined!F142/Combined!F138</f>
        <v>0.024189398809287922</v>
      </c>
      <c r="F55" s="66">
        <f>Combined!G142/Combined!G138</f>
        <v>0.024189398809287922</v>
      </c>
      <c r="G55" s="66">
        <f>Combined!H142/Combined!H138</f>
        <v>0.024189398809287919</v>
      </c>
      <c r="H55" s="66">
        <f>Combined!I142/Combined!I138</f>
        <v>0.022893841226654318</v>
      </c>
      <c r="I55" s="66">
        <f>Combined!J142/Combined!J138</f>
        <v>0.024189398809287922</v>
      </c>
      <c r="J55" s="66">
        <f>Combined!K142/Combined!K138</f>
        <v>0.010436556778254301</v>
      </c>
      <c r="K55" s="67">
        <f>Combined!L142/Combined!L138</f>
        <v>0.068280577557999031</v>
      </c>
      <c r="L55" s="67">
        <f>Combined!M142/Combined!M138</f>
        <v>0.068280577557999031</v>
      </c>
      <c r="M55" s="67">
        <f>Combined!N142/Combined!N138</f>
        <v>0.068280577557999031</v>
      </c>
      <c r="N55" s="67">
        <f>Combined!O142/Combined!O138</f>
        <v>0.068280577557999031</v>
      </c>
      <c r="O55" s="67">
        <f>Combined!P142/Combined!P138</f>
        <v>0.060669176760026609</v>
      </c>
      <c r="P55" s="67">
        <f>Combined!Q142/Combined!Q138</f>
        <v>0.068280577557999031</v>
      </c>
      <c r="Q55" s="67">
        <f>Combined!R142/Combined!R138</f>
        <v>0.055733265548743353</v>
      </c>
      <c r="R55" s="68">
        <f>Combined!S142/Combined!S138</f>
        <v>0.040238924375566018</v>
      </c>
      <c r="S55" s="68">
        <f>Combined!T142/Combined!T138</f>
        <v>0.040238924375566018</v>
      </c>
      <c r="T55" s="68">
        <f>Combined!U142/Combined!U138</f>
        <v>0.040238924375566018</v>
      </c>
      <c r="U55" s="68">
        <f>Combined!V142/Combined!V138</f>
        <v>0.040238924375566018</v>
      </c>
      <c r="V55" s="68">
        <f>Combined!W142/Combined!W138</f>
        <v>0.035122442880505436</v>
      </c>
      <c r="W55" s="68">
        <f>Combined!X142/Combined!X138</f>
        <v>0.040238924375566018</v>
      </c>
      <c r="X55" s="68">
        <f>Combined!Y142/Combined!Y138</f>
        <v>0.020822614955538103</v>
      </c>
      <c r="Z55" t="str">
        <f/>
        <v>Utilization</v>
      </c>
      <c r="AA55">
        <f t="shared" si="486"/>
        <v>0.024189398809287922</v>
      </c>
      <c r="AB55">
        <f t="shared" si="487"/>
        <v>0.040238924375566018</v>
      </c>
      <c r="AC55">
        <f t="shared" si="488"/>
        <v>0.068280577557999031</v>
      </c>
      <c r="AE55">
        <f/>
        <v>0.024189398809287922</v>
      </c>
      <c r="AF55">
        <f/>
        <v>0.040238924375566018</v>
      </c>
      <c r="AG55">
        <f t="shared" si="489"/>
        <v>0.068280577557999031</v>
      </c>
      <c r="AI55">
        <f/>
        <v>0.024189398809287922</v>
      </c>
      <c r="AJ55">
        <f/>
        <v>0.040238924375566018</v>
      </c>
      <c r="AK55">
        <f/>
        <v>0.068280577557999031</v>
      </c>
      <c r="AM55">
        <f/>
        <v>0.024189398809287919</v>
      </c>
      <c r="AN55">
        <f t="shared" si="490"/>
        <v>0.040238924375566018</v>
      </c>
      <c r="AO55">
        <f t="shared" si="491"/>
        <v>0.068280577557999031</v>
      </c>
      <c r="AQ55">
        <f t="shared" si="492"/>
        <v>0.022893841226654318</v>
      </c>
      <c r="AR55">
        <f t="shared" si="493"/>
        <v>0.035122442880505436</v>
      </c>
      <c r="AS55">
        <f t="shared" si="494"/>
        <v>0.060669176760026609</v>
      </c>
      <c r="AU55">
        <f t="shared" si="495"/>
        <v>0.024189398809287922</v>
      </c>
      <c r="AV55">
        <f t="array" ref="AV55">_xlfn.ANCHORARRAY(W55)</f>
        <v>0.040238924375566018</v>
      </c>
      <c r="AW55">
        <f t="shared" si="496"/>
        <v>0.068280577557999031</v>
      </c>
      <c r="AY55">
        <f t="shared" si="497"/>
        <v>0.010436556778254301</v>
      </c>
      <c r="AZ55">
        <f t="shared" si="498"/>
        <v>0.020822614955538103</v>
      </c>
      <c r="BA55">
        <f t="shared" si="499"/>
        <v>0.055733265548743353</v>
      </c>
    </row>
    <row r="56">
      <c r="C56" t="s">
        <v>812</v>
      </c>
      <c r="D56" s="66">
        <f>SUM(D47:D55)</f>
        <v>0.11507159990731253</v>
      </c>
      <c r="E56" s="66">
        <f t="shared" ref="E56:J56" si="500">SUM(E47:E55)</f>
        <v>0.089036047805175933</v>
      </c>
      <c r="F56" s="66">
        <f t="shared" si="500"/>
        <v>0.11850332215807755</v>
      </c>
      <c r="G56" s="66">
        <f t="shared" si="500"/>
        <v>0.11929728833448847</v>
      </c>
      <c r="H56" s="66">
        <f t="shared" si="500"/>
        <v>0.094480991613401219</v>
      </c>
      <c r="I56" s="66">
        <f t="shared" si="500"/>
        <v>0.20381588919882762</v>
      </c>
      <c r="J56" s="66">
        <f t="shared" si="500"/>
        <v>0.13010167489706681</v>
      </c>
      <c r="K56" s="67">
        <f t="shared" ref="K56:X56" si="501">SUM(K47:K55)</f>
        <v>0.94104291117028072</v>
      </c>
      <c r="L56" s="67">
        <f t="shared" si="501"/>
        <v>0.66667945844555054</v>
      </c>
      <c r="M56" s="67">
        <f t="shared" si="501"/>
        <v>0.98212922352019116</v>
      </c>
      <c r="N56" s="67">
        <f t="shared" si="501"/>
        <v>0.8617081836804189</v>
      </c>
      <c r="O56" s="67">
        <f t="shared" si="501"/>
        <v>0.98142162224943053</v>
      </c>
      <c r="P56" s="67">
        <f t="shared" si="501"/>
        <v>1.9878623479884456</v>
      </c>
      <c r="Q56" s="67">
        <f t="shared" si="501"/>
        <v>0.67766752154705379</v>
      </c>
      <c r="R56" s="68">
        <f t="shared" si="501"/>
        <v>0.34990099063634589</v>
      </c>
      <c r="S56" s="68">
        <f t="shared" si="501"/>
        <v>0.2643571188837413</v>
      </c>
      <c r="T56" s="68">
        <f t="shared" si="501"/>
        <v>0.34505240446770319</v>
      </c>
      <c r="U56" s="68">
        <f t="shared" si="501"/>
        <v>0.32234143178051394</v>
      </c>
      <c r="V56" s="68">
        <f t="shared" si="501"/>
        <v>0.35321061293823941</v>
      </c>
      <c r="W56" s="68">
        <f t="shared" si="501"/>
        <v>0.70372186954521043</v>
      </c>
      <c r="X56" s="68">
        <f t="shared" si="501"/>
        <v>0.32252703366131141</v>
      </c>
      <c r="Z56" s="68" t="str">
        <f t="array" ref="Z56:Z64">C56:C64</f>
        <v xml:space="preserve">Total Price</v>
      </c>
      <c r="AA56">
        <f t="shared" si="486"/>
        <v>0.11507159990731253</v>
      </c>
      <c r="AB56">
        <f t="shared" si="487"/>
        <v>0.34990099063634589</v>
      </c>
      <c r="AC56">
        <f t="shared" si="488"/>
        <v>0.94104291117028072</v>
      </c>
      <c r="AE56">
        <f t="array" ref="AE56:AE64">E56:E64</f>
        <v>0.089036047805175933</v>
      </c>
      <c r="AF56">
        <f t="array" ref="AF56:AF64">S56:S64</f>
        <v>0.2643571188837413</v>
      </c>
      <c r="AG56">
        <f t="shared" si="489"/>
        <v>0.66667945844555054</v>
      </c>
      <c r="AI56">
        <f t="array" ref="AI56:AI64">F56:F64</f>
        <v>0.11850332215807755</v>
      </c>
      <c r="AJ56">
        <f t="array" ref="AJ56:AJ64">T56:T64</f>
        <v>0.34505240446770319</v>
      </c>
      <c r="AK56">
        <f t="array" ref="AK56:AK64">M56:M64</f>
        <v>0.98212922352019116</v>
      </c>
      <c r="AM56">
        <f t="array" ref="AM56:AM64">G56:G64</f>
        <v>0.11929728833448847</v>
      </c>
      <c r="AN56">
        <f t="shared" si="490"/>
        <v>0.32234143178051394</v>
      </c>
      <c r="AO56">
        <f t="shared" si="491"/>
        <v>0.8617081836804189</v>
      </c>
      <c r="AQ56">
        <f t="shared" si="492"/>
        <v>0.094480991613401219</v>
      </c>
      <c r="AR56">
        <f t="shared" si="493"/>
        <v>0.35321061293823941</v>
      </c>
      <c r="AS56">
        <f t="shared" si="494"/>
        <v>0.98142162224943053</v>
      </c>
      <c r="AU56">
        <f t="shared" si="495"/>
        <v>0.20381588919882762</v>
      </c>
      <c r="AV56">
        <f t="array" ref="AV56">_xlfn.ANCHORARRAY(W56)</f>
        <v>0.70372186954521043</v>
      </c>
      <c r="AW56">
        <f t="shared" si="496"/>
        <v>1.9878623479884456</v>
      </c>
      <c r="AY56">
        <f t="shared" si="497"/>
        <v>0.13010167489706681</v>
      </c>
      <c r="AZ56">
        <f t="shared" si="498"/>
        <v>0.32252703366131141</v>
      </c>
      <c r="BA56">
        <f t="shared" si="499"/>
        <v>0.67766752154705379</v>
      </c>
    </row>
    <row r="57">
      <c r="D57" s="66" t="str">
        <f t="shared" ref="D57:X57" si="502">D13</f>
        <v>H2</v>
      </c>
      <c r="E57" s="66" t="str">
        <f t="shared" si="502"/>
        <v>NH3</v>
      </c>
      <c r="F57" s="66" t="str">
        <f t="shared" si="502"/>
        <v xml:space="preserve">NH3 H2 Plant</v>
      </c>
      <c r="G57" s="66" t="str">
        <f t="shared" si="502"/>
        <v>LOHC</v>
      </c>
      <c r="H57" s="66" t="str">
        <f t="shared" si="502"/>
        <v>CH4</v>
      </c>
      <c r="I57" s="66" t="str">
        <f t="shared" si="502"/>
        <v xml:space="preserve">CH4 H2 Plant</v>
      </c>
      <c r="J57" s="66" t="str">
        <f t="shared" si="502"/>
        <v>iron</v>
      </c>
      <c r="K57" s="67" t="str">
        <f t="shared" si="502"/>
        <v>H2</v>
      </c>
      <c r="L57" s="67" t="str">
        <f t="shared" si="502"/>
        <v>NH3</v>
      </c>
      <c r="M57" s="67" t="str">
        <f t="shared" si="502"/>
        <v xml:space="preserve">NH3 H2 Plant</v>
      </c>
      <c r="N57" s="67" t="str">
        <f t="shared" si="502"/>
        <v>LOHC</v>
      </c>
      <c r="O57" s="67" t="str">
        <f t="shared" si="502"/>
        <v>CH4</v>
      </c>
      <c r="P57" s="67" t="str">
        <f t="shared" si="502"/>
        <v xml:space="preserve">CH4 H2 Plant</v>
      </c>
      <c r="Q57" s="67" t="str">
        <f t="shared" si="502"/>
        <v>iron</v>
      </c>
      <c r="R57" s="68" t="str">
        <f t="shared" si="502"/>
        <v>H2</v>
      </c>
      <c r="S57" s="68" t="str">
        <f t="shared" si="502"/>
        <v>NH3</v>
      </c>
      <c r="T57" s="68" t="str">
        <f t="shared" si="502"/>
        <v xml:space="preserve">H2 from NH3</v>
      </c>
      <c r="U57" s="68" t="str">
        <f t="shared" si="502"/>
        <v>LOHC</v>
      </c>
      <c r="V57" s="68" t="str">
        <f t="shared" si="502"/>
        <v>CH4</v>
      </c>
      <c r="W57" s="68" t="str">
        <f t="shared" si="502"/>
        <v xml:space="preserve">H2 form CH4</v>
      </c>
      <c r="X57" s="68" t="str">
        <f t="shared" si="502"/>
        <v>iron</v>
      </c>
      <c r="Z57">
        <f/>
        <v>0</v>
      </c>
      <c r="AA57" t="str">
        <f t="shared" si="486"/>
        <v>H2</v>
      </c>
      <c r="AB57" t="str">
        <f t="shared" si="487"/>
        <v>H2</v>
      </c>
      <c r="AC57" t="str">
        <f t="shared" si="488"/>
        <v>H2</v>
      </c>
      <c r="AE57" t="str">
        <f/>
        <v>NH3</v>
      </c>
      <c r="AF57" t="str">
        <f/>
        <v>NH3</v>
      </c>
      <c r="AG57" t="str">
        <f t="shared" si="489"/>
        <v>NH3</v>
      </c>
      <c r="AI57" t="str">
        <f/>
        <v xml:space="preserve">NH3 H2 Plant</v>
      </c>
      <c r="AJ57" t="str">
        <f/>
        <v xml:space="preserve">H2 from NH3</v>
      </c>
      <c r="AK57" t="str">
        <f/>
        <v xml:space="preserve">NH3 H2 Plant</v>
      </c>
      <c r="AM57" t="str">
        <f/>
        <v>LOHC</v>
      </c>
      <c r="AN57" t="str">
        <f t="shared" si="490"/>
        <v>LOHC</v>
      </c>
      <c r="AO57" t="str">
        <f t="shared" si="491"/>
        <v>LOHC</v>
      </c>
      <c r="AQ57" t="str">
        <f t="shared" si="492"/>
        <v>CH4</v>
      </c>
      <c r="AR57" t="str">
        <f t="shared" si="493"/>
        <v>CH4</v>
      </c>
      <c r="AS57" t="str">
        <f t="shared" si="494"/>
        <v>CH4</v>
      </c>
      <c r="AU57" t="str">
        <f t="shared" si="495"/>
        <v xml:space="preserve">CH4 H2 Plant</v>
      </c>
      <c r="AV57" t="str">
        <f t="array" ref="AV57">_xlfn.ANCHORARRAY(W57)</f>
        <v xml:space="preserve">H2 form CH4</v>
      </c>
      <c r="AW57" t="str">
        <f t="shared" si="496"/>
        <v xml:space="preserve">CH4 H2 Plant</v>
      </c>
      <c r="AY57" t="str">
        <f t="shared" si="497"/>
        <v>iron</v>
      </c>
      <c r="AZ57" t="str">
        <f t="shared" si="498"/>
        <v>iron</v>
      </c>
      <c r="BA57" t="str">
        <f t="shared" si="499"/>
        <v>iron</v>
      </c>
    </row>
    <row r="58">
      <c r="B58" t="s">
        <v>551</v>
      </c>
      <c r="C58" t="s">
        <v>804</v>
      </c>
      <c r="D58" s="1">
        <f>Combined!E15/Combined!E139</f>
        <v>0.043487337358884444</v>
      </c>
      <c r="E58" s="1">
        <f>Combined!F15/Combined!F139</f>
        <v>0.050172679182863708</v>
      </c>
      <c r="F58" s="1">
        <f>Combined!G15/Combined!G139</f>
        <v>0.051196611411085426</v>
      </c>
      <c r="G58" s="1">
        <f>Combined!H15/Combined!H139</f>
        <v>0.043926603392812562</v>
      </c>
      <c r="H58" s="1">
        <f>Combined!I15/Combined!I139</f>
        <v>0.054010715469768329</v>
      </c>
      <c r="I58" s="1">
        <f>Combined!J15/Combined!J139</f>
        <v>0.092921661023257343</v>
      </c>
      <c r="J58" s="1">
        <f>Combined!K15/Combined!K139</f>
        <v>0.043820342232376817</v>
      </c>
      <c r="K58" s="3">
        <f>Combined!L15/Combined!L139</f>
        <v>0.4341445954901878</v>
      </c>
      <c r="L58" s="3">
        <f>Combined!M15/Combined!M139</f>
        <v>0.49086825855002986</v>
      </c>
      <c r="M58" s="63">
        <f>Combined!N15/Combined!N139</f>
        <v>0.50088597811227531</v>
      </c>
      <c r="N58" s="63">
        <f>Combined!O15/Combined!O139</f>
        <v>0.47273522620042663</v>
      </c>
      <c r="O58" s="3">
        <f>Combined!P15/Combined!P139</f>
        <v>0.54665382520631156</v>
      </c>
      <c r="P58" s="3">
        <f>Combined!Q15/Combined!Q139</f>
        <v>1.0314223117100219</v>
      </c>
      <c r="Q58" s="3">
        <f>Combined!R15/Combined!R139</f>
        <v>0.40720686672449391</v>
      </c>
      <c r="R58" s="2">
        <f>Combined!S15/Combined!S139</f>
        <v>0.15898072092827725</v>
      </c>
      <c r="S58" s="2">
        <f>Combined!T15/Combined!T139</f>
        <v>0.18158673995494909</v>
      </c>
      <c r="T58" s="64">
        <f>Combined!U15/Combined!U139</f>
        <v>0.18529259179076438</v>
      </c>
      <c r="U58" s="64">
        <f>Combined!V15/Combined!V139</f>
        <v>0.16696112542855948</v>
      </c>
      <c r="V58" s="2">
        <f>Combined!W15/Combined!W139</f>
        <v>0.19852554119335733</v>
      </c>
      <c r="W58" s="2">
        <f>Combined!X15/Combined!X139</f>
        <v>0.35599854824602922</v>
      </c>
      <c r="X58" s="2">
        <f>Combined!Y15/Combined!Y139</f>
        <v>0.15799029413998145</v>
      </c>
      <c r="Z58" t="str">
        <f/>
        <v>Elektrolyser</v>
      </c>
      <c r="AA58">
        <f t="shared" si="486"/>
        <v>0.043487337358884444</v>
      </c>
      <c r="AB58">
        <f t="shared" si="487"/>
        <v>0.15898072092827725</v>
      </c>
      <c r="AC58">
        <f t="shared" si="488"/>
        <v>0.4341445954901878</v>
      </c>
      <c r="AE58">
        <f/>
        <v>0.050172679182863708</v>
      </c>
      <c r="AF58">
        <f/>
        <v>0.18158673995494909</v>
      </c>
      <c r="AG58">
        <f t="shared" si="489"/>
        <v>0.49086825855002986</v>
      </c>
      <c r="AI58">
        <f/>
        <v>0.051196611411085426</v>
      </c>
      <c r="AJ58">
        <f/>
        <v>0.18529259179076438</v>
      </c>
      <c r="AK58">
        <f/>
        <v>0.50088597811227531</v>
      </c>
      <c r="AM58">
        <f/>
        <v>0.043926603392812562</v>
      </c>
      <c r="AN58">
        <f t="shared" si="490"/>
        <v>0.16696112542855948</v>
      </c>
      <c r="AO58">
        <f t="shared" si="491"/>
        <v>0.47273522620042663</v>
      </c>
      <c r="AQ58">
        <f t="shared" si="492"/>
        <v>0.054010715469768329</v>
      </c>
      <c r="AR58">
        <f t="shared" si="493"/>
        <v>0.19852554119335733</v>
      </c>
      <c r="AS58">
        <f t="shared" si="494"/>
        <v>0.54665382520631156</v>
      </c>
      <c r="AU58">
        <f t="shared" si="495"/>
        <v>0.092921661023257343</v>
      </c>
      <c r="AV58">
        <f t="array" ref="AV58">_xlfn.ANCHORARRAY(W58)</f>
        <v>0.35599854824602922</v>
      </c>
      <c r="AW58">
        <f t="shared" si="496"/>
        <v>1.0314223117100219</v>
      </c>
      <c r="AY58">
        <f t="shared" si="497"/>
        <v>0.043820342232376817</v>
      </c>
      <c r="AZ58">
        <f t="shared" si="498"/>
        <v>0.15799029413998145</v>
      </c>
      <c r="BA58">
        <f t="shared" si="499"/>
        <v>0.40720686672449391</v>
      </c>
    </row>
    <row r="59">
      <c r="A59" s="6"/>
      <c r="C59" t="s">
        <v>786</v>
      </c>
      <c r="D59" s="1">
        <f>Combined!E31/Combined!E139</f>
        <v>0</v>
      </c>
      <c r="E59" s="1">
        <f>Combined!F31/Combined!F139</f>
        <v>0.010874496327375813</v>
      </c>
      <c r="F59" s="1">
        <f>Combined!G31/Combined!G139</f>
        <v>0.011096424823852872</v>
      </c>
      <c r="G59" s="1">
        <f>Combined!H31/Combined!H139</f>
        <v>0.0015568224126815146</v>
      </c>
      <c r="H59" s="1">
        <f>Combined!I31/Combined!I139</f>
        <v>0.0089017662120122552</v>
      </c>
      <c r="I59" s="1">
        <f>Combined!J31/Combined!J139</f>
        <v>0.015314866601311409</v>
      </c>
      <c r="J59" s="1">
        <f>Combined!K31/Combined!K139</f>
        <v>0.075578327305971402</v>
      </c>
      <c r="K59" s="3">
        <f>Combined!L31/Combined!L139</f>
        <v>0</v>
      </c>
      <c r="L59" s="3">
        <f>Combined!M31/Combined!M139</f>
        <v>0.093078481248365361</v>
      </c>
      <c r="M59" s="3">
        <f>Combined!N31/Combined!N139</f>
        <v>0.094978042090168732</v>
      </c>
      <c r="N59" s="3">
        <f>Combined!O31/Combined!O139</f>
        <v>0.019640430830880868</v>
      </c>
      <c r="O59" s="3">
        <f>Combined!P31/Combined!P139</f>
        <v>0.1986367586302156</v>
      </c>
      <c r="P59" s="3">
        <f>Combined!Q31/Combined!Q139</f>
        <v>0.37478633703814263</v>
      </c>
      <c r="Q59" s="3">
        <f>Combined!R31/Combined!R139</f>
        <v>0.21298718983937148</v>
      </c>
      <c r="R59" s="2">
        <f>Combined!S31/Combined!S139</f>
        <v>0</v>
      </c>
      <c r="S59" s="2">
        <f>Combined!T31/Combined!T139</f>
        <v>0.035408282325537048</v>
      </c>
      <c r="T59" s="2">
        <f>Combined!U31/Combined!U139</f>
        <v>0.036130900332180665</v>
      </c>
      <c r="U59" s="2">
        <f>Combined!V31/Combined!V139</f>
        <v>0.0066203729392702321</v>
      </c>
      <c r="V59" s="2">
        <f>Combined!W31/Combined!W139</f>
        <v>0.0646771701186791</v>
      </c>
      <c r="W59" s="2">
        <f>Combined!X31/Combined!X139</f>
        <v>0.1159799314914631</v>
      </c>
      <c r="X59" s="2">
        <f>Combined!Y31/Combined!Y139</f>
        <v>0.14292818325285397</v>
      </c>
      <c r="Z59" t="str">
        <f/>
        <v>Conversion</v>
      </c>
      <c r="AA59">
        <f t="shared" si="486"/>
        <v>0</v>
      </c>
      <c r="AB59">
        <f t="shared" si="487"/>
        <v>0</v>
      </c>
      <c r="AC59">
        <f t="shared" si="488"/>
        <v>0</v>
      </c>
      <c r="AE59">
        <f/>
        <v>0.010874496327375813</v>
      </c>
      <c r="AF59">
        <f/>
        <v>0.035408282325537048</v>
      </c>
      <c r="AG59">
        <f t="shared" si="489"/>
        <v>0.093078481248365361</v>
      </c>
      <c r="AI59">
        <f/>
        <v>0.011096424823852872</v>
      </c>
      <c r="AJ59">
        <f/>
        <v>0.036130900332180665</v>
      </c>
      <c r="AK59">
        <f/>
        <v>0.094978042090168732</v>
      </c>
      <c r="AM59">
        <f/>
        <v>0.0015568224126815146</v>
      </c>
      <c r="AN59">
        <f t="shared" si="490"/>
        <v>0.0066203729392702321</v>
      </c>
      <c r="AO59">
        <f t="shared" si="491"/>
        <v>0.019640430830880868</v>
      </c>
      <c r="AQ59">
        <f t="shared" si="492"/>
        <v>0.0089017662120122552</v>
      </c>
      <c r="AR59">
        <f t="shared" si="493"/>
        <v>0.0646771701186791</v>
      </c>
      <c r="AS59">
        <f t="shared" si="494"/>
        <v>0.1986367586302156</v>
      </c>
      <c r="AU59">
        <f t="shared" si="495"/>
        <v>0.015314866601311409</v>
      </c>
      <c r="AV59">
        <f t="array" ref="AV59">_xlfn.ANCHORARRAY(W59)</f>
        <v>0.1159799314914631</v>
      </c>
      <c r="AW59">
        <f t="shared" si="496"/>
        <v>0.37478633703814263</v>
      </c>
      <c r="AY59">
        <f t="shared" si="497"/>
        <v>0.075578327305971402</v>
      </c>
      <c r="AZ59">
        <f t="shared" si="498"/>
        <v>0.14292818325285397</v>
      </c>
      <c r="BA59">
        <f t="shared" si="499"/>
        <v>0.21298718983937148</v>
      </c>
    </row>
    <row r="60">
      <c r="A60" s="6"/>
      <c r="C60" t="s">
        <v>377</v>
      </c>
      <c r="D60" s="1">
        <f>Combined!E47/Combined!E139</f>
        <v>0.00034072329284106062</v>
      </c>
      <c r="E60" s="1">
        <f>Combined!F47/Combined!F139</f>
        <v>0.00039310294674435738</v>
      </c>
      <c r="F60" s="1">
        <f>Combined!G47/Combined!G139</f>
        <v>0.00040112545586158926</v>
      </c>
      <c r="G60" s="1">
        <f>Combined!H47/Combined!H139</f>
        <v>0.00034416494226369751</v>
      </c>
      <c r="H60" s="1">
        <f>Combined!I47/Combined!I139</f>
        <v>0.00032142087562654886</v>
      </c>
      <c r="I60" s="1">
        <f>Combined!J47/Combined!J139</f>
        <v>0.0005529821516155679</v>
      </c>
      <c r="J60" s="1">
        <f>Combined!K47/Combined!K139</f>
        <v>0.00026077737811989045</v>
      </c>
      <c r="K60" s="3">
        <f>Combined!L47/Combined!L139</f>
        <v>0.0018485996924671917</v>
      </c>
      <c r="L60" s="3">
        <f>Combined!M47/Combined!M139</f>
        <v>0.0020901306182861375</v>
      </c>
      <c r="M60" s="3">
        <f>Combined!N47/Combined!N139</f>
        <v>0.0021327863451899363</v>
      </c>
      <c r="N60" s="3">
        <f>Combined!O47/Combined!O139</f>
        <v>0.0020129196651309418</v>
      </c>
      <c r="O60" s="3">
        <f>Combined!P47/Combined!P139</f>
        <v>0.001873862339134673</v>
      </c>
      <c r="P60" s="3">
        <f>Combined!Q47/Combined!Q139</f>
        <v>0.0035355893191220244</v>
      </c>
      <c r="Q60" s="3">
        <f>Combined!R47/Combined!R139</f>
        <v>0.0017338980985067715</v>
      </c>
      <c r="R60" s="2">
        <f>Combined!S47/Combined!S139</f>
        <v>0.00078486119746372298</v>
      </c>
      <c r="S60" s="2">
        <f>Combined!T47/Combined!T139</f>
        <v>0.00089646332795831145</v>
      </c>
      <c r="T60" s="2">
        <f>Combined!U47/Combined!U139</f>
        <v>0.00091475849791664444</v>
      </c>
      <c r="U60" s="2">
        <f>Combined!V47/Combined!V139</f>
        <v>0.00082425911814092319</v>
      </c>
      <c r="V60" s="2">
        <f>Combined!W47/Combined!W139</f>
        <v>0.00076869430288180557</v>
      </c>
      <c r="W60" s="2">
        <f>Combined!X47/Combined!X139</f>
        <v>0.0013784324889681888</v>
      </c>
      <c r="X60" s="2">
        <f>Combined!Y47/Combined!Y139</f>
        <v>0.00077997162625959764</v>
      </c>
      <c r="Z60" t="str">
        <f/>
        <v>Water</v>
      </c>
      <c r="AA60">
        <f t="shared" si="486"/>
        <v>0.00034072329284106062</v>
      </c>
      <c r="AB60">
        <f t="shared" si="487"/>
        <v>0.00078486119746372298</v>
      </c>
      <c r="AC60">
        <f t="shared" si="488"/>
        <v>0.0018485996924671917</v>
      </c>
      <c r="AE60">
        <f/>
        <v>0.00039310294674435738</v>
      </c>
      <c r="AF60">
        <f/>
        <v>0.00089646332795831145</v>
      </c>
      <c r="AG60">
        <f t="shared" si="489"/>
        <v>0.0020901306182861375</v>
      </c>
      <c r="AI60">
        <f/>
        <v>0.00040112545586158926</v>
      </c>
      <c r="AJ60">
        <f/>
        <v>0.00091475849791664444</v>
      </c>
      <c r="AK60">
        <f/>
        <v>0.0021327863451899363</v>
      </c>
      <c r="AM60">
        <f/>
        <v>0.00034416494226369751</v>
      </c>
      <c r="AN60">
        <f t="shared" si="490"/>
        <v>0.00082425911814092319</v>
      </c>
      <c r="AO60">
        <f t="shared" si="491"/>
        <v>0.0020129196651309418</v>
      </c>
      <c r="AQ60">
        <f t="shared" si="492"/>
        <v>0.00032142087562654886</v>
      </c>
      <c r="AR60">
        <f t="shared" si="493"/>
        <v>0.00076869430288180557</v>
      </c>
      <c r="AS60">
        <f t="shared" si="494"/>
        <v>0.001873862339134673</v>
      </c>
      <c r="AU60">
        <f t="shared" si="495"/>
        <v>0.0005529821516155679</v>
      </c>
      <c r="AV60">
        <f t="array" ref="AV60">_xlfn.ANCHORARRAY(W60)</f>
        <v>0.0013784324889681888</v>
      </c>
      <c r="AW60">
        <f t="shared" si="496"/>
        <v>0.0035355893191220244</v>
      </c>
      <c r="AY60">
        <f t="shared" si="497"/>
        <v>0.00026077737811989045</v>
      </c>
      <c r="AZ60">
        <f t="shared" si="498"/>
        <v>0.00077997162625959764</v>
      </c>
      <c r="BA60">
        <f t="shared" si="499"/>
        <v>0.0017338980985067715</v>
      </c>
    </row>
    <row r="61">
      <c r="C61" t="s">
        <v>787</v>
      </c>
      <c r="D61" s="1">
        <f>Combined!E63/Combined!E139</f>
        <v>0.019291990949821744</v>
      </c>
      <c r="E61" s="1">
        <f>Combined!F63/Combined!F139</f>
        <v>0</v>
      </c>
      <c r="F61" s="1">
        <f>Combined!G63/Combined!G139</f>
        <v>0</v>
      </c>
      <c r="G61" s="1">
        <f>Combined!H63/Combined!H139</f>
        <v>0</v>
      </c>
      <c r="H61" s="1">
        <f>Combined!I63/Combined!I139</f>
        <v>0.0058431410502322347</v>
      </c>
      <c r="I61" s="1">
        <f>Combined!J63/Combined!J139</f>
        <v>0.010052715785345782</v>
      </c>
      <c r="J61" s="1">
        <f>Combined!K63/Combined!K139</f>
        <v>0</v>
      </c>
      <c r="K61" s="3">
        <f>Combined!L63/Combined!L139</f>
        <v>0.18696553473351504</v>
      </c>
      <c r="L61" s="3">
        <f>Combined!M63/Combined!M139</f>
        <v>0</v>
      </c>
      <c r="M61" s="3">
        <f>Combined!N63/Combined!N139</f>
        <v>0</v>
      </c>
      <c r="N61" s="3">
        <f>Combined!O63/Combined!O139</f>
        <v>0</v>
      </c>
      <c r="O61" s="3">
        <f>Combined!P63/Combined!P139</f>
        <v>0.057028141079318584</v>
      </c>
      <c r="P61" s="3">
        <f>Combined!Q63/Combined!Q139</f>
        <v>0.10760026618739355</v>
      </c>
      <c r="Q61" s="3">
        <f>Combined!R63/Combined!R139</f>
        <v>0</v>
      </c>
      <c r="R61" s="2">
        <f>Combined!S63/Combined!S139</f>
        <v>0.065152272935105518</v>
      </c>
      <c r="S61" s="2">
        <f>Combined!T63/Combined!T139</f>
        <v>0</v>
      </c>
      <c r="T61" s="2">
        <f>Combined!U63/Combined!U139</f>
        <v>0</v>
      </c>
      <c r="U61" s="2">
        <f>Combined!V63/Combined!V139</f>
        <v>0</v>
      </c>
      <c r="V61" s="2">
        <f>Combined!W63/Combined!W139</f>
        <v>0.019784353546729375</v>
      </c>
      <c r="W61" s="2">
        <f>Combined!X63/Combined!X139</f>
        <v>0.035477556682552959</v>
      </c>
      <c r="X61" s="2">
        <f>Combined!Y63/Combined!Y139</f>
        <v>0</v>
      </c>
      <c r="Z61" t="str">
        <f/>
        <v>Liquefaction</v>
      </c>
      <c r="AA61">
        <f t="shared" si="486"/>
        <v>0.019291990949821744</v>
      </c>
      <c r="AB61">
        <f t="shared" si="487"/>
        <v>0.065152272935105518</v>
      </c>
      <c r="AC61">
        <f t="shared" si="488"/>
        <v>0.18696553473351504</v>
      </c>
      <c r="AE61">
        <f/>
        <v>0</v>
      </c>
      <c r="AF61">
        <f/>
        <v>0</v>
      </c>
      <c r="AG61">
        <f t="shared" si="489"/>
        <v>0</v>
      </c>
      <c r="AI61">
        <f/>
        <v>0</v>
      </c>
      <c r="AJ61">
        <f/>
        <v>0</v>
      </c>
      <c r="AK61">
        <f/>
        <v>0</v>
      </c>
      <c r="AM61">
        <f/>
        <v>0</v>
      </c>
      <c r="AN61">
        <f t="shared" si="490"/>
        <v>0</v>
      </c>
      <c r="AO61">
        <f t="shared" si="491"/>
        <v>0</v>
      </c>
      <c r="AQ61">
        <f t="shared" si="492"/>
        <v>0.0058431410502322347</v>
      </c>
      <c r="AR61">
        <f t="shared" si="493"/>
        <v>0.019784353546729375</v>
      </c>
      <c r="AS61">
        <f t="shared" si="494"/>
        <v>0.057028141079318584</v>
      </c>
      <c r="AU61">
        <f t="shared" si="495"/>
        <v>0.010052715785345782</v>
      </c>
      <c r="AV61">
        <f t="array" ref="AV61">_xlfn.ANCHORARRAY(W61)</f>
        <v>0.035477556682552959</v>
      </c>
      <c r="AW61">
        <f t="shared" si="496"/>
        <v>0.10760026618739355</v>
      </c>
      <c r="AY61">
        <f t="shared" si="497"/>
        <v>0</v>
      </c>
      <c r="AZ61">
        <f t="shared" si="498"/>
        <v>0</v>
      </c>
      <c r="BA61">
        <f t="shared" si="499"/>
        <v>0</v>
      </c>
    </row>
    <row r="62">
      <c r="C62" t="s">
        <v>805</v>
      </c>
      <c r="D62" s="1">
        <f>Combined!E79/Combined!E139</f>
        <v>0.011316160792974815</v>
      </c>
      <c r="E62" s="1">
        <f>Combined!F79/Combined!F139</f>
        <v>0.0017010815874188871</v>
      </c>
      <c r="F62" s="1">
        <f>Combined!G79/Combined!G139</f>
        <v>0.0017357975381825381</v>
      </c>
      <c r="G62" s="1">
        <f>Combined!H79/Combined!H139</f>
        <v>0.0021085731836936149</v>
      </c>
      <c r="H62" s="1">
        <f>Combined!I79/Combined!I139</f>
        <v>0.0012429499332792502</v>
      </c>
      <c r="I62" s="1">
        <f>Combined!J79/Combined!J139</f>
        <v>0.0021384084873621511</v>
      </c>
      <c r="J62" s="1">
        <f>Combined!K79/Combined!K139</f>
        <v>2.835601172205475e-06</v>
      </c>
      <c r="K62" s="3">
        <f>Combined!L79/Combined!L139</f>
        <v>0.074275190227209936</v>
      </c>
      <c r="L62" s="3">
        <f>Combined!M79/Combined!M139</f>
        <v>0.0061477187396838506</v>
      </c>
      <c r="M62" s="3">
        <f>Combined!N79/Combined!N139</f>
        <v>0.0062731823874325006</v>
      </c>
      <c r="N62" s="3">
        <f>Combined!O79/Combined!O139</f>
        <v>0.010928976361875861</v>
      </c>
      <c r="O62" s="3">
        <f>Combined!P79/Combined!P139</f>
        <v>0.058045951161726721</v>
      </c>
      <c r="P62" s="3">
        <f>Combined!Q79/Combined!Q139</f>
        <v>0.10952066256929568</v>
      </c>
      <c r="Q62" s="3">
        <f>Combined!R79/Combined!R139</f>
        <v>3.1506679691171941e-06</v>
      </c>
      <c r="R62" s="2">
        <f>Combined!S79/Combined!S139</f>
        <v>0.031718257571153201</v>
      </c>
      <c r="S62" s="2">
        <f>Combined!T79/Combined!T139</f>
        <v>0.0030980976058889967</v>
      </c>
      <c r="T62" s="2">
        <f>Combined!U79/Combined!U139</f>
        <v>0.0031613240876418335</v>
      </c>
      <c r="U62" s="2">
        <f>Combined!V79/Combined!V139</f>
        <v>0.0049688976856434013</v>
      </c>
      <c r="V62" s="2">
        <f>Combined!W79/Combined!W139</f>
        <v>0.017077087033052878</v>
      </c>
      <c r="W62" s="2">
        <f>Combined!X79/Combined!X139</f>
        <v>0.030622851626515714</v>
      </c>
      <c r="X62" s="2">
        <f>Combined!Y79/Combined!Y139</f>
        <v>2.9848433391636582e-06</v>
      </c>
      <c r="Z62" t="str">
        <f/>
        <v xml:space="preserve">Storage production</v>
      </c>
      <c r="AA62">
        <f t="shared" si="486"/>
        <v>0.011316160792974815</v>
      </c>
      <c r="AB62">
        <f t="shared" si="487"/>
        <v>0.031718257571153201</v>
      </c>
      <c r="AC62">
        <f t="shared" si="488"/>
        <v>0.074275190227209936</v>
      </c>
      <c r="AE62">
        <f/>
        <v>0.0017010815874188871</v>
      </c>
      <c r="AF62">
        <f/>
        <v>0.0030980976058889967</v>
      </c>
      <c r="AG62">
        <f t="shared" si="489"/>
        <v>0.0061477187396838506</v>
      </c>
      <c r="AI62">
        <f/>
        <v>0.0017357975381825381</v>
      </c>
      <c r="AJ62">
        <f/>
        <v>0.0031613240876418335</v>
      </c>
      <c r="AK62">
        <f/>
        <v>0.0062731823874325006</v>
      </c>
      <c r="AM62">
        <f/>
        <v>0.0021085731836936149</v>
      </c>
      <c r="AN62">
        <f t="shared" si="490"/>
        <v>0.0049688976856434013</v>
      </c>
      <c r="AO62">
        <f t="shared" si="491"/>
        <v>0.010928976361875861</v>
      </c>
      <c r="AQ62">
        <f t="shared" si="492"/>
        <v>0.0012429499332792502</v>
      </c>
      <c r="AR62">
        <f t="shared" si="493"/>
        <v>0.017077087033052878</v>
      </c>
      <c r="AS62">
        <f t="shared" si="494"/>
        <v>0.058045951161726721</v>
      </c>
      <c r="AU62">
        <f t="shared" si="495"/>
        <v>0.0021384084873621511</v>
      </c>
      <c r="AV62">
        <f t="array" ref="AV62">_xlfn.ANCHORARRAY(W62)</f>
        <v>0.030622851626515714</v>
      </c>
      <c r="AW62">
        <f t="shared" si="496"/>
        <v>0.10952066256929568</v>
      </c>
      <c r="AY62">
        <f t="shared" si="497"/>
        <v>2.835601172205475e-06</v>
      </c>
      <c r="AZ62">
        <f t="shared" si="498"/>
        <v>2.9848433391636582e-06</v>
      </c>
      <c r="BA62">
        <f t="shared" si="499"/>
        <v>3.1506679691171941e-06</v>
      </c>
    </row>
    <row r="63">
      <c r="C63" t="s">
        <v>806</v>
      </c>
      <c r="D63" s="1">
        <f>Combined!E95/Combined!E139</f>
        <v>0.011286065138036691</v>
      </c>
      <c r="E63" s="1">
        <f>Combined!F95/Combined!F139</f>
        <v>0.0051029338963569995</v>
      </c>
      <c r="F63" s="1">
        <f>Combined!G95/Combined!G139</f>
        <v>0.005207075404445918</v>
      </c>
      <c r="G63" s="1">
        <f>Combined!H95/Combined!H139</f>
        <v>0.0079032525010071832</v>
      </c>
      <c r="H63" s="1">
        <f>Combined!I95/Combined!I139</f>
        <v>0.003510489766391592</v>
      </c>
      <c r="I63" s="1">
        <f>Combined!J95/Combined!J139</f>
        <v>0.0060395522862651046</v>
      </c>
      <c r="J63" s="1">
        <f>Combined!K95/Combined!K139</f>
        <v>0.0051408709407722089</v>
      </c>
      <c r="K63" s="3">
        <f>Combined!L95/Combined!L139</f>
        <v>0.033336776210414677</v>
      </c>
      <c r="L63" s="3">
        <f>Combined!M95/Combined!M139</f>
        <v>0.017755358242716283</v>
      </c>
      <c r="M63" s="3">
        <f>Combined!N95/Combined!N139</f>
        <v>0.018117712492567634</v>
      </c>
      <c r="N63" s="3">
        <f>Combined!O95/Combined!O139</f>
        <v>0.030684454182460429</v>
      </c>
      <c r="O63" s="3">
        <f>Combined!P95/Combined!P139</f>
        <v>0.014873682494734712</v>
      </c>
      <c r="P63" s="3">
        <f>Combined!Q95/Combined!Q139</f>
        <v>0.028063551876857946</v>
      </c>
      <c r="Q63" s="3">
        <f>Combined!R95/Combined!R139</f>
        <v>0.017963409659482142</v>
      </c>
      <c r="R63" s="2">
        <f>Combined!S95/Combined!S139</f>
        <v>0.017831583045855109</v>
      </c>
      <c r="S63" s="2">
        <f>Combined!T95/Combined!T139</f>
        <v>0.0088999916314457771</v>
      </c>
      <c r="T63" s="2">
        <f>Combined!U95/Combined!U139</f>
        <v>0.0090816241137201808</v>
      </c>
      <c r="U63" s="2">
        <f>Combined!V95/Combined!V139</f>
        <v>0.014605135409504678</v>
      </c>
      <c r="V63" s="2">
        <f>Combined!W95/Combined!W139</f>
        <v>0.0068285649244479761</v>
      </c>
      <c r="W63" s="2">
        <f>Combined!X95/Combined!X139</f>
        <v>0.012245070256927604</v>
      </c>
      <c r="X63" s="2">
        <f>Combined!Y95/Combined!Y139</f>
        <v>0.0098146775163620303</v>
      </c>
      <c r="Z63" t="str">
        <f/>
        <v>Transport</v>
      </c>
      <c r="AA63">
        <f t="shared" si="486"/>
        <v>0.011286065138036691</v>
      </c>
      <c r="AB63">
        <f t="shared" si="487"/>
        <v>0.017831583045855109</v>
      </c>
      <c r="AC63">
        <f t="shared" si="488"/>
        <v>0.033336776210414677</v>
      </c>
      <c r="AE63">
        <f/>
        <v>0.0051029338963569995</v>
      </c>
      <c r="AF63">
        <f/>
        <v>0.0088999916314457771</v>
      </c>
      <c r="AG63">
        <f t="shared" si="489"/>
        <v>0.017755358242716283</v>
      </c>
      <c r="AI63">
        <f/>
        <v>0.005207075404445918</v>
      </c>
      <c r="AJ63">
        <f/>
        <v>0.0090816241137201808</v>
      </c>
      <c r="AK63">
        <f/>
        <v>0.018117712492567634</v>
      </c>
      <c r="AM63">
        <f/>
        <v>0.0079032525010071832</v>
      </c>
      <c r="AN63">
        <f t="shared" si="490"/>
        <v>0.014605135409504678</v>
      </c>
      <c r="AO63">
        <f t="shared" si="491"/>
        <v>0.030684454182460429</v>
      </c>
      <c r="AQ63">
        <f t="shared" si="492"/>
        <v>0.003510489766391592</v>
      </c>
      <c r="AR63">
        <f t="shared" si="493"/>
        <v>0.0068285649244479761</v>
      </c>
      <c r="AS63">
        <f t="shared" si="494"/>
        <v>0.014873682494734712</v>
      </c>
      <c r="AU63">
        <f t="shared" si="495"/>
        <v>0.0060395522862651046</v>
      </c>
      <c r="AV63">
        <f t="array" ref="AV63">_xlfn.ANCHORARRAY(W63)</f>
        <v>0.012245070256927604</v>
      </c>
      <c r="AW63">
        <f t="shared" si="496"/>
        <v>0.028063551876857946</v>
      </c>
      <c r="AY63">
        <f t="shared" si="497"/>
        <v>0.0051408709407722089</v>
      </c>
      <c r="AZ63">
        <f t="shared" si="498"/>
        <v>0.0098146775163620303</v>
      </c>
      <c r="BA63">
        <f t="shared" si="499"/>
        <v>0.017963409659482142</v>
      </c>
    </row>
    <row r="64">
      <c r="C64" t="s">
        <v>807</v>
      </c>
      <c r="D64" s="1">
        <f>Combined!E111/Combined!E139</f>
        <v>0.022780550041458715</v>
      </c>
      <c r="E64" s="1">
        <f>Combined!F111/Combined!F139</f>
        <v>0.0034063705389041337</v>
      </c>
      <c r="F64" s="1">
        <f>Combined!G111/Combined!G139</f>
        <v>0.0034758883050042184</v>
      </c>
      <c r="G64" s="1">
        <f>Combined!H111/Combined!H139</f>
        <v>0.0042171463673872298</v>
      </c>
      <c r="H64" s="1">
        <f>Combined!I111/Combined!I139</f>
        <v>0.0025101067791075257</v>
      </c>
      <c r="I64" s="1">
        <f>Combined!J111/Combined!J139</f>
        <v>0.0043184632758839154</v>
      </c>
      <c r="J64" s="1">
        <f>Combined!K111/Combined!K139</f>
        <v>5.6712023444109499e-06</v>
      </c>
      <c r="K64" s="3">
        <f>Combined!L111/Combined!L139</f>
        <v>0.17628047910672495</v>
      </c>
      <c r="L64" s="3">
        <f>Combined!M111/Combined!M139</f>
        <v>0.012362010470870126</v>
      </c>
      <c r="M64" s="3">
        <f>Combined!N111/Combined!N139</f>
        <v>0.012614296398847065</v>
      </c>
      <c r="N64" s="3">
        <f>Combined!O111/Combined!O139</f>
        <v>0.021857952723751722</v>
      </c>
      <c r="O64" s="3">
        <f>Combined!P111/Combined!P139</f>
        <v>0.11655985823442352</v>
      </c>
      <c r="P64" s="3">
        <f>Combined!Q111/Combined!Q139</f>
        <v>0.21992426081966701</v>
      </c>
      <c r="Q64" s="3">
        <f>Combined!R111/Combined!R139</f>
        <v>6.3013359382343883e-06</v>
      </c>
      <c r="R64" s="2">
        <f>Combined!S111/Combined!S139</f>
        <v>0.064748845567592847</v>
      </c>
      <c r="S64" s="2">
        <f>Combined!T111/Combined!T139</f>
        <v>0.0062267088997308333</v>
      </c>
      <c r="T64" s="2">
        <f>Combined!U111/Combined!U139</f>
        <v>0.0063537845915620748</v>
      </c>
      <c r="U64" s="2">
        <f>Combined!V111/Combined!V139</f>
        <v>0.0099377953712868027</v>
      </c>
      <c r="V64" s="2">
        <f>Combined!W111/Combined!W139</f>
        <v>0.034332410896086428</v>
      </c>
      <c r="W64" s="2">
        <f>Combined!X111/Combined!X139</f>
        <v>0.06156531982395564</v>
      </c>
      <c r="X64" s="2">
        <f>Combined!Y111/Combined!Y139</f>
        <v>5.9696866783273163e-06</v>
      </c>
      <c r="Z64" t="str">
        <f/>
        <v xml:space="preserve">Storage utilization</v>
      </c>
      <c r="AA64">
        <f t="shared" si="486"/>
        <v>0.022780550041458715</v>
      </c>
      <c r="AB64">
        <f t="shared" si="487"/>
        <v>0.064748845567592847</v>
      </c>
      <c r="AC64">
        <f t="shared" si="488"/>
        <v>0.17628047910672495</v>
      </c>
      <c r="AE64">
        <f/>
        <v>0.0034063705389041337</v>
      </c>
      <c r="AF64">
        <f/>
        <v>0.0062267088997308333</v>
      </c>
      <c r="AG64">
        <f t="shared" si="489"/>
        <v>0.012362010470870126</v>
      </c>
      <c r="AI64">
        <f/>
        <v>0.0034758883050042184</v>
      </c>
      <c r="AJ64">
        <f/>
        <v>0.0063537845915620748</v>
      </c>
      <c r="AK64">
        <f/>
        <v>0.012614296398847065</v>
      </c>
      <c r="AM64">
        <f/>
        <v>0.0042171463673872298</v>
      </c>
      <c r="AN64">
        <f t="shared" si="490"/>
        <v>0.0099377953712868027</v>
      </c>
      <c r="AO64">
        <f t="shared" si="491"/>
        <v>0.021857952723751722</v>
      </c>
      <c r="AQ64">
        <f t="shared" si="492"/>
        <v>0.0025101067791075257</v>
      </c>
      <c r="AR64">
        <f t="shared" si="493"/>
        <v>0.034332410896086428</v>
      </c>
      <c r="AS64">
        <f t="shared" si="494"/>
        <v>0.11655985823442352</v>
      </c>
      <c r="AU64">
        <f t="shared" si="495"/>
        <v>0.0043184632758839154</v>
      </c>
      <c r="AV64">
        <f t="array" ref="AV64">_xlfn.ANCHORARRAY(W64)</f>
        <v>0.06156531982395564</v>
      </c>
      <c r="AW64">
        <f t="shared" si="496"/>
        <v>0.21992426081966701</v>
      </c>
      <c r="AY64">
        <f t="shared" si="497"/>
        <v>5.6712023444109499e-06</v>
      </c>
      <c r="AZ64">
        <f t="shared" si="498"/>
        <v>5.9696866783273163e-06</v>
      </c>
      <c r="BA64">
        <f t="shared" si="499"/>
        <v>6.3013359382343883e-06</v>
      </c>
    </row>
    <row r="65">
      <c r="C65" t="s">
        <v>791</v>
      </c>
      <c r="D65" s="1">
        <f>Combined!E127/Combined!E139</f>
        <v>0.0049815994550186562</v>
      </c>
      <c r="E65" s="1">
        <f>Combined!F127/Combined!F139</f>
        <v>0</v>
      </c>
      <c r="F65" s="1">
        <f>Combined!G127/Combined!G139</f>
        <v>0.028143873352985533</v>
      </c>
      <c r="G65" s="1">
        <f>Combined!H127/Combined!H139</f>
        <v>0.045063152410055547</v>
      </c>
      <c r="H65" s="1">
        <f>Combined!I127/Combined!I139</f>
        <v>0</v>
      </c>
      <c r="I65" s="1">
        <f>Combined!J127/Combined!J139</f>
        <v>0.056465801552125647</v>
      </c>
      <c r="J65" s="1">
        <f>Combined!K127/Combined!K139</f>
        <v>0</v>
      </c>
      <c r="K65" s="3">
        <f>Combined!L127/Combined!L139</f>
        <v>0.073523124589386965</v>
      </c>
      <c r="L65" s="3">
        <f>Combined!M127/Combined!M139</f>
        <v>0</v>
      </c>
      <c r="M65" s="3">
        <f>Combined!N127/Combined!N139</f>
        <v>0.30323754301571076</v>
      </c>
      <c r="N65" s="3">
        <f>Combined!O127/Combined!O139</f>
        <v>0.27718107670222975</v>
      </c>
      <c r="O65" s="3">
        <f>Combined!P127/Combined!P139</f>
        <v>0</v>
      </c>
      <c r="P65" s="3">
        <f>Combined!Q127/Combined!Q139</f>
        <v>0.18231300535609946</v>
      </c>
      <c r="Q65" s="3">
        <f>Combined!R127/Combined!R139</f>
        <v>0</v>
      </c>
      <c r="R65" s="2">
        <f>Combined!S127/Combined!S139</f>
        <v>0.019995365632340535</v>
      </c>
      <c r="S65" s="2">
        <f>Combined!T127/Combined!T139</f>
        <v>0</v>
      </c>
      <c r="T65" s="2">
        <f>Combined!U127/Combined!U139</f>
        <v>0.076121444879713382</v>
      </c>
      <c r="U65" s="2">
        <f>Combined!V127/Combined!V139</f>
        <v>0.097758954547690458</v>
      </c>
      <c r="V65" s="2">
        <f>Combined!W127/Combined!W139</f>
        <v>0</v>
      </c>
      <c r="W65" s="2">
        <f>Combined!X127/Combined!X139</f>
        <v>0.093083156436675307</v>
      </c>
      <c r="X65" s="2">
        <f>Combined!Y127/Combined!Y139</f>
        <v>0</v>
      </c>
      <c r="Z65" s="68" t="str">
        <f t="array" ref="Z65:Z73">C65:C73</f>
        <v>Reconversion</v>
      </c>
      <c r="AA65">
        <f t="shared" si="486"/>
        <v>0.0049815994550186562</v>
      </c>
      <c r="AB65">
        <f t="shared" si="487"/>
        <v>0.019995365632340535</v>
      </c>
      <c r="AC65">
        <f t="shared" si="488"/>
        <v>0.073523124589386965</v>
      </c>
      <c r="AE65">
        <f t="array" ref="AE65:AE73">E65:E73</f>
        <v>0</v>
      </c>
      <c r="AF65">
        <f t="array" ref="AF65:AF73">S65:S73</f>
        <v>0</v>
      </c>
      <c r="AG65">
        <f t="shared" si="489"/>
        <v>0</v>
      </c>
      <c r="AI65">
        <f t="array" ref="AI65:AI73">F65:F73</f>
        <v>0.028143873352985533</v>
      </c>
      <c r="AJ65">
        <f t="array" ref="AJ65:AJ73">T65:T73</f>
        <v>0.076121444879713382</v>
      </c>
      <c r="AK65">
        <f t="array" ref="AK65:AK73">M65:M73</f>
        <v>0.30323754301571076</v>
      </c>
      <c r="AM65">
        <f t="array" ref="AM65:AM73">G65:G73</f>
        <v>0.045063152410055547</v>
      </c>
      <c r="AN65">
        <f t="shared" si="490"/>
        <v>0.097758954547690458</v>
      </c>
      <c r="AO65">
        <f t="shared" si="491"/>
        <v>0.27718107670222975</v>
      </c>
      <c r="AQ65">
        <f t="shared" si="492"/>
        <v>0</v>
      </c>
      <c r="AR65">
        <f t="shared" si="493"/>
        <v>0</v>
      </c>
      <c r="AS65">
        <f t="shared" si="494"/>
        <v>0</v>
      </c>
      <c r="AU65">
        <f t="shared" si="495"/>
        <v>0.056465801552125647</v>
      </c>
      <c r="AV65">
        <f t="array" ref="AV65">_xlfn.ANCHORARRAY(W65)</f>
        <v>0.093083156436675307</v>
      </c>
      <c r="AW65">
        <f t="shared" si="496"/>
        <v>0.18231300535609946</v>
      </c>
      <c r="AY65">
        <f t="shared" si="497"/>
        <v>0</v>
      </c>
      <c r="AZ65">
        <f t="shared" si="498"/>
        <v>0</v>
      </c>
      <c r="BA65">
        <f t="shared" si="499"/>
        <v>0</v>
      </c>
    </row>
    <row r="66">
      <c r="C66" t="s">
        <v>793</v>
      </c>
      <c r="D66" s="1">
        <f>Combined!E143/Combined!E139</f>
        <v>0.024189398809287922</v>
      </c>
      <c r="E66" s="1">
        <f>Combined!F143/Combined!F139</f>
        <v>0.024189398809287922</v>
      </c>
      <c r="F66" s="1">
        <f>Combined!G143/Combined!G139</f>
        <v>0.024189398809287922</v>
      </c>
      <c r="G66" s="1">
        <f>Combined!H143/Combined!H139</f>
        <v>0.024189398809287922</v>
      </c>
      <c r="H66" s="1">
        <f>Combined!I143/Combined!I139</f>
        <v>0.022893841226654318</v>
      </c>
      <c r="I66" s="1">
        <f>Combined!J143/Combined!J139</f>
        <v>0.024189398809287922</v>
      </c>
      <c r="J66" s="1">
        <f>Combined!K143/Combined!K139</f>
        <v>0.010436556778254301</v>
      </c>
      <c r="K66" s="3">
        <f>Combined!L143/Combined!L139</f>
        <v>0.068280577557999031</v>
      </c>
      <c r="L66" s="3">
        <f>Combined!M143/Combined!M139</f>
        <v>0.068280577557999031</v>
      </c>
      <c r="M66" s="3">
        <f>Combined!N143/Combined!N139</f>
        <v>0.068280577557999031</v>
      </c>
      <c r="N66" s="3">
        <f>Combined!O143/Combined!O139</f>
        <v>0.068280577557999031</v>
      </c>
      <c r="O66" s="3">
        <f>Combined!P143/Combined!P139</f>
        <v>0.060669176760026609</v>
      </c>
      <c r="P66" s="3">
        <f>Combined!Q143/Combined!Q139</f>
        <v>0.068280577557999031</v>
      </c>
      <c r="Q66" s="3">
        <f>Combined!R143/Combined!R139</f>
        <v>0.055733265548743353</v>
      </c>
      <c r="R66" s="2">
        <f>Combined!S143/Combined!S139</f>
        <v>0.040238924375566018</v>
      </c>
      <c r="S66" s="2">
        <f>Combined!T143/Combined!T139</f>
        <v>0.040238924375566018</v>
      </c>
      <c r="T66" s="2">
        <f>Combined!U143/Combined!U139</f>
        <v>0.040238924375566018</v>
      </c>
      <c r="U66" s="2">
        <f>Combined!V143/Combined!V139</f>
        <v>0.040238924375566018</v>
      </c>
      <c r="V66" s="2">
        <f>Combined!W143/Combined!W139</f>
        <v>0.035122442880505436</v>
      </c>
      <c r="W66" s="2">
        <f>Combined!X143/Combined!X139</f>
        <v>0.040238924375566018</v>
      </c>
      <c r="X66" s="2">
        <f>Combined!Y143/Combined!Y139</f>
        <v>0.020822614955538103</v>
      </c>
      <c r="Z66" t="str">
        <f/>
        <v>Utilization</v>
      </c>
      <c r="AA66">
        <f t="shared" si="486"/>
        <v>0.024189398809287922</v>
      </c>
      <c r="AB66">
        <f t="shared" si="487"/>
        <v>0.040238924375566018</v>
      </c>
      <c r="AC66">
        <f t="shared" si="488"/>
        <v>0.068280577557999031</v>
      </c>
      <c r="AE66">
        <f/>
        <v>0.024189398809287922</v>
      </c>
      <c r="AF66">
        <f/>
        <v>0.040238924375566018</v>
      </c>
      <c r="AG66">
        <f t="shared" si="489"/>
        <v>0.068280577557999031</v>
      </c>
      <c r="AI66">
        <f/>
        <v>0.024189398809287922</v>
      </c>
      <c r="AJ66">
        <f/>
        <v>0.040238924375566018</v>
      </c>
      <c r="AK66">
        <f/>
        <v>0.068280577557999031</v>
      </c>
      <c r="AM66">
        <f/>
        <v>0.024189398809287922</v>
      </c>
      <c r="AN66">
        <f t="shared" si="490"/>
        <v>0.040238924375566018</v>
      </c>
      <c r="AO66">
        <f t="shared" si="491"/>
        <v>0.068280577557999031</v>
      </c>
      <c r="AQ66">
        <f t="shared" si="492"/>
        <v>0.022893841226654318</v>
      </c>
      <c r="AR66">
        <f t="shared" si="493"/>
        <v>0.035122442880505436</v>
      </c>
      <c r="AS66">
        <f t="shared" si="494"/>
        <v>0.060669176760026609</v>
      </c>
      <c r="AU66">
        <f t="shared" si="495"/>
        <v>0.024189398809287922</v>
      </c>
      <c r="AV66">
        <f t="array" ref="AV66">_xlfn.ANCHORARRAY(W66)</f>
        <v>0.040238924375566018</v>
      </c>
      <c r="AW66">
        <f t="shared" si="496"/>
        <v>0.068280577557999031</v>
      </c>
      <c r="AY66">
        <f t="shared" si="497"/>
        <v>0.010436556778254301</v>
      </c>
      <c r="AZ66">
        <f t="shared" si="498"/>
        <v>0.020822614955538103</v>
      </c>
      <c r="BA66">
        <f t="shared" si="499"/>
        <v>0.055733265548743353</v>
      </c>
    </row>
    <row r="67">
      <c r="C67" t="s">
        <v>812</v>
      </c>
      <c r="D67" s="1">
        <f t="shared" ref="D67:I67" si="503">SUM(D58:D66)</f>
        <v>0.13767382583832405</v>
      </c>
      <c r="E67" s="1">
        <f t="shared" si="503"/>
        <v>0.09584006328895181</v>
      </c>
      <c r="F67" s="1">
        <f t="shared" si="503"/>
        <v>0.12544619510070601</v>
      </c>
      <c r="G67" s="1">
        <f t="shared" si="503"/>
        <v>0.12930911401918926</v>
      </c>
      <c r="H67" s="1">
        <f t="shared" si="503"/>
        <v>0.099234431313072052</v>
      </c>
      <c r="I67" s="1">
        <f t="shared" si="503"/>
        <v>0.21199384997245482</v>
      </c>
      <c r="J67" s="1">
        <f t="shared" ref="J67:P67" si="504">SUM(J58:J66)</f>
        <v>0.13524538143901121</v>
      </c>
      <c r="K67" s="3">
        <f t="shared" si="504"/>
        <v>1.0486548776079057</v>
      </c>
      <c r="L67" s="3">
        <f t="shared" si="504"/>
        <v>0.69058253542795056</v>
      </c>
      <c r="M67" s="3">
        <f t="shared" si="504"/>
        <v>1.0065201184001911</v>
      </c>
      <c r="N67" s="3">
        <f t="shared" si="504"/>
        <v>0.90332161422475521</v>
      </c>
      <c r="O67" s="3">
        <f t="shared" si="504"/>
        <v>1.054341255905892</v>
      </c>
      <c r="P67" s="3">
        <f t="shared" si="504"/>
        <v>2.1254465624345991</v>
      </c>
      <c r="Q67" s="3">
        <f t="shared" ref="Q67:X67" si="505">SUM(Q58:Q66)</f>
        <v>0.69563408187450504</v>
      </c>
      <c r="R67" s="2">
        <f t="shared" si="505"/>
        <v>0.39945083125335423</v>
      </c>
      <c r="S67" s="2">
        <f t="shared" si="505"/>
        <v>0.27635520812107611</v>
      </c>
      <c r="T67" s="2">
        <f t="shared" si="505"/>
        <v>0.3572953526690652</v>
      </c>
      <c r="U67" s="2">
        <f t="shared" si="505"/>
        <v>0.34191546487566199</v>
      </c>
      <c r="V67" s="2">
        <f t="shared" si="505"/>
        <v>0.37711626489574029</v>
      </c>
      <c r="W67" s="2">
        <f t="shared" si="505"/>
        <v>0.74658979142865356</v>
      </c>
      <c r="X67" s="2">
        <f t="shared" si="505"/>
        <v>0.33234469602101263</v>
      </c>
      <c r="Z67" t="str">
        <f/>
        <v xml:space="preserve">Total Price</v>
      </c>
      <c r="AA67">
        <f t="shared" si="486"/>
        <v>0.13767382583832405</v>
      </c>
      <c r="AB67">
        <f t="shared" si="487"/>
        <v>0.39945083125335423</v>
      </c>
      <c r="AC67">
        <f t="shared" si="488"/>
        <v>1.0486548776079057</v>
      </c>
      <c r="AE67">
        <f/>
        <v>0.09584006328895181</v>
      </c>
      <c r="AF67">
        <f/>
        <v>0.27635520812107611</v>
      </c>
      <c r="AG67">
        <f t="shared" si="489"/>
        <v>0.69058253542795056</v>
      </c>
      <c r="AI67">
        <f/>
        <v>0.12544619510070601</v>
      </c>
      <c r="AJ67">
        <f/>
        <v>0.3572953526690652</v>
      </c>
      <c r="AK67">
        <f/>
        <v>1.0065201184001911</v>
      </c>
      <c r="AM67">
        <f/>
        <v>0.12930911401918926</v>
      </c>
      <c r="AN67">
        <f t="shared" si="490"/>
        <v>0.34191546487566199</v>
      </c>
      <c r="AO67">
        <f t="shared" si="491"/>
        <v>0.90332161422475521</v>
      </c>
      <c r="AQ67">
        <f t="shared" si="492"/>
        <v>0.099234431313072052</v>
      </c>
      <c r="AR67">
        <f t="shared" si="493"/>
        <v>0.37711626489574029</v>
      </c>
      <c r="AS67">
        <f t="shared" si="494"/>
        <v>1.054341255905892</v>
      </c>
      <c r="AU67">
        <f t="shared" si="495"/>
        <v>0.21199384997245482</v>
      </c>
      <c r="AV67">
        <f t="array" ref="AV67">_xlfn.ANCHORARRAY(W67)</f>
        <v>0.74658979142865356</v>
      </c>
      <c r="AW67">
        <f t="shared" si="496"/>
        <v>2.1254465624345991</v>
      </c>
      <c r="AY67">
        <f t="shared" si="497"/>
        <v>0.13524538143901121</v>
      </c>
      <c r="AZ67">
        <f t="shared" si="498"/>
        <v>0.33234469602101263</v>
      </c>
      <c r="BA67">
        <f t="shared" si="499"/>
        <v>0.69563408187450504</v>
      </c>
    </row>
    <row r="68">
      <c r="D68" s="66" t="str">
        <f t="shared" ref="D68:X68" si="506">D2</f>
        <v>H2</v>
      </c>
      <c r="E68" s="66" t="str">
        <f t="shared" si="506"/>
        <v>NH3</v>
      </c>
      <c r="F68" s="66" t="str">
        <f t="shared" si="506"/>
        <v xml:space="preserve">NH3 H2 Plant</v>
      </c>
      <c r="G68" s="66" t="str">
        <f t="shared" si="506"/>
        <v>LOHC</v>
      </c>
      <c r="H68" s="66" t="str">
        <f t="shared" si="506"/>
        <v>CH4</v>
      </c>
      <c r="I68" s="66" t="str">
        <f t="shared" si="506"/>
        <v xml:space="preserve">CH4 H2 Plant</v>
      </c>
      <c r="J68" s="66" t="str">
        <f t="shared" si="506"/>
        <v>Fe</v>
      </c>
      <c r="K68" s="67" t="str">
        <f t="shared" si="506"/>
        <v>H2</v>
      </c>
      <c r="L68" s="67" t="str">
        <f t="shared" si="506"/>
        <v>NH3</v>
      </c>
      <c r="M68" s="67" t="str">
        <f t="shared" si="506"/>
        <v xml:space="preserve">NH3 H2 Plant</v>
      </c>
      <c r="N68" s="67" t="str">
        <f t="shared" si="506"/>
        <v>LOHC</v>
      </c>
      <c r="O68" s="67" t="str">
        <f t="shared" si="506"/>
        <v>CH4</v>
      </c>
      <c r="P68" s="67" t="str">
        <f t="shared" si="506"/>
        <v xml:space="preserve">CH4 H2 Plant</v>
      </c>
      <c r="Q68" s="67" t="str">
        <f t="shared" si="506"/>
        <v>Fe</v>
      </c>
      <c r="R68" s="68" t="str">
        <f t="shared" si="506"/>
        <v>H2</v>
      </c>
      <c r="S68" s="68" t="str">
        <f t="shared" si="506"/>
        <v>NH3</v>
      </c>
      <c r="T68" s="68" t="str">
        <f t="shared" si="506"/>
        <v xml:space="preserve">H2 from NH3</v>
      </c>
      <c r="U68" s="68" t="str">
        <f t="shared" si="506"/>
        <v>LOHC</v>
      </c>
      <c r="V68" s="68" t="str">
        <f t="shared" si="506"/>
        <v>CH4</v>
      </c>
      <c r="W68" s="68" t="str">
        <f t="shared" si="506"/>
        <v xml:space="preserve">H2 from CH4</v>
      </c>
      <c r="X68" s="68" t="str">
        <f t="shared" si="506"/>
        <v>Fe</v>
      </c>
      <c r="Z68">
        <f/>
        <v>0</v>
      </c>
      <c r="AA68" t="str">
        <f t="shared" si="486"/>
        <v>H2</v>
      </c>
      <c r="AB68" t="str">
        <f t="shared" si="487"/>
        <v>H2</v>
      </c>
      <c r="AC68" t="str">
        <f t="shared" si="488"/>
        <v>H2</v>
      </c>
      <c r="AE68" t="str">
        <f/>
        <v>NH3</v>
      </c>
      <c r="AF68" t="str">
        <f/>
        <v>NH3</v>
      </c>
      <c r="AG68" t="str">
        <f t="shared" si="489"/>
        <v>NH3</v>
      </c>
      <c r="AI68" t="str">
        <f/>
        <v xml:space="preserve">NH3 H2 Plant</v>
      </c>
      <c r="AJ68" t="str">
        <f/>
        <v xml:space="preserve">H2 from NH3</v>
      </c>
      <c r="AK68" t="str">
        <f/>
        <v xml:space="preserve">NH3 H2 Plant</v>
      </c>
      <c r="AM68" t="str">
        <f/>
        <v>LOHC</v>
      </c>
      <c r="AN68" t="str">
        <f t="shared" si="490"/>
        <v>LOHC</v>
      </c>
      <c r="AO68" t="str">
        <f t="shared" si="491"/>
        <v>LOHC</v>
      </c>
      <c r="AQ68" t="str">
        <f t="shared" si="492"/>
        <v>CH4</v>
      </c>
      <c r="AR68" t="str">
        <f t="shared" si="493"/>
        <v>CH4</v>
      </c>
      <c r="AS68" t="str">
        <f t="shared" si="494"/>
        <v>CH4</v>
      </c>
      <c r="AU68" t="str">
        <f t="shared" si="495"/>
        <v xml:space="preserve">CH4 H2 Plant</v>
      </c>
      <c r="AV68" t="str">
        <f t="array" ref="AV68">_xlfn.ANCHORARRAY(W68)</f>
        <v xml:space="preserve">H2 from CH4</v>
      </c>
      <c r="AW68" t="str">
        <f t="shared" si="496"/>
        <v xml:space="preserve">CH4 H2 Plant</v>
      </c>
      <c r="AY68" t="str">
        <f t="shared" si="497"/>
        <v>Fe</v>
      </c>
      <c r="AZ68" t="str">
        <f t="shared" si="498"/>
        <v>Fe</v>
      </c>
      <c r="BA68" t="str">
        <f t="shared" si="499"/>
        <v>Fe</v>
      </c>
    </row>
    <row r="69">
      <c r="B69" t="s">
        <v>552</v>
      </c>
      <c r="C69" t="s">
        <v>804</v>
      </c>
      <c r="D69" s="1">
        <f>Combined!E16/Combined!E140</f>
        <v>0.043487337358884437</v>
      </c>
      <c r="E69" s="1">
        <f>Combined!F16/Combined!F140</f>
        <v>0.050172679182863701</v>
      </c>
      <c r="F69" s="1">
        <f>Combined!G16/Combined!G140</f>
        <v>0.051196611411085419</v>
      </c>
      <c r="G69" s="1">
        <f>Combined!H16/Combined!H140</f>
        <v>0.043926603392812569</v>
      </c>
      <c r="H69" s="1">
        <f>Combined!I16/Combined!I140</f>
        <v>0.054010715469768336</v>
      </c>
      <c r="I69" s="1">
        <f>Combined!J16/Combined!J140</f>
        <v>0.092921661023257357</v>
      </c>
      <c r="J69" s="1">
        <f>Combined!K16/Combined!K140</f>
        <v>0.04382034223237681</v>
      </c>
      <c r="K69" s="3">
        <f>Combined!L16/Combined!L140</f>
        <v>0.4341445954901878</v>
      </c>
      <c r="L69" s="3">
        <f>Combined!M16/Combined!M140</f>
        <v>0.4908682585500298</v>
      </c>
      <c r="M69" s="63">
        <f>Combined!N16/Combined!N140</f>
        <v>0.50088597811227542</v>
      </c>
      <c r="N69" s="63">
        <f>Combined!O16/Combined!O140</f>
        <v>0.47273522620042663</v>
      </c>
      <c r="O69" s="3">
        <f>Combined!P16/Combined!P140</f>
        <v>0.54665382520631156</v>
      </c>
      <c r="P69" s="3">
        <f>Combined!Q16/Combined!Q140</f>
        <v>1.0314223117100216</v>
      </c>
      <c r="Q69" s="3">
        <f>Combined!R16/Combined!R140</f>
        <v>0.40720686672449391</v>
      </c>
      <c r="R69" s="2">
        <f>Combined!S16/Combined!S140</f>
        <v>0.15898072092827722</v>
      </c>
      <c r="S69" s="2">
        <f>Combined!T16/Combined!T140</f>
        <v>0.18158673995494909</v>
      </c>
      <c r="T69" s="64">
        <f>Combined!U16/Combined!U140</f>
        <v>0.18529259179076438</v>
      </c>
      <c r="U69" s="64">
        <f>Combined!V16/Combined!V140</f>
        <v>0.16696112542855948</v>
      </c>
      <c r="V69" s="2">
        <f>Combined!W16/Combined!W140</f>
        <v>0.19852554119335733</v>
      </c>
      <c r="W69" s="2">
        <f>Combined!X16/Combined!X140</f>
        <v>0.35599854824602917</v>
      </c>
      <c r="X69" s="2">
        <f>Combined!Y16/Combined!Y140</f>
        <v>0.15799029413998145</v>
      </c>
      <c r="Z69" t="str">
        <f/>
        <v>Elektrolyser</v>
      </c>
      <c r="AA69">
        <f t="shared" si="486"/>
        <v>0.043487337358884437</v>
      </c>
      <c r="AB69">
        <f t="shared" si="487"/>
        <v>0.15898072092827722</v>
      </c>
      <c r="AC69">
        <f t="shared" si="488"/>
        <v>0.4341445954901878</v>
      </c>
      <c r="AE69">
        <f/>
        <v>0.050172679182863701</v>
      </c>
      <c r="AF69">
        <f/>
        <v>0.18158673995494909</v>
      </c>
      <c r="AG69">
        <f t="shared" si="489"/>
        <v>0.4908682585500298</v>
      </c>
      <c r="AI69">
        <f/>
        <v>0.051196611411085419</v>
      </c>
      <c r="AJ69">
        <f/>
        <v>0.18529259179076438</v>
      </c>
      <c r="AK69">
        <f/>
        <v>0.50088597811227542</v>
      </c>
      <c r="AM69">
        <f/>
        <v>0.043926603392812569</v>
      </c>
      <c r="AN69">
        <f t="shared" si="490"/>
        <v>0.16696112542855948</v>
      </c>
      <c r="AO69">
        <f t="shared" si="491"/>
        <v>0.47273522620042663</v>
      </c>
      <c r="AQ69">
        <f t="shared" si="492"/>
        <v>0.054010715469768336</v>
      </c>
      <c r="AR69">
        <f t="shared" si="493"/>
        <v>0.19852554119335733</v>
      </c>
      <c r="AS69">
        <f t="shared" si="494"/>
        <v>0.54665382520631156</v>
      </c>
      <c r="AU69">
        <f t="shared" si="495"/>
        <v>0.092921661023257357</v>
      </c>
      <c r="AV69">
        <f t="array" ref="AV69">_xlfn.ANCHORARRAY(W69)</f>
        <v>0.35599854824602917</v>
      </c>
      <c r="AW69">
        <f t="shared" si="496"/>
        <v>1.0314223117100216</v>
      </c>
      <c r="AY69">
        <f t="shared" si="497"/>
        <v>0.04382034223237681</v>
      </c>
      <c r="AZ69">
        <f t="shared" si="498"/>
        <v>0.15799029413998145</v>
      </c>
      <c r="BA69">
        <f t="shared" si="499"/>
        <v>0.40720686672449391</v>
      </c>
    </row>
    <row r="70">
      <c r="C70" t="s">
        <v>786</v>
      </c>
      <c r="D70" s="1">
        <f>Combined!E32/Combined!E140</f>
        <v>0</v>
      </c>
      <c r="E70" s="1">
        <f>Combined!F32/Combined!F140</f>
        <v>0.010874496327375811</v>
      </c>
      <c r="F70" s="1">
        <f>Combined!G32/Combined!G140</f>
        <v>0.01109642482385287</v>
      </c>
      <c r="G70" s="1">
        <f>Combined!H32/Combined!H140</f>
        <v>0.0015568224126815146</v>
      </c>
      <c r="H70" s="1">
        <f>Combined!I32/Combined!I140</f>
        <v>0.0089017662120122569</v>
      </c>
      <c r="I70" s="1">
        <f>Combined!J32/Combined!J140</f>
        <v>0.015314866601311412</v>
      </c>
      <c r="J70" s="1">
        <f>Combined!K32/Combined!K140</f>
        <v>0.075578327305971374</v>
      </c>
      <c r="K70" s="3">
        <f>Combined!L32/Combined!L140</f>
        <v>0</v>
      </c>
      <c r="L70" s="3">
        <f>Combined!M32/Combined!M140</f>
        <v>0.093078481248365347</v>
      </c>
      <c r="M70" s="3">
        <f>Combined!N32/Combined!N140</f>
        <v>0.094978042090168732</v>
      </c>
      <c r="N70" s="3">
        <f>Combined!O32/Combined!O140</f>
        <v>0.019640430830880868</v>
      </c>
      <c r="O70" s="3">
        <f>Combined!P32/Combined!P140</f>
        <v>0.19863675863021557</v>
      </c>
      <c r="P70" s="3">
        <f>Combined!Q32/Combined!Q140</f>
        <v>0.37478633703814251</v>
      </c>
      <c r="Q70" s="3">
        <f>Combined!R32/Combined!R140</f>
        <v>0.21298718983937151</v>
      </c>
      <c r="R70" s="2">
        <f>Combined!S32/Combined!S140</f>
        <v>0</v>
      </c>
      <c r="S70" s="2">
        <f>Combined!T32/Combined!T140</f>
        <v>0.035408282325537055</v>
      </c>
      <c r="T70" s="2">
        <f>Combined!U32/Combined!U140</f>
        <v>0.036130900332180665</v>
      </c>
      <c r="U70" s="2">
        <f>Combined!V32/Combined!V140</f>
        <v>0.0066203729392702339</v>
      </c>
      <c r="V70" s="2">
        <f>Combined!W32/Combined!W140</f>
        <v>0.0646771701186791</v>
      </c>
      <c r="W70" s="2">
        <f>Combined!X32/Combined!X140</f>
        <v>0.11597993149146309</v>
      </c>
      <c r="X70" s="2">
        <f>Combined!Y32/Combined!Y140</f>
        <v>0.14292818325285397</v>
      </c>
      <c r="Z70" t="str">
        <f/>
        <v>Conversion</v>
      </c>
      <c r="AA70">
        <f t="shared" si="486"/>
        <v>0</v>
      </c>
      <c r="AB70">
        <f t="shared" si="487"/>
        <v>0</v>
      </c>
      <c r="AC70">
        <f t="shared" si="488"/>
        <v>0</v>
      </c>
      <c r="AE70">
        <f/>
        <v>0.010874496327375811</v>
      </c>
      <c r="AF70">
        <f/>
        <v>0.035408282325537055</v>
      </c>
      <c r="AG70">
        <f t="shared" si="489"/>
        <v>0.093078481248365347</v>
      </c>
      <c r="AI70">
        <f/>
        <v>0.01109642482385287</v>
      </c>
      <c r="AJ70">
        <f/>
        <v>0.036130900332180665</v>
      </c>
      <c r="AK70">
        <f/>
        <v>0.094978042090168732</v>
      </c>
      <c r="AM70">
        <f/>
        <v>0.0015568224126815146</v>
      </c>
      <c r="AN70">
        <f t="shared" si="490"/>
        <v>0.0066203729392702339</v>
      </c>
      <c r="AO70">
        <f t="shared" si="491"/>
        <v>0.019640430830880868</v>
      </c>
      <c r="AQ70">
        <f t="shared" si="492"/>
        <v>0.0089017662120122569</v>
      </c>
      <c r="AR70">
        <f t="shared" si="493"/>
        <v>0.0646771701186791</v>
      </c>
      <c r="AS70">
        <f t="shared" si="494"/>
        <v>0.19863675863021557</v>
      </c>
      <c r="AU70">
        <f t="shared" si="495"/>
        <v>0.015314866601311412</v>
      </c>
      <c r="AV70">
        <f t="array" ref="AV70">_xlfn.ANCHORARRAY(W70)</f>
        <v>0.11597993149146309</v>
      </c>
      <c r="AW70">
        <f t="shared" si="496"/>
        <v>0.37478633703814251</v>
      </c>
      <c r="AY70">
        <f t="shared" si="497"/>
        <v>0.075578327305971374</v>
      </c>
      <c r="AZ70">
        <f t="shared" si="498"/>
        <v>0.14292818325285397</v>
      </c>
      <c r="BA70">
        <f t="shared" si="499"/>
        <v>0.21298718983937151</v>
      </c>
    </row>
    <row r="71">
      <c r="C71" t="s">
        <v>377</v>
      </c>
      <c r="D71" s="1">
        <f>Combined!E48/Combined!E140</f>
        <v>0.00034072329284106062</v>
      </c>
      <c r="E71" s="1">
        <f>Combined!F48/Combined!F140</f>
        <v>0.00039310294674435738</v>
      </c>
      <c r="F71" s="1">
        <f>Combined!G48/Combined!G140</f>
        <v>0.00040112545586158921</v>
      </c>
      <c r="G71" s="1">
        <f>Combined!H48/Combined!H140</f>
        <v>0.00034416494226369751</v>
      </c>
      <c r="H71" s="1">
        <f>Combined!I48/Combined!I140</f>
        <v>0.00032142087562654886</v>
      </c>
      <c r="I71" s="1">
        <f>Combined!J48/Combined!J140</f>
        <v>0.0005529821516155679</v>
      </c>
      <c r="J71" s="1">
        <f>Combined!K48/Combined!K140</f>
        <v>0.00026077737811989039</v>
      </c>
      <c r="K71" s="3">
        <f>Combined!L48/Combined!L140</f>
        <v>0.0018485996924671917</v>
      </c>
      <c r="L71" s="3">
        <f>Combined!M48/Combined!M140</f>
        <v>0.0020901306182861375</v>
      </c>
      <c r="M71" s="3">
        <f>Combined!N48/Combined!N140</f>
        <v>0.0021327863451899363</v>
      </c>
      <c r="N71" s="3">
        <f>Combined!O48/Combined!O140</f>
        <v>0.0020129196651309418</v>
      </c>
      <c r="O71" s="3">
        <f>Combined!P48/Combined!P140</f>
        <v>0.001873862339134673</v>
      </c>
      <c r="P71" s="3">
        <f>Combined!Q48/Combined!Q140</f>
        <v>0.0035355893191220244</v>
      </c>
      <c r="Q71" s="3">
        <f>Combined!R48/Combined!R140</f>
        <v>0.0017338980985067715</v>
      </c>
      <c r="R71" s="2">
        <f>Combined!S48/Combined!S140</f>
        <v>0.00078486119746372276</v>
      </c>
      <c r="S71" s="2">
        <f>Combined!T48/Combined!T140</f>
        <v>0.00089646332795831135</v>
      </c>
      <c r="T71" s="2">
        <f>Combined!U48/Combined!U140</f>
        <v>0.00091475849791664422</v>
      </c>
      <c r="U71" s="2">
        <f>Combined!V48/Combined!V140</f>
        <v>0.0008242591181409233</v>
      </c>
      <c r="V71" s="2">
        <f>Combined!W48/Combined!W140</f>
        <v>0.00076869430288180568</v>
      </c>
      <c r="W71" s="2">
        <f>Combined!X48/Combined!X140</f>
        <v>0.0013784324889681888</v>
      </c>
      <c r="X71" s="2">
        <f>Combined!Y48/Combined!Y140</f>
        <v>0.00077997162625959742</v>
      </c>
      <c r="Z71" t="str">
        <f/>
        <v>Water</v>
      </c>
      <c r="AA71">
        <f t="shared" si="486"/>
        <v>0.00034072329284106062</v>
      </c>
      <c r="AB71">
        <f t="shared" si="487"/>
        <v>0.00078486119746372276</v>
      </c>
      <c r="AC71">
        <f t="shared" si="488"/>
        <v>0.0018485996924671917</v>
      </c>
      <c r="AE71">
        <f/>
        <v>0.00039310294674435738</v>
      </c>
      <c r="AF71">
        <f/>
        <v>0.00089646332795831135</v>
      </c>
      <c r="AG71">
        <f t="shared" si="489"/>
        <v>0.0020901306182861375</v>
      </c>
      <c r="AI71">
        <f/>
        <v>0.00040112545586158921</v>
      </c>
      <c r="AJ71">
        <f/>
        <v>0.00091475849791664422</v>
      </c>
      <c r="AK71">
        <f/>
        <v>0.0021327863451899363</v>
      </c>
      <c r="AM71">
        <f/>
        <v>0.00034416494226369751</v>
      </c>
      <c r="AN71">
        <f t="shared" si="490"/>
        <v>0.0008242591181409233</v>
      </c>
      <c r="AO71">
        <f t="shared" si="491"/>
        <v>0.0020129196651309418</v>
      </c>
      <c r="AQ71">
        <f t="shared" si="492"/>
        <v>0.00032142087562654886</v>
      </c>
      <c r="AR71">
        <f t="shared" si="493"/>
        <v>0.00076869430288180568</v>
      </c>
      <c r="AS71">
        <f t="shared" si="494"/>
        <v>0.001873862339134673</v>
      </c>
      <c r="AU71">
        <f t="shared" si="495"/>
        <v>0.0005529821516155679</v>
      </c>
      <c r="AV71">
        <f t="array" ref="AV71">_xlfn.ANCHORARRAY(W71)</f>
        <v>0.0013784324889681888</v>
      </c>
      <c r="AW71">
        <f t="shared" si="496"/>
        <v>0.0035355893191220244</v>
      </c>
      <c r="AY71">
        <f t="shared" si="497"/>
        <v>0.00026077737811989039</v>
      </c>
      <c r="AZ71">
        <f t="shared" si="498"/>
        <v>0.00077997162625959742</v>
      </c>
      <c r="BA71">
        <f t="shared" si="499"/>
        <v>0.0017338980985067715</v>
      </c>
    </row>
    <row r="72">
      <c r="C72" t="s">
        <v>787</v>
      </c>
      <c r="D72" s="1">
        <f>Combined!E64/Combined!E140</f>
        <v>0.019291990949821744</v>
      </c>
      <c r="E72" s="1">
        <f>Combined!F64/Combined!F140</f>
        <v>0</v>
      </c>
      <c r="F72" s="1">
        <f>Combined!G64/Combined!G140</f>
        <v>0</v>
      </c>
      <c r="G72" s="1">
        <f>Combined!H64/Combined!H140</f>
        <v>0</v>
      </c>
      <c r="H72" s="1">
        <f>Combined!I64/Combined!I140</f>
        <v>0.0058431410502322355</v>
      </c>
      <c r="I72" s="1">
        <f>Combined!J64/Combined!J140</f>
        <v>0.010052715785345782</v>
      </c>
      <c r="J72" s="1">
        <f>Combined!K64/Combined!K140</f>
        <v>0</v>
      </c>
      <c r="K72" s="3">
        <f>Combined!L64/Combined!L140</f>
        <v>0.18696553473351507</v>
      </c>
      <c r="L72" s="3">
        <f>Combined!M64/Combined!M140</f>
        <v>0</v>
      </c>
      <c r="M72" s="3">
        <f>Combined!N64/Combined!N140</f>
        <v>0</v>
      </c>
      <c r="N72" s="3">
        <f>Combined!O64/Combined!O140</f>
        <v>0</v>
      </c>
      <c r="O72" s="3">
        <f>Combined!P64/Combined!P140</f>
        <v>0.057028141079318584</v>
      </c>
      <c r="P72" s="3">
        <f>Combined!Q64/Combined!Q140</f>
        <v>0.10760026618739355</v>
      </c>
      <c r="Q72" s="3">
        <f>Combined!R64/Combined!R140</f>
        <v>0</v>
      </c>
      <c r="R72" s="2">
        <f>Combined!S64/Combined!S140</f>
        <v>0.065152272935105518</v>
      </c>
      <c r="S72" s="2">
        <f>Combined!T64/Combined!T140</f>
        <v>0</v>
      </c>
      <c r="T72" s="2">
        <f>Combined!U64/Combined!U140</f>
        <v>0</v>
      </c>
      <c r="U72" s="2">
        <f>Combined!V64/Combined!V140</f>
        <v>0</v>
      </c>
      <c r="V72" s="2">
        <f>Combined!W64/Combined!W140</f>
        <v>0.019784353546729378</v>
      </c>
      <c r="W72" s="2">
        <f>Combined!X64/Combined!X140</f>
        <v>0.035477556682552959</v>
      </c>
      <c r="X72" s="2">
        <f>Combined!Y64/Combined!Y140</f>
        <v>0</v>
      </c>
      <c r="Z72" t="str">
        <f/>
        <v>Liquefaction</v>
      </c>
      <c r="AA72">
        <f t="shared" si="486"/>
        <v>0.019291990949821744</v>
      </c>
      <c r="AB72">
        <f t="shared" si="487"/>
        <v>0.065152272935105518</v>
      </c>
      <c r="AC72">
        <f t="shared" si="488"/>
        <v>0.18696553473351507</v>
      </c>
      <c r="AE72">
        <f/>
        <v>0</v>
      </c>
      <c r="AF72">
        <f/>
        <v>0</v>
      </c>
      <c r="AG72">
        <f t="shared" si="489"/>
        <v>0</v>
      </c>
      <c r="AI72">
        <f/>
        <v>0</v>
      </c>
      <c r="AJ72">
        <f/>
        <v>0</v>
      </c>
      <c r="AK72">
        <f/>
        <v>0</v>
      </c>
      <c r="AM72">
        <f/>
        <v>0</v>
      </c>
      <c r="AN72">
        <f t="shared" si="490"/>
        <v>0</v>
      </c>
      <c r="AO72">
        <f t="shared" si="491"/>
        <v>0</v>
      </c>
      <c r="AQ72">
        <f t="shared" si="492"/>
        <v>0.0058431410502322355</v>
      </c>
      <c r="AR72">
        <f t="shared" si="493"/>
        <v>0.019784353546729378</v>
      </c>
      <c r="AS72">
        <f t="shared" si="494"/>
        <v>0.057028141079318584</v>
      </c>
      <c r="AU72">
        <f t="shared" si="495"/>
        <v>0.010052715785345782</v>
      </c>
      <c r="AV72">
        <f t="array" ref="AV72">_xlfn.ANCHORARRAY(W72)</f>
        <v>0.035477556682552959</v>
      </c>
      <c r="AW72">
        <f t="shared" si="496"/>
        <v>0.10760026618739355</v>
      </c>
      <c r="AY72">
        <f t="shared" si="497"/>
        <v>0</v>
      </c>
      <c r="AZ72">
        <f t="shared" si="498"/>
        <v>0</v>
      </c>
      <c r="BA72">
        <f t="shared" si="499"/>
        <v>0</v>
      </c>
    </row>
    <row r="73">
      <c r="C73" t="s">
        <v>805</v>
      </c>
      <c r="D73" s="1">
        <f>Combined!E80/Combined!E140</f>
        <v>0.011316160792974813</v>
      </c>
      <c r="E73" s="1">
        <f>Combined!F80/Combined!F140</f>
        <v>0.0017010815874188869</v>
      </c>
      <c r="F73" s="1">
        <f>Combined!G80/Combined!G140</f>
        <v>0.0017357975381825379</v>
      </c>
      <c r="G73" s="1">
        <f>Combined!H80/Combined!H140</f>
        <v>0.0021085731836936153</v>
      </c>
      <c r="H73" s="1">
        <f>Combined!I80/Combined!I140</f>
        <v>0.0012429499332792505</v>
      </c>
      <c r="I73" s="1">
        <f>Combined!J80/Combined!J140</f>
        <v>0.0021384084873621516</v>
      </c>
      <c r="J73" s="1">
        <f>Combined!K80/Combined!K140</f>
        <v>2.835601172205475e-06</v>
      </c>
      <c r="K73" s="3">
        <f>Combined!L80/Combined!L140</f>
        <v>0.07427519022720995</v>
      </c>
      <c r="L73" s="3">
        <f>Combined!M80/Combined!M140</f>
        <v>0.0061477187396838497</v>
      </c>
      <c r="M73" s="3">
        <f>Combined!N80/Combined!N140</f>
        <v>0.0062731823874325006</v>
      </c>
      <c r="N73" s="3">
        <f>Combined!O80/Combined!O140</f>
        <v>0.010928976361875861</v>
      </c>
      <c r="O73" s="3">
        <f>Combined!P80/Combined!P140</f>
        <v>0.058045951161726714</v>
      </c>
      <c r="P73" s="3">
        <f>Combined!Q80/Combined!Q140</f>
        <v>0.10952066256929568</v>
      </c>
      <c r="Q73" s="3">
        <f>Combined!R80/Combined!R140</f>
        <v>3.1506679691171946e-06</v>
      </c>
      <c r="R73" s="2">
        <f>Combined!S80/Combined!S140</f>
        <v>0.031718257571153194</v>
      </c>
      <c r="S73" s="2">
        <f>Combined!T80/Combined!T140</f>
        <v>0.0030980976058889967</v>
      </c>
      <c r="T73" s="2">
        <f>Combined!U80/Combined!U140</f>
        <v>0.0031613240876418331</v>
      </c>
      <c r="U73" s="2">
        <f>Combined!V80/Combined!V140</f>
        <v>0.0049688976856434022</v>
      </c>
      <c r="V73" s="2">
        <f>Combined!W80/Combined!W140</f>
        <v>0.017077087033052881</v>
      </c>
      <c r="W73" s="2">
        <f>Combined!X80/Combined!X140</f>
        <v>0.030622851626515717</v>
      </c>
      <c r="X73" s="2">
        <f>Combined!Y80/Combined!Y140</f>
        <v>2.9848433391636578e-06</v>
      </c>
      <c r="Z73" t="str">
        <f/>
        <v xml:space="preserve">Storage production</v>
      </c>
      <c r="AA73">
        <f t="shared" si="486"/>
        <v>0.011316160792974813</v>
      </c>
      <c r="AB73">
        <f t="shared" si="487"/>
        <v>0.031718257571153194</v>
      </c>
      <c r="AC73">
        <f t="shared" si="488"/>
        <v>0.07427519022720995</v>
      </c>
      <c r="AE73">
        <f/>
        <v>0.0017010815874188869</v>
      </c>
      <c r="AF73">
        <f/>
        <v>0.0030980976058889967</v>
      </c>
      <c r="AG73">
        <f t="shared" si="489"/>
        <v>0.0061477187396838497</v>
      </c>
      <c r="AI73">
        <f/>
        <v>0.0017357975381825379</v>
      </c>
      <c r="AJ73">
        <f/>
        <v>0.0031613240876418331</v>
      </c>
      <c r="AK73">
        <f/>
        <v>0.0062731823874325006</v>
      </c>
      <c r="AM73">
        <f/>
        <v>0.0021085731836936153</v>
      </c>
      <c r="AN73">
        <f t="shared" si="490"/>
        <v>0.0049688976856434022</v>
      </c>
      <c r="AO73">
        <f t="shared" si="491"/>
        <v>0.010928976361875861</v>
      </c>
      <c r="AQ73">
        <f t="shared" si="492"/>
        <v>0.0012429499332792505</v>
      </c>
      <c r="AR73">
        <f t="shared" si="493"/>
        <v>0.017077087033052881</v>
      </c>
      <c r="AS73">
        <f t="shared" si="494"/>
        <v>0.058045951161726714</v>
      </c>
      <c r="AU73">
        <f t="shared" si="495"/>
        <v>0.0021384084873621516</v>
      </c>
      <c r="AV73">
        <f t="array" ref="AV73">_xlfn.ANCHORARRAY(W73)</f>
        <v>0.030622851626515717</v>
      </c>
      <c r="AW73">
        <f t="shared" si="496"/>
        <v>0.10952066256929568</v>
      </c>
      <c r="AY73">
        <f t="shared" si="497"/>
        <v>2.835601172205475e-06</v>
      </c>
      <c r="AZ73">
        <f t="shared" si="498"/>
        <v>2.9848433391636578e-06</v>
      </c>
      <c r="BA73">
        <f t="shared" si="499"/>
        <v>3.1506679691171946e-06</v>
      </c>
    </row>
    <row r="74">
      <c r="C74" t="s">
        <v>806</v>
      </c>
      <c r="D74" s="1">
        <f>Combined!E96/Combined!E140</f>
        <v>0.027784951014168634</v>
      </c>
      <c r="E74" s="1">
        <f>Combined!F96/Combined!F140</f>
        <v>0.01207552954051784</v>
      </c>
      <c r="F74" s="1">
        <f>Combined!G96/Combined!G140</f>
        <v>0.012321968918895757</v>
      </c>
      <c r="G74" s="1">
        <f>Combined!H96/Combined!H140</f>
        <v>0.019752580180224261</v>
      </c>
      <c r="H74" s="1">
        <f>Combined!I96/Combined!I140</f>
        <v>0.0072839919971853951</v>
      </c>
      <c r="I74" s="1">
        <f>Combined!J96/Combined!J140</f>
        <v>0.012531599134942617</v>
      </c>
      <c r="J74" s="1">
        <f>Combined!K96/Combined!K140</f>
        <v>0.0092661843430303543</v>
      </c>
      <c r="K74" s="3">
        <f>Combined!L96/Combined!L140</f>
        <v>0.084945696190073916</v>
      </c>
      <c r="L74" s="3">
        <f>Combined!M96/Combined!M140</f>
        <v>0.044380403681635559</v>
      </c>
      <c r="M74" s="3">
        <f>Combined!N96/Combined!N140</f>
        <v>0.045286126205750579</v>
      </c>
      <c r="N74" s="3">
        <f>Combined!O96/Combined!O140</f>
        <v>0.082011448647932111</v>
      </c>
      <c r="O74" s="3">
        <f>Combined!P96/Combined!P140</f>
        <v>0.035751206312857824</v>
      </c>
      <c r="P74" s="3">
        <f>Combined!Q96/Combined!Q140</f>
        <v>0.067455106250675134</v>
      </c>
      <c r="Q74" s="7">
        <f>Combined!R96/Combined!R140</f>
        <v>0.041856886091802194</v>
      </c>
      <c r="R74" s="2">
        <f>Combined!S96/Combined!S140</f>
        <v>0.04473642384142669</v>
      </c>
      <c r="S74" s="2">
        <f>Combined!T96/Combined!T140</f>
        <v>0.021764546772747161</v>
      </c>
      <c r="T74" s="2">
        <f>Combined!U96/Combined!U140</f>
        <v>0.022208721196680777</v>
      </c>
      <c r="U74" s="2">
        <f>Combined!V96/Combined!V140</f>
        <v>0.038016238677249216</v>
      </c>
      <c r="V74" s="2">
        <f>Combined!W96/Combined!W140</f>
        <v>0.015598292654117921</v>
      </c>
      <c r="W74" s="2">
        <f>Combined!X96/Combined!X140</f>
        <v>0.027971058568097652</v>
      </c>
      <c r="X74" s="2">
        <f>Combined!Y96/Combined!Y140</f>
        <v>0.024702605421828835</v>
      </c>
      <c r="Z74" s="68" t="str">
        <f t="array" ref="Z74:Z82">C74:C82</f>
        <v>Transport</v>
      </c>
      <c r="AA74">
        <f t="shared" si="486"/>
        <v>0.027784951014168634</v>
      </c>
      <c r="AB74">
        <f t="shared" si="487"/>
        <v>0.04473642384142669</v>
      </c>
      <c r="AC74">
        <f t="shared" si="488"/>
        <v>0.084945696190073916</v>
      </c>
      <c r="AE74">
        <f t="array" ref="AE74:AE82">E74:E82</f>
        <v>0.01207552954051784</v>
      </c>
      <c r="AF74">
        <f t="array" ref="AF74:AF82">S74:S82</f>
        <v>0.021764546772747161</v>
      </c>
      <c r="AG74">
        <f t="shared" si="489"/>
        <v>0.044380403681635559</v>
      </c>
      <c r="AI74">
        <f t="array" ref="AI74:AI82">F74:F82</f>
        <v>0.012321968918895757</v>
      </c>
      <c r="AJ74">
        <f t="array" ref="AJ74:AJ82">T74:T82</f>
        <v>0.022208721196680777</v>
      </c>
      <c r="AK74">
        <f t="array" ref="AK74:AK82">M74:M82</f>
        <v>0.045286126205750579</v>
      </c>
      <c r="AM74">
        <f t="array" ref="AM74:AM82">G74:G82</f>
        <v>0.019752580180224261</v>
      </c>
      <c r="AN74">
        <f t="shared" si="490"/>
        <v>0.038016238677249216</v>
      </c>
      <c r="AO74">
        <f t="shared" si="491"/>
        <v>0.082011448647932111</v>
      </c>
      <c r="AQ74">
        <f t="shared" si="492"/>
        <v>0.0072839919971853951</v>
      </c>
      <c r="AR74">
        <f t="shared" si="493"/>
        <v>0.015598292654117921</v>
      </c>
      <c r="AS74">
        <f t="shared" si="494"/>
        <v>0.035751206312857824</v>
      </c>
      <c r="AU74">
        <f t="shared" si="495"/>
        <v>0.012531599134942617</v>
      </c>
      <c r="AV74">
        <f t="array" ref="AV74">_xlfn.ANCHORARRAY(W74)</f>
        <v>0.027971058568097652</v>
      </c>
      <c r="AW74">
        <f t="shared" si="496"/>
        <v>0.067455106250675134</v>
      </c>
      <c r="AY74">
        <f t="shared" si="497"/>
        <v>0.0092661843430303543</v>
      </c>
      <c r="AZ74">
        <f t="shared" si="498"/>
        <v>0.024702605421828835</v>
      </c>
      <c r="BA74">
        <f t="shared" si="499"/>
        <v>0.041856886091802194</v>
      </c>
    </row>
    <row r="75">
      <c r="C75" t="s">
        <v>807</v>
      </c>
      <c r="D75" s="1">
        <f>Combined!E112/Combined!E140</f>
        <v>0.022780550041458712</v>
      </c>
      <c r="E75" s="1">
        <f>Combined!F112/Combined!F140</f>
        <v>0.0034063705389041337</v>
      </c>
      <c r="F75" s="1">
        <f>Combined!G112/Combined!G140</f>
        <v>0.0034758883050042184</v>
      </c>
      <c r="G75" s="1">
        <f>Combined!H112/Combined!H140</f>
        <v>0.0042171463673872306</v>
      </c>
      <c r="H75" s="1">
        <f>Combined!I112/Combined!I140</f>
        <v>0.0025101067791075257</v>
      </c>
      <c r="I75" s="1">
        <f>Combined!J112/Combined!J140</f>
        <v>0.0043184632758839154</v>
      </c>
      <c r="J75" s="1">
        <f>Combined!K112/Combined!K140</f>
        <v>5.6712023444109499e-06</v>
      </c>
      <c r="K75" s="3">
        <f>Combined!L112/Combined!L140</f>
        <v>0.17628047910672495</v>
      </c>
      <c r="L75" s="3">
        <f>Combined!M112/Combined!M140</f>
        <v>0.012362010470870124</v>
      </c>
      <c r="M75" s="3">
        <f>Combined!N112/Combined!N140</f>
        <v>0.012614296398847067</v>
      </c>
      <c r="N75" s="3">
        <f>Combined!O112/Combined!O140</f>
        <v>0.021857952723751722</v>
      </c>
      <c r="O75" s="3">
        <f>Combined!P112/Combined!P140</f>
        <v>0.11655985823442352</v>
      </c>
      <c r="P75" s="3">
        <f>Combined!Q112/Combined!Q140</f>
        <v>0.21992426081966701</v>
      </c>
      <c r="Q75" s="3">
        <f>Combined!R112/Combined!R140</f>
        <v>6.3013359382343891e-06</v>
      </c>
      <c r="R75" s="2">
        <f>Combined!S112/Combined!S140</f>
        <v>0.064748845567592847</v>
      </c>
      <c r="S75" s="2">
        <f>Combined!T112/Combined!T140</f>
        <v>0.0062267088997308324</v>
      </c>
      <c r="T75" s="2">
        <f>Combined!U112/Combined!U140</f>
        <v>0.0063537845915620748</v>
      </c>
      <c r="U75" s="2">
        <f>Combined!V112/Combined!V140</f>
        <v>0.0099377953712868044</v>
      </c>
      <c r="V75" s="2">
        <f>Combined!W112/Combined!W140</f>
        <v>0.034332410896086435</v>
      </c>
      <c r="W75" s="2">
        <f>Combined!X112/Combined!X140</f>
        <v>0.061565319823955633</v>
      </c>
      <c r="X75" s="2">
        <f>Combined!Y112/Combined!Y140</f>
        <v>5.9696866783273155e-06</v>
      </c>
      <c r="Z75" t="str">
        <f/>
        <v xml:space="preserve">Storage utilization</v>
      </c>
      <c r="AA75">
        <f t="shared" si="486"/>
        <v>0.022780550041458712</v>
      </c>
      <c r="AB75">
        <f t="shared" si="487"/>
        <v>0.064748845567592847</v>
      </c>
      <c r="AC75">
        <f t="shared" si="488"/>
        <v>0.17628047910672495</v>
      </c>
      <c r="AE75">
        <f/>
        <v>0.0034063705389041337</v>
      </c>
      <c r="AF75">
        <f/>
        <v>0.0062267088997308324</v>
      </c>
      <c r="AG75">
        <f t="shared" si="489"/>
        <v>0.012362010470870124</v>
      </c>
      <c r="AI75">
        <f/>
        <v>0.0034758883050042184</v>
      </c>
      <c r="AJ75">
        <f/>
        <v>0.0063537845915620748</v>
      </c>
      <c r="AK75">
        <f/>
        <v>0.012614296398847067</v>
      </c>
      <c r="AM75">
        <f/>
        <v>0.0042171463673872306</v>
      </c>
      <c r="AN75">
        <f t="shared" si="490"/>
        <v>0.0099377953712868044</v>
      </c>
      <c r="AO75">
        <f t="shared" si="491"/>
        <v>0.021857952723751722</v>
      </c>
      <c r="AQ75">
        <f t="shared" si="492"/>
        <v>0.0025101067791075257</v>
      </c>
      <c r="AR75">
        <f t="shared" si="493"/>
        <v>0.034332410896086435</v>
      </c>
      <c r="AS75">
        <f t="shared" si="494"/>
        <v>0.11655985823442352</v>
      </c>
      <c r="AU75">
        <f t="shared" si="495"/>
        <v>0.0043184632758839154</v>
      </c>
      <c r="AV75">
        <f t="array" ref="AV75">_xlfn.ANCHORARRAY(W75)</f>
        <v>0.061565319823955633</v>
      </c>
      <c r="AW75">
        <f t="shared" si="496"/>
        <v>0.21992426081966701</v>
      </c>
      <c r="AY75">
        <f t="shared" si="497"/>
        <v>5.6712023444109499e-06</v>
      </c>
      <c r="AZ75">
        <f t="shared" si="498"/>
        <v>5.9696866783273155e-06</v>
      </c>
      <c r="BA75">
        <f t="shared" si="499"/>
        <v>6.3013359382343891e-06</v>
      </c>
    </row>
    <row r="76">
      <c r="C76" t="s">
        <v>791</v>
      </c>
      <c r="D76" s="1">
        <f>Combined!E128/Combined!E140</f>
        <v>0.0049815994550186571</v>
      </c>
      <c r="E76" s="1">
        <f>Combined!F128/Combined!F140</f>
        <v>0</v>
      </c>
      <c r="F76" s="1">
        <f>Combined!G128/Combined!G140</f>
        <v>0.02814387335298554</v>
      </c>
      <c r="G76" s="1">
        <f>Combined!H128/Combined!H140</f>
        <v>0.045063152410055547</v>
      </c>
      <c r="H76" s="1">
        <f>Combined!I128/Combined!I140</f>
        <v>0</v>
      </c>
      <c r="I76" s="1">
        <f>Combined!J128/Combined!J140</f>
        <v>0.056465801552125661</v>
      </c>
      <c r="J76" s="1">
        <f>Combined!K128/Combined!K140</f>
        <v>0</v>
      </c>
      <c r="K76" s="3">
        <f>Combined!L128/Combined!L140</f>
        <v>0.073523124589386965</v>
      </c>
      <c r="L76" s="3">
        <f>Combined!M128/Combined!M140</f>
        <v>0</v>
      </c>
      <c r="M76" s="3">
        <f>Combined!N128/Combined!N140</f>
        <v>0.30323754301571082</v>
      </c>
      <c r="N76" s="3">
        <f>Combined!O128/Combined!O140</f>
        <v>0.2771810767022298</v>
      </c>
      <c r="O76" s="3">
        <f>Combined!P128/Combined!P140</f>
        <v>0</v>
      </c>
      <c r="P76" s="3">
        <f>Combined!Q128/Combined!Q140</f>
        <v>0.18231300535609946</v>
      </c>
      <c r="Q76" s="3">
        <f>Combined!R128/Combined!R140</f>
        <v>0</v>
      </c>
      <c r="R76" s="2">
        <f>Combined!S128/Combined!S140</f>
        <v>0.019995365632340532</v>
      </c>
      <c r="S76" s="2">
        <f>Combined!T128/Combined!T140</f>
        <v>0</v>
      </c>
      <c r="T76" s="2">
        <f>Combined!U128/Combined!U140</f>
        <v>0.076121444879713396</v>
      </c>
      <c r="U76" s="2">
        <f>Combined!V128/Combined!V140</f>
        <v>0.097758954547690471</v>
      </c>
      <c r="V76" s="2">
        <f>Combined!W128/Combined!W140</f>
        <v>0</v>
      </c>
      <c r="W76" s="2">
        <f>Combined!X128/Combined!X140</f>
        <v>0.093083156436675307</v>
      </c>
      <c r="X76" s="2">
        <f>Combined!Y128/Combined!Y140</f>
        <v>0</v>
      </c>
      <c r="Z76" t="str">
        <f/>
        <v>Reconversion</v>
      </c>
      <c r="AA76">
        <f t="shared" si="486"/>
        <v>0.0049815994550186571</v>
      </c>
      <c r="AB76">
        <f t="shared" si="487"/>
        <v>0.019995365632340532</v>
      </c>
      <c r="AC76">
        <f t="shared" si="488"/>
        <v>0.073523124589386965</v>
      </c>
      <c r="AE76">
        <f/>
        <v>0</v>
      </c>
      <c r="AF76">
        <f/>
        <v>0</v>
      </c>
      <c r="AG76">
        <f t="shared" si="489"/>
        <v>0</v>
      </c>
      <c r="AI76">
        <f/>
        <v>0.02814387335298554</v>
      </c>
      <c r="AJ76">
        <f/>
        <v>0.076121444879713396</v>
      </c>
      <c r="AK76">
        <f/>
        <v>0.30323754301571082</v>
      </c>
      <c r="AM76">
        <f/>
        <v>0.045063152410055547</v>
      </c>
      <c r="AN76">
        <f t="shared" si="490"/>
        <v>0.097758954547690471</v>
      </c>
      <c r="AO76">
        <f t="shared" si="491"/>
        <v>0.2771810767022298</v>
      </c>
      <c r="AQ76">
        <f t="shared" si="492"/>
        <v>0</v>
      </c>
      <c r="AR76">
        <f t="shared" si="493"/>
        <v>0</v>
      </c>
      <c r="AS76">
        <f t="shared" si="494"/>
        <v>0</v>
      </c>
      <c r="AU76">
        <f t="shared" si="495"/>
        <v>0.056465801552125661</v>
      </c>
      <c r="AV76">
        <f t="array" ref="AV76">_xlfn.ANCHORARRAY(W76)</f>
        <v>0.093083156436675307</v>
      </c>
      <c r="AW76">
        <f t="shared" si="496"/>
        <v>0.18231300535609946</v>
      </c>
      <c r="AY76">
        <f t="shared" si="497"/>
        <v>0</v>
      </c>
      <c r="AZ76">
        <f t="shared" si="498"/>
        <v>0</v>
      </c>
      <c r="BA76">
        <f t="shared" si="499"/>
        <v>0</v>
      </c>
    </row>
    <row r="77">
      <c r="C77" t="s">
        <v>793</v>
      </c>
      <c r="D77" s="1">
        <f>Combined!E144/Combined!E140</f>
        <v>0.024189398809287922</v>
      </c>
      <c r="E77" s="1">
        <f>Combined!F144/Combined!F140</f>
        <v>0.024189398809287922</v>
      </c>
      <c r="F77" s="1">
        <f>Combined!G144/Combined!G140</f>
        <v>0.024189398809287922</v>
      </c>
      <c r="G77" s="1">
        <f>Combined!H144/Combined!H140</f>
        <v>0.024189398809287922</v>
      </c>
      <c r="H77" s="1">
        <f>Combined!I144/Combined!I140</f>
        <v>0.022893841226654318</v>
      </c>
      <c r="I77" s="1">
        <f>Combined!J144/Combined!J140</f>
        <v>0.024189398809287922</v>
      </c>
      <c r="J77" s="1">
        <f>Combined!K144/Combined!K140</f>
        <v>0.010436556778254301</v>
      </c>
      <c r="K77" s="3">
        <f>Combined!L144/Combined!L140</f>
        <v>0.068280577557999031</v>
      </c>
      <c r="L77" s="3">
        <f>Combined!M144/Combined!M140</f>
        <v>0.068280577557999031</v>
      </c>
      <c r="M77" s="3">
        <f>Combined!N144/Combined!N140</f>
        <v>0.068280577557999031</v>
      </c>
      <c r="N77" s="3">
        <f>Combined!O144/Combined!O140</f>
        <v>0.068280577557999031</v>
      </c>
      <c r="O77" s="3">
        <f>Combined!P144/Combined!P140</f>
        <v>0.060669176760026609</v>
      </c>
      <c r="P77" s="3">
        <f>Combined!Q144/Combined!Q140</f>
        <v>0.068280577557999031</v>
      </c>
      <c r="Q77" s="3">
        <f>Combined!R144/Combined!R140</f>
        <v>0.055733265548743353</v>
      </c>
      <c r="R77" s="2">
        <f>Combined!S144/Combined!S140</f>
        <v>0.040238924375566018</v>
      </c>
      <c r="S77" s="2">
        <f>Combined!T144/Combined!T140</f>
        <v>0.040238924375566018</v>
      </c>
      <c r="T77" s="2">
        <f>Combined!U144/Combined!U140</f>
        <v>0.040238924375566018</v>
      </c>
      <c r="U77" s="2">
        <f>Combined!V144/Combined!V140</f>
        <v>0.040238924375566018</v>
      </c>
      <c r="V77" s="2">
        <f>Combined!W144/Combined!W140</f>
        <v>0.035122442880505436</v>
      </c>
      <c r="W77" s="2">
        <f>Combined!X144/Combined!X140</f>
        <v>0.040238924375566018</v>
      </c>
      <c r="X77" s="2">
        <f>Combined!Y144/Combined!Y140</f>
        <v>0.020822614955538103</v>
      </c>
      <c r="Z77" t="str">
        <f/>
        <v>Utilization</v>
      </c>
      <c r="AA77">
        <f t="shared" si="486"/>
        <v>0.024189398809287922</v>
      </c>
      <c r="AB77">
        <f t="shared" si="487"/>
        <v>0.040238924375566018</v>
      </c>
      <c r="AC77">
        <f t="shared" si="488"/>
        <v>0.068280577557999031</v>
      </c>
      <c r="AE77">
        <f/>
        <v>0.024189398809287922</v>
      </c>
      <c r="AF77">
        <f/>
        <v>0.040238924375566018</v>
      </c>
      <c r="AG77">
        <f t="shared" si="489"/>
        <v>0.068280577557999031</v>
      </c>
      <c r="AI77">
        <f/>
        <v>0.024189398809287922</v>
      </c>
      <c r="AJ77">
        <f/>
        <v>0.040238924375566018</v>
      </c>
      <c r="AK77">
        <f/>
        <v>0.068280577557999031</v>
      </c>
      <c r="AM77">
        <f/>
        <v>0.024189398809287922</v>
      </c>
      <c r="AN77">
        <f t="shared" si="490"/>
        <v>0.040238924375566018</v>
      </c>
      <c r="AO77">
        <f t="shared" si="491"/>
        <v>0.068280577557999031</v>
      </c>
      <c r="AQ77">
        <f t="shared" si="492"/>
        <v>0.022893841226654318</v>
      </c>
      <c r="AR77">
        <f t="shared" si="493"/>
        <v>0.035122442880505436</v>
      </c>
      <c r="AS77">
        <f t="shared" si="494"/>
        <v>0.060669176760026609</v>
      </c>
      <c r="AU77">
        <f t="shared" si="495"/>
        <v>0.024189398809287922</v>
      </c>
      <c r="AV77">
        <f t="array" ref="AV77">_xlfn.ANCHORARRAY(W77)</f>
        <v>0.040238924375566018</v>
      </c>
      <c r="AW77">
        <f t="shared" si="496"/>
        <v>0.068280577557999031</v>
      </c>
      <c r="AY77">
        <f t="shared" si="497"/>
        <v>0.010436556778254301</v>
      </c>
      <c r="AZ77">
        <f t="shared" si="498"/>
        <v>0.020822614955538103</v>
      </c>
      <c r="BA77">
        <f t="shared" si="499"/>
        <v>0.055733265548743353</v>
      </c>
    </row>
    <row r="78">
      <c r="C78" t="s">
        <v>812</v>
      </c>
      <c r="D78" s="1">
        <f t="shared" ref="D78:I78" si="507">SUM(D69:D77)</f>
        <v>0.15417271171445598</v>
      </c>
      <c r="E78" s="1">
        <f t="shared" si="507"/>
        <v>0.10281265893311264</v>
      </c>
      <c r="F78" s="1">
        <f t="shared" si="507"/>
        <v>0.13256108861515584</v>
      </c>
      <c r="G78" s="1">
        <f t="shared" si="507"/>
        <v>0.14115844169840636</v>
      </c>
      <c r="H78" s="1">
        <f t="shared" si="507"/>
        <v>0.10300793354386586</v>
      </c>
      <c r="I78" s="1">
        <f t="shared" si="507"/>
        <v>0.21848589682113237</v>
      </c>
      <c r="J78" s="1">
        <f t="shared" ref="J78:P78" si="508">SUM(J69:J77)</f>
        <v>0.13937069484126935</v>
      </c>
      <c r="K78" s="3">
        <f t="shared" si="508"/>
        <v>1.1002637975875651</v>
      </c>
      <c r="L78" s="3">
        <f t="shared" si="508"/>
        <v>0.71720758086686986</v>
      </c>
      <c r="M78" s="3">
        <f t="shared" si="508"/>
        <v>1.033688532113374</v>
      </c>
      <c r="N78" s="3">
        <f t="shared" si="508"/>
        <v>0.95464860869022683</v>
      </c>
      <c r="O78" s="3">
        <f t="shared" si="508"/>
        <v>1.0752187797240151</v>
      </c>
      <c r="P78" s="3">
        <f t="shared" si="508"/>
        <v>2.1648381168084159</v>
      </c>
      <c r="Q78" s="3">
        <f t="shared" ref="Q78:X78" si="509">SUM(Q69:Q77)</f>
        <v>0.71952755830682502</v>
      </c>
      <c r="R78" s="2">
        <f t="shared" si="509"/>
        <v>0.42635567204892577</v>
      </c>
      <c r="S78" s="2">
        <f t="shared" si="509"/>
        <v>0.28921976326237747</v>
      </c>
      <c r="T78" s="2">
        <f t="shared" si="509"/>
        <v>0.37042244975202576</v>
      </c>
      <c r="U78" s="2">
        <f t="shared" si="509"/>
        <v>0.36532656814340658</v>
      </c>
      <c r="V78" s="2">
        <f t="shared" si="509"/>
        <v>0.38588599262541029</v>
      </c>
      <c r="W78" s="2">
        <f t="shared" si="509"/>
        <v>0.76231577973982367</v>
      </c>
      <c r="X78" s="2">
        <f t="shared" si="509"/>
        <v>0.34723262392647941</v>
      </c>
      <c r="Z78" t="str">
        <f/>
        <v xml:space="preserve">Total Price</v>
      </c>
      <c r="AA78">
        <f t="shared" si="486"/>
        <v>0.15417271171445598</v>
      </c>
      <c r="AB78">
        <f t="shared" si="487"/>
        <v>0.42635567204892577</v>
      </c>
      <c r="AC78">
        <f t="shared" si="488"/>
        <v>1.1002637975875651</v>
      </c>
      <c r="AE78">
        <f/>
        <v>0.10281265893311264</v>
      </c>
      <c r="AF78">
        <f/>
        <v>0.28921976326237747</v>
      </c>
      <c r="AG78">
        <f t="shared" si="489"/>
        <v>0.71720758086686986</v>
      </c>
      <c r="AI78">
        <f/>
        <v>0.13256108861515584</v>
      </c>
      <c r="AJ78">
        <f/>
        <v>0.37042244975202576</v>
      </c>
      <c r="AK78">
        <f/>
        <v>1.033688532113374</v>
      </c>
      <c r="AM78">
        <f/>
        <v>0.14115844169840636</v>
      </c>
      <c r="AN78">
        <f t="shared" si="490"/>
        <v>0.36532656814340658</v>
      </c>
      <c r="AO78">
        <f t="shared" si="491"/>
        <v>0.95464860869022683</v>
      </c>
      <c r="AQ78">
        <f t="shared" si="492"/>
        <v>0.10300793354386586</v>
      </c>
      <c r="AR78">
        <f t="shared" si="493"/>
        <v>0.38588599262541029</v>
      </c>
      <c r="AS78">
        <f t="shared" si="494"/>
        <v>1.0752187797240151</v>
      </c>
      <c r="AU78">
        <f t="shared" si="495"/>
        <v>0.21848589682113237</v>
      </c>
      <c r="AV78">
        <f t="array" ref="AV78">_xlfn.ANCHORARRAY(W78)</f>
        <v>0.76231577973982367</v>
      </c>
      <c r="AW78">
        <f t="shared" si="496"/>
        <v>2.1648381168084159</v>
      </c>
      <c r="AY78">
        <f t="shared" si="497"/>
        <v>0.13937069484126935</v>
      </c>
      <c r="AZ78">
        <f t="shared" si="498"/>
        <v>0.34723262392647941</v>
      </c>
      <c r="BA78">
        <f t="shared" si="499"/>
        <v>0.71952755830682502</v>
      </c>
    </row>
    <row r="79">
      <c r="D79" s="66" t="str">
        <f t="shared" ref="D79:I79" si="510">D24</f>
        <v>H2</v>
      </c>
      <c r="E79" s="66" t="str">
        <f t="shared" si="510"/>
        <v>NH3</v>
      </c>
      <c r="F79" s="66" t="str">
        <f t="shared" si="510"/>
        <v xml:space="preserve">NH3 H2 Plant</v>
      </c>
      <c r="G79" s="66" t="str">
        <f t="shared" si="510"/>
        <v>LOHC</v>
      </c>
      <c r="H79" s="66" t="str">
        <f t="shared" si="510"/>
        <v>CH4</v>
      </c>
      <c r="I79" s="66" t="str">
        <f t="shared" si="510"/>
        <v xml:space="preserve">CH4 H2 Plant</v>
      </c>
      <c r="J79" s="66" t="str">
        <f t="shared" ref="J79:P79" si="511">J24</f>
        <v>Fe</v>
      </c>
      <c r="K79" s="67" t="str">
        <f t="shared" si="511"/>
        <v>H2</v>
      </c>
      <c r="L79" s="67" t="str">
        <f t="shared" si="511"/>
        <v>NH3</v>
      </c>
      <c r="M79" s="67" t="str">
        <f t="shared" si="511"/>
        <v xml:space="preserve">NH3 H2 Plant</v>
      </c>
      <c r="N79" s="67" t="str">
        <f t="shared" si="511"/>
        <v>LOHC</v>
      </c>
      <c r="O79" s="67" t="str">
        <f t="shared" si="511"/>
        <v>CH4</v>
      </c>
      <c r="P79" s="67" t="str">
        <f t="shared" si="511"/>
        <v xml:space="preserve">CH4 H2 Plant</v>
      </c>
      <c r="Q79" s="67" t="str">
        <f t="shared" ref="Q79:X79" si="512">Q24</f>
        <v>Fe</v>
      </c>
      <c r="R79" s="68" t="str">
        <f t="shared" si="512"/>
        <v>H2</v>
      </c>
      <c r="S79" s="68" t="str">
        <f t="shared" si="512"/>
        <v>NH3</v>
      </c>
      <c r="T79" s="68" t="str">
        <f t="shared" si="512"/>
        <v xml:space="preserve">H2 from NH3</v>
      </c>
      <c r="U79" s="68" t="str">
        <f t="shared" si="512"/>
        <v>LOHC</v>
      </c>
      <c r="V79" s="68" t="str">
        <f t="shared" si="512"/>
        <v>CH4</v>
      </c>
      <c r="W79" s="68" t="str">
        <f t="shared" si="512"/>
        <v xml:space="preserve">H2 from CH4</v>
      </c>
      <c r="X79" s="68" t="str">
        <f t="shared" si="512"/>
        <v>Fe</v>
      </c>
      <c r="Z79">
        <f/>
        <v>0</v>
      </c>
      <c r="AA79" t="str">
        <f t="shared" si="486"/>
        <v>H2</v>
      </c>
      <c r="AB79" t="str">
        <f t="shared" si="487"/>
        <v>H2</v>
      </c>
      <c r="AC79" t="str">
        <f t="shared" si="488"/>
        <v>H2</v>
      </c>
      <c r="AE79" t="str">
        <f/>
        <v>NH3</v>
      </c>
      <c r="AF79" t="str">
        <f/>
        <v>NH3</v>
      </c>
      <c r="AG79" t="str">
        <f t="shared" si="489"/>
        <v>NH3</v>
      </c>
      <c r="AI79" t="str">
        <f/>
        <v xml:space="preserve">NH3 H2 Plant</v>
      </c>
      <c r="AJ79" t="str">
        <f/>
        <v xml:space="preserve">H2 from NH3</v>
      </c>
      <c r="AK79" t="str">
        <f/>
        <v xml:space="preserve">NH3 H2 Plant</v>
      </c>
      <c r="AM79" t="str">
        <f/>
        <v>LOHC</v>
      </c>
      <c r="AN79" t="str">
        <f t="shared" si="490"/>
        <v>LOHC</v>
      </c>
      <c r="AO79" t="str">
        <f t="shared" si="491"/>
        <v>LOHC</v>
      </c>
      <c r="AQ79" t="str">
        <f t="shared" si="492"/>
        <v>CH4</v>
      </c>
      <c r="AR79" t="str">
        <f t="shared" si="493"/>
        <v>CH4</v>
      </c>
      <c r="AS79" t="str">
        <f t="shared" si="494"/>
        <v>CH4</v>
      </c>
      <c r="AU79" t="str">
        <f t="shared" si="495"/>
        <v xml:space="preserve">CH4 H2 Plant</v>
      </c>
      <c r="AV79" t="str">
        <f t="array" ref="AV79">_xlfn.ANCHORARRAY(W79)</f>
        <v xml:space="preserve">H2 from CH4</v>
      </c>
      <c r="AW79" t="str">
        <f t="shared" si="496"/>
        <v xml:space="preserve">CH4 H2 Plant</v>
      </c>
      <c r="AY79" t="str">
        <f t="shared" si="497"/>
        <v>Fe</v>
      </c>
      <c r="AZ79" t="str">
        <f t="shared" si="498"/>
        <v>Fe</v>
      </c>
      <c r="BA79" t="str">
        <f t="shared" si="499"/>
        <v>Fe</v>
      </c>
    </row>
    <row r="80">
      <c r="B80" t="s">
        <v>553</v>
      </c>
      <c r="C80" t="s">
        <v>804</v>
      </c>
      <c r="D80" s="1">
        <f>Combined!E17/Combined!E141</f>
        <v>0.043487337358884437</v>
      </c>
      <c r="E80" s="1">
        <f>Combined!F17/Combined!F141</f>
        <v>0.050172679182863701</v>
      </c>
      <c r="F80" s="1">
        <f>Combined!G17/Combined!G141</f>
        <v>0.051196611411085419</v>
      </c>
      <c r="G80" s="1">
        <f>Combined!H17/Combined!H141</f>
        <v>0.043926603392812569</v>
      </c>
      <c r="H80" s="1">
        <f>Combined!I17/Combined!I141</f>
        <v>0.054010715469768336</v>
      </c>
      <c r="I80" s="1">
        <f>Combined!J17/Combined!J141</f>
        <v>0.092921661023257357</v>
      </c>
      <c r="J80" s="1">
        <f>Combined!K17/Combined!K141</f>
        <v>0.043820342232376817</v>
      </c>
      <c r="K80" s="3">
        <f>Combined!L17/Combined!L141</f>
        <v>0.43414459549018775</v>
      </c>
      <c r="L80" s="3">
        <f>Combined!M17/Combined!M141</f>
        <v>0.49086825855002986</v>
      </c>
      <c r="M80" s="63">
        <f>Combined!N17/Combined!N141</f>
        <v>0.50088597811227531</v>
      </c>
      <c r="N80" s="63">
        <f>Combined!O17/Combined!O141</f>
        <v>0.47273522620042657</v>
      </c>
      <c r="O80" s="3">
        <f>Combined!P17/Combined!P141</f>
        <v>0.54665382520631167</v>
      </c>
      <c r="P80" s="3">
        <f>Combined!Q17/Combined!Q141</f>
        <v>1.0314223117100219</v>
      </c>
      <c r="Q80" s="3">
        <f>Combined!R17/Combined!R141</f>
        <v>0.40720686672449397</v>
      </c>
      <c r="R80" s="2">
        <f>Combined!S17/Combined!S141</f>
        <v>0.15898072092827722</v>
      </c>
      <c r="S80" s="2">
        <f>Combined!T17/Combined!T141</f>
        <v>0.18158673995494906</v>
      </c>
      <c r="T80" s="64">
        <f>Combined!U17/Combined!U141</f>
        <v>0.18529259179076435</v>
      </c>
      <c r="U80" s="64">
        <f>Combined!V17/Combined!V141</f>
        <v>0.16696112542855951</v>
      </c>
      <c r="V80" s="2">
        <f>Combined!W17/Combined!W141</f>
        <v>0.19852554119335736</v>
      </c>
      <c r="W80" s="2">
        <f>Combined!X17/Combined!X141</f>
        <v>0.35599854824602922</v>
      </c>
      <c r="X80" s="2">
        <f>Combined!Y17/Combined!Y141</f>
        <v>0.15799029413998147</v>
      </c>
      <c r="Z80" t="str">
        <f/>
        <v>Elektrolyser</v>
      </c>
      <c r="AA80">
        <f t="shared" si="486"/>
        <v>0.043487337358884437</v>
      </c>
      <c r="AB80">
        <f t="shared" si="487"/>
        <v>0.15898072092827722</v>
      </c>
      <c r="AC80">
        <f t="shared" si="488"/>
        <v>0.43414459549018775</v>
      </c>
      <c r="AE80">
        <f/>
        <v>0.050172679182863701</v>
      </c>
      <c r="AF80">
        <f/>
        <v>0.18158673995494906</v>
      </c>
      <c r="AG80">
        <f t="shared" si="489"/>
        <v>0.49086825855002986</v>
      </c>
      <c r="AI80">
        <f/>
        <v>0.051196611411085419</v>
      </c>
      <c r="AJ80">
        <f/>
        <v>0.18529259179076435</v>
      </c>
      <c r="AK80">
        <f/>
        <v>0.50088597811227531</v>
      </c>
      <c r="AM80">
        <f/>
        <v>0.043926603392812569</v>
      </c>
      <c r="AN80">
        <f t="shared" si="490"/>
        <v>0.16696112542855951</v>
      </c>
      <c r="AO80">
        <f t="shared" si="491"/>
        <v>0.47273522620042657</v>
      </c>
      <c r="AQ80">
        <f t="shared" si="492"/>
        <v>0.054010715469768336</v>
      </c>
      <c r="AR80">
        <f t="shared" si="493"/>
        <v>0.19852554119335736</v>
      </c>
      <c r="AS80">
        <f t="shared" si="494"/>
        <v>0.54665382520631167</v>
      </c>
      <c r="AU80">
        <f t="shared" si="495"/>
        <v>0.092921661023257357</v>
      </c>
      <c r="AV80">
        <f t="array" ref="AV80">_xlfn.ANCHORARRAY(W80)</f>
        <v>0.35599854824602922</v>
      </c>
      <c r="AW80">
        <f t="shared" si="496"/>
        <v>1.0314223117100219</v>
      </c>
      <c r="AY80">
        <f t="shared" si="497"/>
        <v>0.043820342232376817</v>
      </c>
      <c r="AZ80">
        <f t="shared" si="498"/>
        <v>0.15799029413998147</v>
      </c>
      <c r="BA80">
        <f t="shared" si="499"/>
        <v>0.40720686672449397</v>
      </c>
    </row>
    <row r="81">
      <c r="C81" t="s">
        <v>786</v>
      </c>
      <c r="D81" s="1">
        <f>Combined!E33/Combined!E141</f>
        <v>0</v>
      </c>
      <c r="E81" s="1">
        <f>Combined!F33/Combined!F141</f>
        <v>0.010874496327375811</v>
      </c>
      <c r="F81" s="1">
        <f>Combined!G33/Combined!G141</f>
        <v>0.01109642482385287</v>
      </c>
      <c r="G81" s="1">
        <f>Combined!H33/Combined!H141</f>
        <v>0.0015568224126815149</v>
      </c>
      <c r="H81" s="1">
        <f>Combined!I33/Combined!I141</f>
        <v>0.0089017662120122552</v>
      </c>
      <c r="I81" s="1">
        <f>Combined!J33/Combined!J141</f>
        <v>0.01531486660131141</v>
      </c>
      <c r="J81" s="1">
        <f>Combined!K33/Combined!K141</f>
        <v>0.075578327305971388</v>
      </c>
      <c r="K81" s="3">
        <f>Combined!L33/Combined!L141</f>
        <v>0</v>
      </c>
      <c r="L81" s="3">
        <f>Combined!M33/Combined!M141</f>
        <v>0.093078481248365361</v>
      </c>
      <c r="M81" s="3">
        <f>Combined!N33/Combined!N141</f>
        <v>0.094978042090168718</v>
      </c>
      <c r="N81" s="3">
        <f>Combined!O33/Combined!O141</f>
        <v>0.019640430830880868</v>
      </c>
      <c r="O81" s="3">
        <f>Combined!P33/Combined!P141</f>
        <v>0.1986367586302156</v>
      </c>
      <c r="P81" s="3">
        <f>Combined!Q33/Combined!Q141</f>
        <v>0.37478633703814263</v>
      </c>
      <c r="Q81" s="3">
        <f>Combined!R33/Combined!R141</f>
        <v>0.21298718983937154</v>
      </c>
      <c r="R81" s="2">
        <f>Combined!S33/Combined!S141</f>
        <v>0</v>
      </c>
      <c r="S81" s="2">
        <f>Combined!T33/Combined!T141</f>
        <v>0.035408282325537048</v>
      </c>
      <c r="T81" s="2">
        <f>Combined!U33/Combined!U141</f>
        <v>0.036130900332180665</v>
      </c>
      <c r="U81" s="2">
        <f>Combined!V33/Combined!V141</f>
        <v>0.0066203729392702339</v>
      </c>
      <c r="V81" s="2">
        <f>Combined!W33/Combined!W141</f>
        <v>0.0646771701186791</v>
      </c>
      <c r="W81" s="2">
        <f>Combined!X33/Combined!X141</f>
        <v>0.1159799314914631</v>
      </c>
      <c r="X81" s="2">
        <f>Combined!Y33/Combined!Y141</f>
        <v>0.142928183252854</v>
      </c>
      <c r="Z81" t="str">
        <f/>
        <v>Conversion</v>
      </c>
      <c r="AA81">
        <f t="shared" si="486"/>
        <v>0</v>
      </c>
      <c r="AB81">
        <f t="shared" si="487"/>
        <v>0</v>
      </c>
      <c r="AC81">
        <f t="shared" si="488"/>
        <v>0</v>
      </c>
      <c r="AE81">
        <f/>
        <v>0.010874496327375811</v>
      </c>
      <c r="AF81">
        <f/>
        <v>0.035408282325537048</v>
      </c>
      <c r="AG81">
        <f t="shared" si="489"/>
        <v>0.093078481248365361</v>
      </c>
      <c r="AI81">
        <f/>
        <v>0.01109642482385287</v>
      </c>
      <c r="AJ81">
        <f/>
        <v>0.036130900332180665</v>
      </c>
      <c r="AK81">
        <f/>
        <v>0.094978042090168718</v>
      </c>
      <c r="AM81">
        <f/>
        <v>0.0015568224126815149</v>
      </c>
      <c r="AN81">
        <f t="shared" si="490"/>
        <v>0.0066203729392702339</v>
      </c>
      <c r="AO81">
        <f t="shared" si="491"/>
        <v>0.019640430830880868</v>
      </c>
      <c r="AQ81">
        <f t="shared" si="492"/>
        <v>0.0089017662120122552</v>
      </c>
      <c r="AR81">
        <f t="shared" si="493"/>
        <v>0.0646771701186791</v>
      </c>
      <c r="AS81">
        <f t="shared" si="494"/>
        <v>0.1986367586302156</v>
      </c>
      <c r="AU81">
        <f t="shared" si="495"/>
        <v>0.01531486660131141</v>
      </c>
      <c r="AV81">
        <f t="array" ref="AV81">_xlfn.ANCHORARRAY(W81)</f>
        <v>0.1159799314914631</v>
      </c>
      <c r="AW81">
        <f t="shared" si="496"/>
        <v>0.37478633703814263</v>
      </c>
      <c r="AY81">
        <f t="shared" si="497"/>
        <v>0.075578327305971388</v>
      </c>
      <c r="AZ81">
        <f t="shared" si="498"/>
        <v>0.142928183252854</v>
      </c>
      <c r="BA81">
        <f t="shared" si="499"/>
        <v>0.21298718983937154</v>
      </c>
    </row>
    <row r="82">
      <c r="C82" t="s">
        <v>377</v>
      </c>
      <c r="D82" s="1">
        <f>Combined!E49/Combined!E141</f>
        <v>0.00034072329284106056</v>
      </c>
      <c r="E82" s="1">
        <f>Combined!F49/Combined!F141</f>
        <v>0.00039310294674435733</v>
      </c>
      <c r="F82" s="1">
        <f>Combined!G49/Combined!G141</f>
        <v>0.00040112545586158915</v>
      </c>
      <c r="G82" s="1">
        <f>Combined!H49/Combined!H141</f>
        <v>0.00034416494226369756</v>
      </c>
      <c r="H82" s="1">
        <f>Combined!I49/Combined!I141</f>
        <v>0.00032142087562654886</v>
      </c>
      <c r="I82" s="1">
        <f>Combined!J49/Combined!J141</f>
        <v>0.00055298215161556801</v>
      </c>
      <c r="J82" s="1">
        <f>Combined!K49/Combined!K141</f>
        <v>0.00026077737811989045</v>
      </c>
      <c r="K82" s="3">
        <f>Combined!L49/Combined!L141</f>
        <v>0.0018485996924671915</v>
      </c>
      <c r="L82" s="3">
        <f>Combined!M49/Combined!M141</f>
        <v>0.0020901306182861375</v>
      </c>
      <c r="M82" s="3">
        <f>Combined!N49/Combined!N141</f>
        <v>0.0021327863451899359</v>
      </c>
      <c r="N82" s="3">
        <f>Combined!O49/Combined!O141</f>
        <v>0.0020129196651309418</v>
      </c>
      <c r="O82" s="3">
        <f>Combined!P49/Combined!P141</f>
        <v>0.0018738623391346733</v>
      </c>
      <c r="P82" s="3">
        <f>Combined!Q49/Combined!Q141</f>
        <v>0.0035355893191220248</v>
      </c>
      <c r="Q82" s="3">
        <f>Combined!R49/Combined!R141</f>
        <v>0.0017338980985067717</v>
      </c>
      <c r="R82" s="2">
        <f>Combined!S49/Combined!S141</f>
        <v>0.00078486119746372276</v>
      </c>
      <c r="S82" s="2">
        <f>Combined!T49/Combined!T141</f>
        <v>0.00089646332795831124</v>
      </c>
      <c r="T82" s="2">
        <f>Combined!U49/Combined!U141</f>
        <v>0.00091475849791664411</v>
      </c>
      <c r="U82" s="2">
        <f>Combined!V49/Combined!V141</f>
        <v>0.0008242591181409233</v>
      </c>
      <c r="V82" s="2">
        <f>Combined!W49/Combined!W141</f>
        <v>0.00076869430288180568</v>
      </c>
      <c r="W82" s="2">
        <f>Combined!X49/Combined!X141</f>
        <v>0.001378432488968189</v>
      </c>
      <c r="X82" s="2">
        <f>Combined!Y49/Combined!Y141</f>
        <v>0.00077997162625959753</v>
      </c>
      <c r="Z82" t="str">
        <f/>
        <v>Water</v>
      </c>
      <c r="AA82">
        <f t="shared" si="486"/>
        <v>0.00034072329284106056</v>
      </c>
      <c r="AB82">
        <f t="shared" si="487"/>
        <v>0.00078486119746372276</v>
      </c>
      <c r="AC82">
        <f t="shared" si="488"/>
        <v>0.0018485996924671915</v>
      </c>
      <c r="AE82">
        <f/>
        <v>0.00039310294674435733</v>
      </c>
      <c r="AF82">
        <f/>
        <v>0.00089646332795831124</v>
      </c>
      <c r="AG82">
        <f t="shared" si="489"/>
        <v>0.0020901306182861375</v>
      </c>
      <c r="AI82">
        <f/>
        <v>0.00040112545586158915</v>
      </c>
      <c r="AJ82">
        <f/>
        <v>0.00091475849791664411</v>
      </c>
      <c r="AK82">
        <f/>
        <v>0.0021327863451899359</v>
      </c>
      <c r="AM82">
        <f/>
        <v>0.00034416494226369756</v>
      </c>
      <c r="AN82">
        <f t="shared" si="490"/>
        <v>0.0008242591181409233</v>
      </c>
      <c r="AO82">
        <f t="shared" si="491"/>
        <v>0.0020129196651309418</v>
      </c>
      <c r="AQ82">
        <f t="shared" si="492"/>
        <v>0.00032142087562654886</v>
      </c>
      <c r="AR82">
        <f t="shared" si="493"/>
        <v>0.00076869430288180568</v>
      </c>
      <c r="AS82">
        <f t="shared" si="494"/>
        <v>0.0018738623391346733</v>
      </c>
      <c r="AU82">
        <f t="shared" si="495"/>
        <v>0.00055298215161556801</v>
      </c>
      <c r="AV82">
        <f t="array" ref="AV82">_xlfn.ANCHORARRAY(W82)</f>
        <v>0.001378432488968189</v>
      </c>
      <c r="AW82">
        <f t="shared" si="496"/>
        <v>0.0035355893191220248</v>
      </c>
      <c r="AY82">
        <f t="shared" si="497"/>
        <v>0.00026077737811989045</v>
      </c>
      <c r="AZ82">
        <f t="shared" si="498"/>
        <v>0.00077997162625959753</v>
      </c>
      <c r="BA82">
        <f t="shared" si="499"/>
        <v>0.0017338980985067717</v>
      </c>
    </row>
    <row r="83">
      <c r="C83" t="s">
        <v>787</v>
      </c>
      <c r="D83" s="1">
        <f>Combined!E65/Combined!E141</f>
        <v>0.019291990949821744</v>
      </c>
      <c r="E83" s="1">
        <f>Combined!F65/Combined!F141</f>
        <v>0</v>
      </c>
      <c r="F83" s="1">
        <f>Combined!G65/Combined!G141</f>
        <v>0</v>
      </c>
      <c r="G83" s="1">
        <f>Combined!H65/Combined!H141</f>
        <v>0</v>
      </c>
      <c r="H83" s="1">
        <f>Combined!I65/Combined!I141</f>
        <v>0.0058431410502322347</v>
      </c>
      <c r="I83" s="1">
        <f>Combined!J65/Combined!J141</f>
        <v>0.010052715785345782</v>
      </c>
      <c r="J83" s="1">
        <f>Combined!K65/Combined!K141</f>
        <v>0</v>
      </c>
      <c r="K83" s="3">
        <f>Combined!L65/Combined!L141</f>
        <v>0.18696553473351504</v>
      </c>
      <c r="L83" s="3">
        <f>Combined!M65/Combined!M141</f>
        <v>0</v>
      </c>
      <c r="M83" s="3">
        <f>Combined!N65/Combined!N141</f>
        <v>0</v>
      </c>
      <c r="N83" s="3">
        <f>Combined!O65/Combined!O141</f>
        <v>0</v>
      </c>
      <c r="O83" s="3">
        <f>Combined!P65/Combined!P141</f>
        <v>0.057028141079318591</v>
      </c>
      <c r="P83" s="3">
        <f>Combined!Q65/Combined!Q141</f>
        <v>0.10760026618739356</v>
      </c>
      <c r="Q83" s="3">
        <f>Combined!R65/Combined!R141</f>
        <v>0</v>
      </c>
      <c r="R83" s="2">
        <f>Combined!S65/Combined!S141</f>
        <v>0.065152272935105504</v>
      </c>
      <c r="S83" s="2">
        <f>Combined!T65/Combined!T141</f>
        <v>0</v>
      </c>
      <c r="T83" s="2">
        <f>Combined!U65/Combined!U141</f>
        <v>0</v>
      </c>
      <c r="U83" s="2">
        <f>Combined!V65/Combined!V141</f>
        <v>0</v>
      </c>
      <c r="V83" s="2">
        <f>Combined!W65/Combined!W141</f>
        <v>0.019784353546729378</v>
      </c>
      <c r="W83" s="2">
        <f>Combined!X65/Combined!X141</f>
        <v>0.035477556682552959</v>
      </c>
      <c r="X83" s="2">
        <f>Combined!Y65/Combined!Y141</f>
        <v>0</v>
      </c>
      <c r="Z83" s="68" t="str">
        <f t="array" ref="Z83:Z91">C83:C91</f>
        <v>Liquefaction</v>
      </c>
      <c r="AA83">
        <f t="shared" si="486"/>
        <v>0.019291990949821744</v>
      </c>
      <c r="AB83">
        <f t="shared" si="487"/>
        <v>0.065152272935105504</v>
      </c>
      <c r="AC83">
        <f t="shared" si="488"/>
        <v>0.18696553473351504</v>
      </c>
      <c r="AE83">
        <f t="array" ref="AE83:AE91">E83:E91</f>
        <v>0</v>
      </c>
      <c r="AF83">
        <f t="array" ref="AF83:AF91">S83:S91</f>
        <v>0</v>
      </c>
      <c r="AG83">
        <f t="shared" si="489"/>
        <v>0</v>
      </c>
      <c r="AI83">
        <f t="array" ref="AI83:AI91">F83:F91</f>
        <v>0</v>
      </c>
      <c r="AJ83">
        <f t="array" ref="AJ83:AJ91">T83:T91</f>
        <v>0</v>
      </c>
      <c r="AK83">
        <f t="array" ref="AK83:AK91">M83:M91</f>
        <v>0</v>
      </c>
      <c r="AM83">
        <f t="array" ref="AM83:AM91">G83:G91</f>
        <v>0</v>
      </c>
      <c r="AN83">
        <f t="shared" si="490"/>
        <v>0</v>
      </c>
      <c r="AO83">
        <f t="shared" si="491"/>
        <v>0</v>
      </c>
      <c r="AQ83">
        <f t="shared" si="492"/>
        <v>0.0058431410502322347</v>
      </c>
      <c r="AR83">
        <f t="shared" si="493"/>
        <v>0.019784353546729378</v>
      </c>
      <c r="AS83">
        <f t="shared" si="494"/>
        <v>0.057028141079318591</v>
      </c>
      <c r="AU83">
        <f t="shared" si="495"/>
        <v>0.010052715785345782</v>
      </c>
      <c r="AV83">
        <f t="array" ref="AV83">_xlfn.ANCHORARRAY(W83)</f>
        <v>0.035477556682552959</v>
      </c>
      <c r="AW83">
        <f t="shared" si="496"/>
        <v>0.10760026618739356</v>
      </c>
      <c r="AY83">
        <f t="shared" si="497"/>
        <v>0</v>
      </c>
      <c r="AZ83">
        <f t="shared" si="498"/>
        <v>0</v>
      </c>
      <c r="BA83">
        <f t="shared" si="499"/>
        <v>0</v>
      </c>
    </row>
    <row r="84">
      <c r="C84" t="s">
        <v>805</v>
      </c>
      <c r="D84" s="1">
        <f>Combined!E81/Combined!E141</f>
        <v>0.011316160792974813</v>
      </c>
      <c r="E84" s="1">
        <f>Combined!F81/Combined!F141</f>
        <v>0.0017010815874188873</v>
      </c>
      <c r="F84" s="1">
        <f>Combined!G81/Combined!G141</f>
        <v>0.0017357975381825381</v>
      </c>
      <c r="G84" s="1">
        <f>Combined!H81/Combined!H141</f>
        <v>0.0021085731836936153</v>
      </c>
      <c r="H84" s="1">
        <f>Combined!I81/Combined!I141</f>
        <v>0.0012429499332792505</v>
      </c>
      <c r="I84" s="1">
        <f>Combined!J81/Combined!J141</f>
        <v>0.0021384084873621516</v>
      </c>
      <c r="J84" s="1">
        <f>Combined!K81/Combined!K141</f>
        <v>2.8356011722054754e-06</v>
      </c>
      <c r="K84" s="3">
        <f>Combined!L81/Combined!L141</f>
        <v>0.074275190227209936</v>
      </c>
      <c r="L84" s="3">
        <f>Combined!M81/Combined!M141</f>
        <v>0.0061477187396838506</v>
      </c>
      <c r="M84" s="3">
        <f>Combined!N81/Combined!N141</f>
        <v>0.0062731823874324997</v>
      </c>
      <c r="N84" s="3">
        <f>Combined!O81/Combined!O141</f>
        <v>0.010928976361875861</v>
      </c>
      <c r="O84" s="3">
        <f>Combined!P81/Combined!P141</f>
        <v>0.058045951161726728</v>
      </c>
      <c r="P84" s="3">
        <f>Combined!Q81/Combined!Q141</f>
        <v>0.10952066256929571</v>
      </c>
      <c r="Q84" s="3">
        <f>Combined!R81/Combined!R141</f>
        <v>3.150667969117195e-06</v>
      </c>
      <c r="R84" s="2">
        <f>Combined!S81/Combined!S141</f>
        <v>0.031718257571153194</v>
      </c>
      <c r="S84" s="2">
        <f>Combined!T81/Combined!T141</f>
        <v>0.0030980976058889958</v>
      </c>
      <c r="T84" s="2">
        <f>Combined!U81/Combined!U141</f>
        <v>0.0031613240876418327</v>
      </c>
      <c r="U84" s="2">
        <f>Combined!V81/Combined!V141</f>
        <v>0.0049688976856434031</v>
      </c>
      <c r="V84" s="2">
        <f>Combined!W81/Combined!W141</f>
        <v>0.017077087033052885</v>
      </c>
      <c r="W84" s="2">
        <f>Combined!X81/Combined!X141</f>
        <v>0.030622851626515721</v>
      </c>
      <c r="X84" s="2">
        <f>Combined!Y81/Combined!Y141</f>
        <v>2.9848433391636586e-06</v>
      </c>
      <c r="Z84" t="str">
        <f/>
        <v xml:space="preserve">Storage production</v>
      </c>
      <c r="AA84">
        <f t="shared" si="486"/>
        <v>0.011316160792974813</v>
      </c>
      <c r="AB84">
        <f t="shared" si="487"/>
        <v>0.031718257571153194</v>
      </c>
      <c r="AC84">
        <f t="shared" si="488"/>
        <v>0.074275190227209936</v>
      </c>
      <c r="AE84">
        <f/>
        <v>0.0017010815874188873</v>
      </c>
      <c r="AF84">
        <f/>
        <v>0.0030980976058889958</v>
      </c>
      <c r="AG84">
        <f t="shared" si="489"/>
        <v>0.0061477187396838506</v>
      </c>
      <c r="AI84">
        <f/>
        <v>0.0017357975381825381</v>
      </c>
      <c r="AJ84">
        <f/>
        <v>0.0031613240876418327</v>
      </c>
      <c r="AK84">
        <f/>
        <v>0.0062731823874324997</v>
      </c>
      <c r="AM84">
        <f/>
        <v>0.0021085731836936153</v>
      </c>
      <c r="AN84">
        <f t="shared" si="490"/>
        <v>0.0049688976856434031</v>
      </c>
      <c r="AO84">
        <f t="shared" si="491"/>
        <v>0.010928976361875861</v>
      </c>
      <c r="AQ84">
        <f t="shared" si="492"/>
        <v>0.0012429499332792505</v>
      </c>
      <c r="AR84">
        <f t="shared" si="493"/>
        <v>0.017077087033052885</v>
      </c>
      <c r="AS84">
        <f t="shared" si="494"/>
        <v>0.058045951161726728</v>
      </c>
      <c r="AU84">
        <f t="shared" si="495"/>
        <v>0.0021384084873621516</v>
      </c>
      <c r="AV84">
        <f t="array" ref="AV84">_xlfn.ANCHORARRAY(W84)</f>
        <v>0.030622851626515721</v>
      </c>
      <c r="AW84">
        <f t="shared" si="496"/>
        <v>0.10952066256929571</v>
      </c>
      <c r="AY84">
        <f t="shared" si="497"/>
        <v>2.8356011722054754e-06</v>
      </c>
      <c r="AZ84">
        <f t="shared" si="498"/>
        <v>2.9848433391636586e-06</v>
      </c>
      <c r="BA84">
        <f t="shared" si="499"/>
        <v>3.150667969117195e-06</v>
      </c>
    </row>
    <row r="85">
      <c r="C85" t="s">
        <v>806</v>
      </c>
      <c r="D85" s="1">
        <f>Combined!E97/Combined!E141</f>
        <v>0.067184172933869857</v>
      </c>
      <c r="E85" s="1">
        <f>Combined!F97/Combined!F141</f>
        <v>0.028653342495858426</v>
      </c>
      <c r="F85" s="1">
        <f>Combined!G97/Combined!G141</f>
        <v>0.029238104587610638</v>
      </c>
      <c r="G85" s="1">
        <f>Combined!H97/Combined!H141</f>
        <v>0.051948773815813781</v>
      </c>
      <c r="H85" s="1">
        <f>Combined!I97/Combined!I141</f>
        <v>0.016153829394857957</v>
      </c>
      <c r="I85" s="1">
        <f>Combined!J97/Combined!J141</f>
        <v>0.027791534442766379</v>
      </c>
      <c r="J85" s="1">
        <f>Combined!K97/Combined!K141</f>
        <v>0.020036177202589388</v>
      </c>
      <c r="K85" s="3">
        <f>Combined!L97/Combined!L141</f>
        <v>0.2187034913501503</v>
      </c>
      <c r="L85" s="3">
        <f>Combined!M97/Combined!M141</f>
        <v>0.11123978810750296</v>
      </c>
      <c r="M85" s="63">
        <f>Combined!N97/Combined!N141</f>
        <v>0.11350998786479892</v>
      </c>
      <c r="N85" s="63">
        <f>Combined!O97/Combined!O141</f>
        <v>0.25320996119557232</v>
      </c>
      <c r="O85" s="3">
        <f>Combined!P97/Combined!P141</f>
        <v>0.086133847346004294</v>
      </c>
      <c r="P85" s="3">
        <f>Combined!Q97/Combined!Q141</f>
        <v>0.16251669310566849</v>
      </c>
      <c r="Q85" s="7">
        <f>Combined!R97/Combined!R141</f>
        <v>0.10408943133754756</v>
      </c>
      <c r="R85" s="2">
        <f>Combined!S97/Combined!S141</f>
        <v>0.11204773321728037</v>
      </c>
      <c r="S85" s="2">
        <f>Combined!T97/Combined!T141</f>
        <v>0.053409440935466297</v>
      </c>
      <c r="T85" s="64">
        <f>Combined!U97/Combined!U141</f>
        <v>0.054499429525986021</v>
      </c>
      <c r="U85" s="64">
        <f>Combined!V97/Combined!V141</f>
        <v>0.11065381857545964</v>
      </c>
      <c r="V85" s="2">
        <f>Combined!W97/Combined!W141</f>
        <v>0.036689329144194607</v>
      </c>
      <c r="W85" s="2">
        <f>Combined!X97/Combined!X141</f>
        <v>0.065791775873980302</v>
      </c>
      <c r="X85" s="2">
        <f>Combined!Y97/Combined!Y141</f>
        <v>0.063457801910539166</v>
      </c>
      <c r="Z85" t="str">
        <f/>
        <v>Transport</v>
      </c>
      <c r="AA85">
        <f t="shared" si="486"/>
        <v>0.067184172933869857</v>
      </c>
      <c r="AB85">
        <f t="shared" si="487"/>
        <v>0.11204773321728037</v>
      </c>
      <c r="AC85">
        <f t="shared" si="488"/>
        <v>0.2187034913501503</v>
      </c>
      <c r="AE85">
        <f/>
        <v>0.028653342495858426</v>
      </c>
      <c r="AF85">
        <f/>
        <v>0.053409440935466297</v>
      </c>
      <c r="AG85">
        <f t="shared" si="489"/>
        <v>0.11123978810750296</v>
      </c>
      <c r="AI85">
        <f/>
        <v>0.029238104587610638</v>
      </c>
      <c r="AJ85">
        <f/>
        <v>0.054499429525986021</v>
      </c>
      <c r="AK85">
        <f/>
        <v>0.11350998786479892</v>
      </c>
      <c r="AM85">
        <f/>
        <v>0.051948773815813781</v>
      </c>
      <c r="AN85">
        <f t="shared" si="490"/>
        <v>0.11065381857545964</v>
      </c>
      <c r="AO85">
        <f t="shared" si="491"/>
        <v>0.25320996119557232</v>
      </c>
      <c r="AQ85">
        <f t="shared" si="492"/>
        <v>0.016153829394857957</v>
      </c>
      <c r="AR85">
        <f t="shared" si="493"/>
        <v>0.036689329144194607</v>
      </c>
      <c r="AS85">
        <f t="shared" si="494"/>
        <v>0.086133847346004294</v>
      </c>
      <c r="AU85">
        <f t="shared" si="495"/>
        <v>0.027791534442766379</v>
      </c>
      <c r="AV85">
        <f t="array" ref="AV85">_xlfn.ANCHORARRAY(W85)</f>
        <v>0.065791775873980302</v>
      </c>
      <c r="AW85">
        <f t="shared" si="496"/>
        <v>0.16251669310566849</v>
      </c>
      <c r="AY85">
        <f t="shared" si="497"/>
        <v>0.020036177202589388</v>
      </c>
      <c r="AZ85">
        <f t="shared" si="498"/>
        <v>0.063457801910539166</v>
      </c>
      <c r="BA85">
        <f t="shared" si="499"/>
        <v>0.10408943133754756</v>
      </c>
    </row>
    <row r="86">
      <c r="C86" t="s">
        <v>807</v>
      </c>
      <c r="D86" s="1">
        <f>Combined!E113/Combined!E141</f>
        <v>0.022780550041458712</v>
      </c>
      <c r="E86" s="1">
        <f>Combined!F113/Combined!F141</f>
        <v>0.0034063705389041337</v>
      </c>
      <c r="F86" s="1">
        <f>Combined!G113/Combined!G141</f>
        <v>0.0034758883050042184</v>
      </c>
      <c r="G86" s="1">
        <f>Combined!H113/Combined!H141</f>
        <v>0.0042171463673872306</v>
      </c>
      <c r="H86" s="1">
        <f>Combined!I113/Combined!I141</f>
        <v>0.0025101067791075257</v>
      </c>
      <c r="I86" s="1">
        <f>Combined!J113/Combined!J141</f>
        <v>0.0043184632758839154</v>
      </c>
      <c r="J86" s="1">
        <f>Combined!K113/Combined!K141</f>
        <v>5.6712023444109508e-06</v>
      </c>
      <c r="K86" s="3">
        <f>Combined!L113/Combined!L141</f>
        <v>0.17628047910672492</v>
      </c>
      <c r="L86" s="3">
        <f>Combined!M113/Combined!M141</f>
        <v>0.012362010470870124</v>
      </c>
      <c r="M86" s="3">
        <f>Combined!N113/Combined!N141</f>
        <v>0.012614296398847064</v>
      </c>
      <c r="N86" s="3">
        <f>Combined!O113/Combined!O141</f>
        <v>0.021857952723751722</v>
      </c>
      <c r="O86" s="3">
        <f>Combined!P113/Combined!P141</f>
        <v>0.11655985823442355</v>
      </c>
      <c r="P86" s="3">
        <f>Combined!Q113/Combined!Q141</f>
        <v>0.21992426081966707</v>
      </c>
      <c r="Q86" s="3">
        <f>Combined!R113/Combined!R141</f>
        <v>6.30133593823439e-06</v>
      </c>
      <c r="R86" s="2">
        <f>Combined!S113/Combined!S141</f>
        <v>0.064748845567592847</v>
      </c>
      <c r="S86" s="2">
        <f>Combined!T113/Combined!T141</f>
        <v>0.0062267088997308316</v>
      </c>
      <c r="T86" s="2">
        <f>Combined!U113/Combined!U141</f>
        <v>0.0063537845915620731</v>
      </c>
      <c r="U86" s="2">
        <f>Combined!V113/Combined!V141</f>
        <v>0.0099377953712868061</v>
      </c>
      <c r="V86" s="2">
        <f>Combined!W113/Combined!W141</f>
        <v>0.034332410896086435</v>
      </c>
      <c r="W86" s="2">
        <f>Combined!X113/Combined!X141</f>
        <v>0.06156531982395564</v>
      </c>
      <c r="X86" s="2">
        <f>Combined!Y113/Combined!Y141</f>
        <v>5.9696866783273172e-06</v>
      </c>
      <c r="Z86" t="str">
        <f/>
        <v xml:space="preserve">Storage utilization</v>
      </c>
      <c r="AA86">
        <f t="shared" si="486"/>
        <v>0.022780550041458712</v>
      </c>
      <c r="AB86">
        <f t="shared" si="487"/>
        <v>0.064748845567592847</v>
      </c>
      <c r="AC86">
        <f t="shared" si="488"/>
        <v>0.17628047910672492</v>
      </c>
      <c r="AE86">
        <f/>
        <v>0.0034063705389041337</v>
      </c>
      <c r="AF86">
        <f/>
        <v>0.0062267088997308316</v>
      </c>
      <c r="AG86">
        <f t="shared" si="489"/>
        <v>0.012362010470870124</v>
      </c>
      <c r="AI86">
        <f/>
        <v>0.0034758883050042184</v>
      </c>
      <c r="AJ86">
        <f/>
        <v>0.0063537845915620731</v>
      </c>
      <c r="AK86">
        <f/>
        <v>0.012614296398847064</v>
      </c>
      <c r="AM86">
        <f/>
        <v>0.0042171463673872306</v>
      </c>
      <c r="AN86">
        <f t="shared" si="490"/>
        <v>0.0099377953712868061</v>
      </c>
      <c r="AO86">
        <f t="shared" si="491"/>
        <v>0.021857952723751722</v>
      </c>
      <c r="AQ86">
        <f t="shared" si="492"/>
        <v>0.0025101067791075257</v>
      </c>
      <c r="AR86">
        <f t="shared" si="493"/>
        <v>0.034332410896086435</v>
      </c>
      <c r="AS86">
        <f t="shared" si="494"/>
        <v>0.11655985823442355</v>
      </c>
      <c r="AU86">
        <f t="shared" si="495"/>
        <v>0.0043184632758839154</v>
      </c>
      <c r="AV86">
        <f t="array" ref="AV86">_xlfn.ANCHORARRAY(W86)</f>
        <v>0.06156531982395564</v>
      </c>
      <c r="AW86">
        <f t="shared" si="496"/>
        <v>0.21992426081966707</v>
      </c>
      <c r="AY86">
        <f t="shared" si="497"/>
        <v>5.6712023444109508e-06</v>
      </c>
      <c r="AZ86">
        <f t="shared" si="498"/>
        <v>5.9696866783273172e-06</v>
      </c>
      <c r="BA86">
        <f t="shared" si="499"/>
        <v>6.30133593823439e-06</v>
      </c>
    </row>
    <row r="87">
      <c r="C87" t="s">
        <v>791</v>
      </c>
      <c r="D87" s="1">
        <f>Combined!E129/Combined!E141</f>
        <v>0.0049815994550186571</v>
      </c>
      <c r="E87" s="1">
        <f>Combined!F129/Combined!F141</f>
        <v>0</v>
      </c>
      <c r="F87" s="1">
        <f>Combined!G129/Combined!G141</f>
        <v>0.02814387335298554</v>
      </c>
      <c r="G87" s="1">
        <f>Combined!H129/Combined!H141</f>
        <v>0.045063152410055547</v>
      </c>
      <c r="H87" s="1">
        <f>Combined!I129/Combined!I141</f>
        <v>0</v>
      </c>
      <c r="I87" s="1">
        <f>Combined!J129/Combined!J141</f>
        <v>0.056465801552125654</v>
      </c>
      <c r="J87" s="1">
        <f>Combined!K129/Combined!K141</f>
        <v>0</v>
      </c>
      <c r="K87" s="3">
        <f>Combined!L129/Combined!L141</f>
        <v>0.073523124589386965</v>
      </c>
      <c r="L87" s="3">
        <f>Combined!M129/Combined!M141</f>
        <v>0</v>
      </c>
      <c r="M87" s="3">
        <f>Combined!N129/Combined!N141</f>
        <v>0.30323754301571076</v>
      </c>
      <c r="N87" s="3">
        <f>Combined!O129/Combined!O141</f>
        <v>0.2771810767022298</v>
      </c>
      <c r="O87" s="3">
        <f>Combined!P129/Combined!P141</f>
        <v>0</v>
      </c>
      <c r="P87" s="3">
        <f>Combined!Q129/Combined!Q141</f>
        <v>0.18231300535609948</v>
      </c>
      <c r="Q87" s="3">
        <f>Combined!R129/Combined!R141</f>
        <v>0</v>
      </c>
      <c r="R87" s="2">
        <f>Combined!S129/Combined!S141</f>
        <v>0.019995365632340532</v>
      </c>
      <c r="S87" s="2">
        <f>Combined!T129/Combined!T141</f>
        <v>0</v>
      </c>
      <c r="T87" s="2">
        <f>Combined!U129/Combined!U141</f>
        <v>0.076121444879713368</v>
      </c>
      <c r="U87" s="2">
        <f>Combined!V129/Combined!V141</f>
        <v>0.097758954547690485</v>
      </c>
      <c r="V87" s="2">
        <f>Combined!W129/Combined!W141</f>
        <v>0</v>
      </c>
      <c r="W87" s="2">
        <f>Combined!X129/Combined!X141</f>
        <v>0.093083156436675307</v>
      </c>
      <c r="X87" s="2">
        <f>Combined!Y129/Combined!Y141</f>
        <v>0</v>
      </c>
      <c r="Z87" t="str">
        <f/>
        <v>Reconversion</v>
      </c>
      <c r="AA87">
        <f t="shared" si="486"/>
        <v>0.0049815994550186571</v>
      </c>
      <c r="AB87">
        <f t="shared" si="487"/>
        <v>0.019995365632340532</v>
      </c>
      <c r="AC87">
        <f t="shared" si="488"/>
        <v>0.073523124589386965</v>
      </c>
      <c r="AE87">
        <f/>
        <v>0</v>
      </c>
      <c r="AF87">
        <f/>
        <v>0</v>
      </c>
      <c r="AG87">
        <f t="shared" si="489"/>
        <v>0</v>
      </c>
      <c r="AI87">
        <f/>
        <v>0.02814387335298554</v>
      </c>
      <c r="AJ87">
        <f/>
        <v>0.076121444879713368</v>
      </c>
      <c r="AK87">
        <f/>
        <v>0.30323754301571076</v>
      </c>
      <c r="AM87">
        <f/>
        <v>0.045063152410055547</v>
      </c>
      <c r="AN87">
        <f t="shared" si="490"/>
        <v>0.097758954547690485</v>
      </c>
      <c r="AO87">
        <f t="shared" si="491"/>
        <v>0.2771810767022298</v>
      </c>
      <c r="AQ87">
        <f t="shared" si="492"/>
        <v>0</v>
      </c>
      <c r="AR87">
        <f t="shared" si="493"/>
        <v>0</v>
      </c>
      <c r="AS87">
        <f t="shared" si="494"/>
        <v>0</v>
      </c>
      <c r="AU87">
        <f t="shared" si="495"/>
        <v>0.056465801552125654</v>
      </c>
      <c r="AV87">
        <f t="array" ref="AV87">_xlfn.ANCHORARRAY(W87)</f>
        <v>0.093083156436675307</v>
      </c>
      <c r="AW87">
        <f t="shared" si="496"/>
        <v>0.18231300535609948</v>
      </c>
      <c r="AY87">
        <f t="shared" si="497"/>
        <v>0</v>
      </c>
      <c r="AZ87">
        <f t="shared" si="498"/>
        <v>0</v>
      </c>
      <c r="BA87">
        <f t="shared" si="499"/>
        <v>0</v>
      </c>
    </row>
    <row r="88">
      <c r="C88" t="s">
        <v>793</v>
      </c>
      <c r="D88" s="1">
        <f>Combined!E145/Combined!E141</f>
        <v>0.024189398809287922</v>
      </c>
      <c r="E88" s="1">
        <f>Combined!F145/Combined!F141</f>
        <v>0.024189398809287922</v>
      </c>
      <c r="F88" s="1">
        <f>Combined!G145/Combined!G141</f>
        <v>0.024189398809287922</v>
      </c>
      <c r="G88" s="1">
        <f>Combined!H145/Combined!H141</f>
        <v>0.024189398809287922</v>
      </c>
      <c r="H88" s="1">
        <f>Combined!I145/Combined!I141</f>
        <v>0.022893841226654318</v>
      </c>
      <c r="I88" s="1">
        <f>Combined!J145/Combined!J141</f>
        <v>0.024189398809287922</v>
      </c>
      <c r="J88" s="1">
        <f>Combined!K145/Combined!K141</f>
        <v>0.010436556778254301</v>
      </c>
      <c r="K88" s="3">
        <f>Combined!L145/Combined!L141</f>
        <v>0.068280577557999031</v>
      </c>
      <c r="L88" s="3">
        <f>Combined!M145/Combined!M141</f>
        <v>0.068280577557999017</v>
      </c>
      <c r="M88" s="3">
        <f>Combined!N145/Combined!N141</f>
        <v>0.068280577557999031</v>
      </c>
      <c r="N88" s="3">
        <f>Combined!O145/Combined!O141</f>
        <v>0.068280577557999031</v>
      </c>
      <c r="O88" s="3">
        <f>Combined!P145/Combined!P141</f>
        <v>0.060669176760026609</v>
      </c>
      <c r="P88" s="3">
        <f>Combined!Q145/Combined!Q141</f>
        <v>0.068280577557999031</v>
      </c>
      <c r="Q88" s="3">
        <f>Combined!R145/Combined!R141</f>
        <v>0.055733265548743353</v>
      </c>
      <c r="R88" s="2">
        <f>Combined!S145/Combined!S141</f>
        <v>0.040238924375566018</v>
      </c>
      <c r="S88" s="2">
        <f>Combined!T145/Combined!T141</f>
        <v>0.040238924375566018</v>
      </c>
      <c r="T88" s="2">
        <f>Combined!U145/Combined!U141</f>
        <v>0.040238924375566018</v>
      </c>
      <c r="U88" s="2">
        <f>Combined!V145/Combined!V141</f>
        <v>0.040238924375566018</v>
      </c>
      <c r="V88" s="2">
        <f>Combined!W145/Combined!W141</f>
        <v>0.035122442880505436</v>
      </c>
      <c r="W88" s="2">
        <f>Combined!X145/Combined!X141</f>
        <v>0.040238924375566018</v>
      </c>
      <c r="X88" s="2">
        <f>Combined!Y145/Combined!Y141</f>
        <v>0.020822614955538103</v>
      </c>
      <c r="Z88" t="str">
        <f/>
        <v>Utilization</v>
      </c>
      <c r="AA88">
        <f t="shared" si="486"/>
        <v>0.024189398809287922</v>
      </c>
      <c r="AB88">
        <f t="shared" si="487"/>
        <v>0.040238924375566018</v>
      </c>
      <c r="AC88">
        <f t="shared" si="488"/>
        <v>0.068280577557999031</v>
      </c>
      <c r="AE88">
        <f/>
        <v>0.024189398809287922</v>
      </c>
      <c r="AF88">
        <f/>
        <v>0.040238924375566018</v>
      </c>
      <c r="AG88">
        <f t="shared" si="489"/>
        <v>0.068280577557999017</v>
      </c>
      <c r="AI88">
        <f/>
        <v>0.024189398809287922</v>
      </c>
      <c r="AJ88">
        <f/>
        <v>0.040238924375566018</v>
      </c>
      <c r="AK88">
        <f/>
        <v>0.068280577557999031</v>
      </c>
      <c r="AM88">
        <f/>
        <v>0.024189398809287922</v>
      </c>
      <c r="AN88">
        <f t="shared" si="490"/>
        <v>0.040238924375566018</v>
      </c>
      <c r="AO88">
        <f t="shared" si="491"/>
        <v>0.068280577557999031</v>
      </c>
      <c r="AQ88">
        <f t="shared" si="492"/>
        <v>0.022893841226654318</v>
      </c>
      <c r="AR88">
        <f t="shared" si="493"/>
        <v>0.035122442880505436</v>
      </c>
      <c r="AS88">
        <f t="shared" si="494"/>
        <v>0.060669176760026609</v>
      </c>
      <c r="AU88">
        <f t="shared" si="495"/>
        <v>0.024189398809287922</v>
      </c>
      <c r="AV88">
        <f t="array" ref="AV88">_xlfn.ANCHORARRAY(W88)</f>
        <v>0.040238924375566018</v>
      </c>
      <c r="AW88">
        <f t="shared" si="496"/>
        <v>0.068280577557999031</v>
      </c>
      <c r="AY88">
        <f t="shared" si="497"/>
        <v>0.010436556778254301</v>
      </c>
      <c r="AZ88">
        <f t="shared" si="498"/>
        <v>0.020822614955538103</v>
      </c>
      <c r="BA88">
        <f t="shared" si="499"/>
        <v>0.055733265548743353</v>
      </c>
    </row>
    <row r="89">
      <c r="C89" t="s">
        <v>812</v>
      </c>
      <c r="D89" s="1">
        <f t="shared" ref="D89:I89" si="513">SUM(D80:D88)</f>
        <v>0.1935719336341572</v>
      </c>
      <c r="E89" s="1">
        <f t="shared" si="513"/>
        <v>0.11939047188845323</v>
      </c>
      <c r="F89" s="1">
        <f t="shared" si="513"/>
        <v>0.14947722428387072</v>
      </c>
      <c r="G89" s="1">
        <f t="shared" si="513"/>
        <v>0.17335463533399587</v>
      </c>
      <c r="H89" s="1">
        <f t="shared" si="513"/>
        <v>0.11187777094153843</v>
      </c>
      <c r="I89" s="1">
        <f t="shared" si="513"/>
        <v>0.23374583212895614</v>
      </c>
      <c r="J89" s="1">
        <f t="shared" ref="J89:P89" si="514">SUM(J80:J88)</f>
        <v>0.15014068770082839</v>
      </c>
      <c r="K89" s="3">
        <f t="shared" si="514"/>
        <v>1.2340215927476412</v>
      </c>
      <c r="L89" s="3">
        <f t="shared" si="514"/>
        <v>0.78406696529273734</v>
      </c>
      <c r="M89" s="3">
        <f t="shared" si="514"/>
        <v>1.1019123937724222</v>
      </c>
      <c r="N89" s="3">
        <f t="shared" si="514"/>
        <v>1.1258471212378671</v>
      </c>
      <c r="O89" s="3">
        <f t="shared" si="514"/>
        <v>1.1256014207571619</v>
      </c>
      <c r="P89" s="3">
        <f t="shared" si="514"/>
        <v>2.2598997036634096</v>
      </c>
      <c r="Q89" s="3">
        <f t="shared" ref="Q89:X89" si="515">SUM(Q80:Q88)</f>
        <v>0.78176010355257053</v>
      </c>
      <c r="R89" s="2">
        <f>SUM(R80:R88)</f>
        <v>0.49366698142477949</v>
      </c>
      <c r="S89" s="2">
        <f t="shared" si="515"/>
        <v>0.32086465742509657</v>
      </c>
      <c r="T89" s="2">
        <f t="shared" si="515"/>
        <v>0.40271315808133096</v>
      </c>
      <c r="U89" s="2">
        <f t="shared" si="515"/>
        <v>0.43796414804161704</v>
      </c>
      <c r="V89" s="2">
        <f t="shared" si="515"/>
        <v>0.40697702911548689</v>
      </c>
      <c r="W89" s="2">
        <f t="shared" si="515"/>
        <v>0.80013649704570633</v>
      </c>
      <c r="X89" s="2">
        <f t="shared" si="515"/>
        <v>0.38598782041518986</v>
      </c>
      <c r="Z89" t="str">
        <f/>
        <v xml:space="preserve">Total Price</v>
      </c>
      <c r="AA89">
        <f t="shared" si="486"/>
        <v>0.1935719336341572</v>
      </c>
      <c r="AB89">
        <f t="shared" si="487"/>
        <v>0.49366698142477949</v>
      </c>
      <c r="AC89">
        <f t="shared" si="488"/>
        <v>1.2340215927476412</v>
      </c>
      <c r="AE89">
        <f/>
        <v>0.11939047188845323</v>
      </c>
      <c r="AF89">
        <f/>
        <v>0.32086465742509657</v>
      </c>
      <c r="AG89">
        <f t="shared" si="489"/>
        <v>0.78406696529273734</v>
      </c>
      <c r="AI89">
        <f/>
        <v>0.14947722428387072</v>
      </c>
      <c r="AJ89">
        <f/>
        <v>0.40271315808133096</v>
      </c>
      <c r="AK89">
        <f/>
        <v>1.1019123937724222</v>
      </c>
      <c r="AM89">
        <f/>
        <v>0.17335463533399587</v>
      </c>
      <c r="AN89">
        <f t="shared" si="490"/>
        <v>0.43796414804161704</v>
      </c>
      <c r="AO89">
        <f t="shared" si="491"/>
        <v>1.1258471212378671</v>
      </c>
      <c r="AQ89">
        <f t="shared" si="492"/>
        <v>0.11187777094153843</v>
      </c>
      <c r="AR89">
        <f t="shared" si="493"/>
        <v>0.40697702911548689</v>
      </c>
      <c r="AS89">
        <f t="shared" si="494"/>
        <v>1.1256014207571619</v>
      </c>
      <c r="AU89">
        <f t="shared" si="495"/>
        <v>0.23374583212895614</v>
      </c>
      <c r="AV89">
        <f t="array" ref="AV89">_xlfn.ANCHORARRAY(W89)</f>
        <v>0.80013649704570633</v>
      </c>
      <c r="AW89">
        <f t="shared" si="496"/>
        <v>2.2598997036634096</v>
      </c>
      <c r="AY89">
        <f t="shared" si="497"/>
        <v>0.15014068770082839</v>
      </c>
      <c r="AZ89">
        <f t="shared" si="498"/>
        <v>0.38598782041518986</v>
      </c>
      <c r="BA89">
        <f t="shared" si="499"/>
        <v>0.78176010355257053</v>
      </c>
    </row>
    <row r="90">
      <c r="Z90">
        <f/>
        <v>0</v>
      </c>
      <c r="AE90">
        <f/>
        <v>0</v>
      </c>
      <c r="AF90">
        <f/>
        <v>0</v>
      </c>
      <c r="AI90">
        <f/>
        <v>0</v>
      </c>
      <c r="AJ90">
        <f/>
        <v>0</v>
      </c>
      <c r="AK90">
        <f/>
        <v>0</v>
      </c>
      <c r="AM90">
        <f/>
        <v>0</v>
      </c>
    </row>
    <row r="91">
      <c r="Z91">
        <f/>
        <v>0</v>
      </c>
      <c r="AE91">
        <f/>
        <v>0</v>
      </c>
      <c r="AF91">
        <f/>
        <v>0</v>
      </c>
      <c r="AI91">
        <f/>
        <v>0</v>
      </c>
      <c r="AJ91">
        <f/>
        <v>0</v>
      </c>
      <c r="AK91">
        <f/>
        <v>0</v>
      </c>
      <c r="AM91">
        <f/>
        <v>0</v>
      </c>
    </row>
    <row r="173">
      <c r="D173" s="66" t="s">
        <v>147</v>
      </c>
      <c r="E173" s="66" t="s">
        <v>215</v>
      </c>
      <c r="F173" s="66" t="s">
        <v>779</v>
      </c>
      <c r="G173" s="66" t="s">
        <v>191</v>
      </c>
      <c r="H173" s="66" t="s">
        <v>255</v>
      </c>
      <c r="I173" s="66" t="s">
        <v>760</v>
      </c>
      <c r="J173" s="66" t="s">
        <v>558</v>
      </c>
      <c r="K173" s="67" t="s">
        <v>147</v>
      </c>
      <c r="L173" s="67" t="s">
        <v>215</v>
      </c>
      <c r="M173" s="67" t="s">
        <v>779</v>
      </c>
      <c r="N173" s="67" t="s">
        <v>191</v>
      </c>
      <c r="O173" s="67" t="s">
        <v>255</v>
      </c>
      <c r="P173" s="67" t="s">
        <v>760</v>
      </c>
      <c r="Q173" s="67" t="s">
        <v>558</v>
      </c>
      <c r="R173" s="68" t="s">
        <v>147</v>
      </c>
      <c r="S173" s="68" t="s">
        <v>215</v>
      </c>
      <c r="T173" s="68" t="s">
        <v>731</v>
      </c>
      <c r="U173" s="68" t="s">
        <v>191</v>
      </c>
      <c r="V173" s="68" t="s">
        <v>255</v>
      </c>
      <c r="W173" s="68" t="s">
        <v>723</v>
      </c>
      <c r="X173" s="68" t="s">
        <v>715</v>
      </c>
    </row>
    <row r="174">
      <c r="C174" t="s">
        <v>550</v>
      </c>
      <c r="D174">
        <f>D12</f>
        <v>0.41059971348252722</v>
      </c>
      <c r="E174">
        <f t="shared" ref="E174:X174" si="516">E12</f>
        <v>0.38006496550871538</v>
      </c>
      <c r="F174">
        <f t="shared" si="516"/>
        <v>0.33896532502798737</v>
      </c>
      <c r="G174">
        <f t="shared" si="516"/>
        <v>0.36111837345878861</v>
      </c>
      <c r="H174">
        <f t="shared" si="516"/>
        <v>0.34372336471655407</v>
      </c>
      <c r="I174">
        <f t="shared" si="516"/>
        <v>0.1867361634154211</v>
      </c>
      <c r="J174">
        <f t="shared" si="516"/>
        <v>0.3046164222388601</v>
      </c>
      <c r="K174">
        <f t="shared" si="516"/>
        <v>0.24848954707873094</v>
      </c>
      <c r="L174">
        <f t="shared" si="516"/>
        <v>0.25449573703604045</v>
      </c>
      <c r="M174">
        <f t="shared" si="516"/>
        <v>0.1970914481324193</v>
      </c>
      <c r="N174">
        <f t="shared" si="516"/>
        <v>0.21008923454517203</v>
      </c>
      <c r="O174">
        <f t="shared" si="516"/>
        <v>0.19141308191596251</v>
      </c>
      <c r="P174">
        <f t="shared" si="516"/>
        <v>0.095939178301401751</v>
      </c>
      <c r="Q174">
        <f t="shared" si="516"/>
        <v>0.2407453401013242</v>
      </c>
      <c r="R174">
        <f t="shared" si="516"/>
        <v>0.32506000988301875</v>
      </c>
      <c r="S174">
        <f t="shared" si="516"/>
        <v>0.32079688557464803</v>
      </c>
      <c r="T174">
        <f t="shared" si="516"/>
        <v>0.27142813975685331</v>
      </c>
      <c r="U174">
        <f t="shared" si="516"/>
        <v>0.28530830396420825</v>
      </c>
      <c r="V174">
        <f t="shared" si="516"/>
        <v>0.26709123499937359</v>
      </c>
      <c r="W174">
        <f t="shared" si="516"/>
        <v>0.13997961149154059</v>
      </c>
      <c r="X174">
        <f t="shared" si="516"/>
        <v>0.27330688492969224</v>
      </c>
    </row>
    <row r="175">
      <c r="D175">
        <f>(D174-R174)*100</f>
        <v>8.5539703599508456</v>
      </c>
      <c r="E175">
        <f t="shared" ref="E175:J175" si="517">(E174-S174)*100</f>
        <v>5.9268079934067348</v>
      </c>
      <c r="F175">
        <f t="shared" si="517"/>
        <v>6.7537185271134064</v>
      </c>
      <c r="G175">
        <f t="shared" si="517"/>
        <v>7.5810069494580361</v>
      </c>
      <c r="H175">
        <f t="shared" si="517"/>
        <v>7.6632129717180479</v>
      </c>
      <c r="I175">
        <f t="shared" si="517"/>
        <v>4.6756551923880512</v>
      </c>
      <c r="J175">
        <f t="shared" si="517"/>
        <v>3.1309537309167856</v>
      </c>
      <c r="K175">
        <f>(R174-K174)*100</f>
        <v>7.6570462804287809</v>
      </c>
      <c r="L175">
        <f t="shared" ref="L175:Q175" si="518">(S174-L174)*100</f>
        <v>6.6301148538607579</v>
      </c>
      <c r="M175">
        <f t="shared" si="518"/>
        <v>7.433669162443401</v>
      </c>
      <c r="N175">
        <f t="shared" si="518"/>
        <v>7.5219069419036222</v>
      </c>
      <c r="O175">
        <f t="shared" si="518"/>
        <v>7.5678153083411086</v>
      </c>
      <c r="P175">
        <f t="shared" si="518"/>
        <v>4.4040433190138835</v>
      </c>
      <c r="Q175">
        <f t="shared" si="518"/>
        <v>3.2561544828368039</v>
      </c>
      <c r="R175">
        <f>R174*100</f>
        <v>32.506000988301878</v>
      </c>
      <c r="S175">
        <f t="shared" ref="S175:X175" si="519">S174*100</f>
        <v>32.079688557464806</v>
      </c>
      <c r="T175">
        <f t="shared" si="519"/>
        <v>27.142813975685332</v>
      </c>
      <c r="U175">
        <f t="shared" si="519"/>
        <v>28.530830396420825</v>
      </c>
      <c r="V175">
        <f t="shared" si="519"/>
        <v>26.709123499937359</v>
      </c>
      <c r="W175">
        <f t="shared" si="519"/>
        <v>13.997961149154058</v>
      </c>
      <c r="X175">
        <f t="shared" si="519"/>
        <v>27.330688492969223</v>
      </c>
    </row>
    <row r="177">
      <c r="C177" t="s">
        <v>551</v>
      </c>
      <c r="D177">
        <f>D23</f>
        <v>0.40170774714120072</v>
      </c>
      <c r="E177">
        <f t="shared" ref="E177:X177" si="520">E23</f>
        <v>0.37483515915920762</v>
      </c>
      <c r="F177">
        <f t="shared" si="520"/>
        <v>0.33471529299937863</v>
      </c>
      <c r="G177">
        <f t="shared" si="520"/>
        <v>0.35155406509152265</v>
      </c>
      <c r="H177">
        <f t="shared" si="520"/>
        <v>0.34117282209705391</v>
      </c>
      <c r="I177">
        <f t="shared" si="520"/>
        <v>0.18544042011793727</v>
      </c>
      <c r="J177">
        <f t="shared" si="520"/>
        <v>0.30003652418500981</v>
      </c>
      <c r="K177">
        <f t="shared" si="520"/>
        <v>0.24172597775628701</v>
      </c>
      <c r="L177">
        <f t="shared" si="520"/>
        <v>0.25186017770065028</v>
      </c>
      <c r="M177">
        <f t="shared" si="520"/>
        <v>0.19547498547970088</v>
      </c>
      <c r="N177">
        <f t="shared" si="520"/>
        <v>0.20588513747292381</v>
      </c>
      <c r="O177">
        <f t="shared" si="520"/>
        <v>0.19023210077953889</v>
      </c>
      <c r="P177">
        <f t="shared" si="520"/>
        <v>0.095379212635947397</v>
      </c>
      <c r="Q177">
        <f t="shared" si="520"/>
        <v>0.23756023453691044</v>
      </c>
      <c r="R177">
        <f t="shared" si="520"/>
        <v>0.31771779036450809</v>
      </c>
      <c r="S177">
        <f t="shared" si="520"/>
        <v>0.31682420561816105</v>
      </c>
      <c r="T177">
        <f t="shared" si="520"/>
        <v>0.26852115746407113</v>
      </c>
      <c r="U177">
        <f t="shared" si="520"/>
        <v>0.27866150201334827</v>
      </c>
      <c r="V177">
        <f t="shared" si="520"/>
        <v>0.26534191032455556</v>
      </c>
      <c r="W177">
        <f t="shared" si="520"/>
        <v>0.1391176580372987</v>
      </c>
      <c r="X177">
        <f t="shared" si="520"/>
        <v>0.26942279147590842</v>
      </c>
    </row>
    <row r="178">
      <c r="D178">
        <f>(D177-R177)*100</f>
        <v>8.3989956776692622</v>
      </c>
      <c r="E178">
        <f t="shared" ref="E178:J178" si="521">(E177-S177)*100</f>
        <v>5.8010953541046568</v>
      </c>
      <c r="F178">
        <f t="shared" si="521"/>
        <v>6.6194135535307508</v>
      </c>
      <c r="G178">
        <f t="shared" si="521"/>
        <v>7.2892563078174373</v>
      </c>
      <c r="H178">
        <f t="shared" si="521"/>
        <v>7.5830911772498339</v>
      </c>
      <c r="I178">
        <f t="shared" si="521"/>
        <v>4.6322762080638569</v>
      </c>
      <c r="J178">
        <f t="shared" si="521"/>
        <v>3.0613732709101393</v>
      </c>
      <c r="K178">
        <f>(R177-K177)*100</f>
        <v>7.5991812608221077</v>
      </c>
      <c r="L178">
        <f t="shared" ref="L178:Q178" si="522">(S177-L177)*100</f>
        <v>6.4964027917510769</v>
      </c>
      <c r="M178">
        <f t="shared" si="522"/>
        <v>7.3046171984370245</v>
      </c>
      <c r="N178">
        <f t="shared" si="522"/>
        <v>7.2776364540424465</v>
      </c>
      <c r="O178">
        <f t="shared" si="522"/>
        <v>7.510980954501667</v>
      </c>
      <c r="P178">
        <f t="shared" si="522"/>
        <v>4.3738445401351296</v>
      </c>
      <c r="Q178">
        <f t="shared" si="522"/>
        <v>3.1862556938997977</v>
      </c>
      <c r="R178">
        <f>R177*100</f>
        <v>31.771779036450809</v>
      </c>
      <c r="S178">
        <f t="shared" ref="S178:X178" si="523">S177*100</f>
        <v>31.682420561816105</v>
      </c>
      <c r="T178">
        <f t="shared" si="523"/>
        <v>26.852115746407112</v>
      </c>
      <c r="U178">
        <f t="shared" si="523"/>
        <v>27.866150201334825</v>
      </c>
      <c r="V178">
        <f t="shared" si="523"/>
        <v>26.534191032455556</v>
      </c>
      <c r="W178">
        <f t="shared" si="523"/>
        <v>13.911765803729869</v>
      </c>
      <c r="X178">
        <f t="shared" si="523"/>
        <v>26.942279147590842</v>
      </c>
    </row>
    <row r="180">
      <c r="C180" t="s">
        <v>552</v>
      </c>
      <c r="D180">
        <f>D34</f>
        <v>0.38850315220823695</v>
      </c>
      <c r="E180">
        <f t="shared" ref="E180:X180" si="524">E34</f>
        <v>0.36693085212317322</v>
      </c>
      <c r="F180">
        <f t="shared" si="524"/>
        <v>0.32827178621875541</v>
      </c>
      <c r="G180">
        <f t="shared" si="524"/>
        <v>0.33590748711789087</v>
      </c>
      <c r="H180">
        <f t="shared" si="524"/>
        <v>0.33737254643534365</v>
      </c>
      <c r="I180">
        <f t="shared" si="524"/>
        <v>0.18350744590387136</v>
      </c>
      <c r="J180">
        <f t="shared" si="524"/>
        <v>0.29309108833932451</v>
      </c>
      <c r="K180">
        <f t="shared" si="524"/>
        <v>0.23596519694503504</v>
      </c>
      <c r="L180">
        <f t="shared" si="524"/>
        <v>0.24766662540012241</v>
      </c>
      <c r="M180">
        <f t="shared" si="524"/>
        <v>0.19288840316834965</v>
      </c>
      <c r="N180">
        <f t="shared" si="524"/>
        <v>0.19888891008025777</v>
      </c>
      <c r="O180">
        <f t="shared" si="524"/>
        <v>0.18885330354195395</v>
      </c>
      <c r="P180">
        <f t="shared" si="524"/>
        <v>0.094724976715615861</v>
      </c>
      <c r="Q180">
        <f t="shared" si="524"/>
        <v>0.23270767315741625</v>
      </c>
      <c r="R180">
        <f t="shared" si="524"/>
        <v>0.30885600338106967</v>
      </c>
      <c r="S180">
        <f t="shared" si="524"/>
        <v>0.31084369507323661</v>
      </c>
      <c r="T180">
        <f t="shared" si="524"/>
        <v>0.26412632855739304</v>
      </c>
      <c r="U180">
        <f t="shared" si="524"/>
        <v>0.26769339491623056</v>
      </c>
      <c r="V180">
        <f t="shared" si="524"/>
        <v>0.26291240391092319</v>
      </c>
      <c r="W180">
        <f t="shared" si="524"/>
        <v>0.13791942673203172</v>
      </c>
      <c r="X180">
        <f t="shared" si="524"/>
        <v>0.26352013783637851</v>
      </c>
    </row>
    <row r="181">
      <c r="D181">
        <f>(D180-R180)*100</f>
        <v>7.964714882716728</v>
      </c>
      <c r="E181">
        <f t="shared" ref="E181:J181" si="525">(E180-S180)*100</f>
        <v>5.6087157049936609</v>
      </c>
      <c r="F181">
        <f t="shared" si="525"/>
        <v>6.4145457661362375</v>
      </c>
      <c r="G181">
        <f t="shared" si="525"/>
        <v>6.8214092201660304</v>
      </c>
      <c r="H181">
        <f t="shared" si="525"/>
        <v>7.4460142524420458</v>
      </c>
      <c r="I181">
        <f t="shared" si="525"/>
        <v>4.5588019171839633</v>
      </c>
      <c r="J181">
        <f t="shared" si="525"/>
        <v>2.9570950502946003</v>
      </c>
      <c r="K181">
        <f>(R180-K180)*100</f>
        <v>7.2890806436034623</v>
      </c>
      <c r="L181">
        <f t="shared" ref="L181:Q181" si="526">(S180-L180)*100</f>
        <v>6.3177069673114206</v>
      </c>
      <c r="M181">
        <f t="shared" si="526"/>
        <v>7.1237925389043388</v>
      </c>
      <c r="N181">
        <f t="shared" si="526"/>
        <v>6.880448483597279</v>
      </c>
      <c r="O181">
        <f t="shared" si="526"/>
        <v>7.4059100368969233</v>
      </c>
      <c r="P181">
        <f t="shared" si="526"/>
        <v>4.3194450016415864</v>
      </c>
      <c r="Q181">
        <f t="shared" si="526"/>
        <v>3.0812464678962259</v>
      </c>
      <c r="R181">
        <f>R180*100</f>
        <v>30.885600338106968</v>
      </c>
      <c r="S181">
        <f t="shared" ref="S181:W181" si="527">S180*100</f>
        <v>31.084369507323661</v>
      </c>
      <c r="T181">
        <f t="shared" si="527"/>
        <v>26.412632855739304</v>
      </c>
      <c r="U181">
        <f t="shared" si="527"/>
        <v>26.769339491623057</v>
      </c>
      <c r="V181">
        <f t="shared" si="527"/>
        <v>26.29124039109232</v>
      </c>
      <c r="W181">
        <f t="shared" si="527"/>
        <v>13.791942673203172</v>
      </c>
      <c r="X181">
        <f>X180*100</f>
        <v>26.352013783637851</v>
      </c>
    </row>
    <row r="183">
      <c r="C183" t="s">
        <v>553</v>
      </c>
      <c r="D183">
        <f>D45</f>
        <v>0.35664499279144435</v>
      </c>
      <c r="E183">
        <f t="shared" ref="E183:X183" si="528">E45</f>
        <v>0.34806646211759218</v>
      </c>
      <c r="F183">
        <f t="shared" si="528"/>
        <v>0.31279558202765312</v>
      </c>
      <c r="G183">
        <f t="shared" si="528"/>
        <v>0.28955534317445497</v>
      </c>
      <c r="H183">
        <f t="shared" si="528"/>
        <v>0.32840941558558312</v>
      </c>
      <c r="I183">
        <f t="shared" si="528"/>
        <v>0.1789373416919644</v>
      </c>
      <c r="J183">
        <f t="shared" si="528"/>
        <v>0.27643351404031902</v>
      </c>
      <c r="K183">
        <f t="shared" si="528"/>
        <v>0.22161285885402904</v>
      </c>
      <c r="L183">
        <f t="shared" si="528"/>
        <v>0.23750299742939673</v>
      </c>
      <c r="M183">
        <f t="shared" si="528"/>
        <v>0.18654424396187808</v>
      </c>
      <c r="N183">
        <f t="shared" si="528"/>
        <v>0.17722229494063824</v>
      </c>
      <c r="O183">
        <f t="shared" si="528"/>
        <v>0.1855822632612919</v>
      </c>
      <c r="P183">
        <f t="shared" si="528"/>
        <v>0.093170824980110645</v>
      </c>
      <c r="Q183">
        <f t="shared" si="528"/>
        <v>0.22095859281703556</v>
      </c>
      <c r="R183">
        <f t="shared" si="528"/>
        <v>0.28709517886504077</v>
      </c>
      <c r="S183">
        <f t="shared" si="528"/>
        <v>0.29646086391989146</v>
      </c>
      <c r="T183">
        <f t="shared" si="528"/>
        <v>0.25346435830438452</v>
      </c>
      <c r="U183">
        <f t="shared" si="528"/>
        <v>0.23449619141065081</v>
      </c>
      <c r="V183">
        <f t="shared" si="528"/>
        <v>0.25714352717696443</v>
      </c>
      <c r="W183">
        <f t="shared" si="528"/>
        <v>0.13506895069687319</v>
      </c>
      <c r="X183">
        <f t="shared" si="528"/>
        <v>0.24930225715664833</v>
      </c>
    </row>
    <row r="184">
      <c r="D184">
        <f>(D183-R183)*100</f>
        <v>6.9549813926403576</v>
      </c>
      <c r="E184">
        <f t="shared" ref="E184:J184" si="529">(E183-S183)*100</f>
        <v>5.1605598197700715</v>
      </c>
      <c r="F184">
        <f t="shared" si="529"/>
        <v>5.93312237232686</v>
      </c>
      <c r="G184">
        <f t="shared" si="529"/>
        <v>5.5059151763804159</v>
      </c>
      <c r="H184">
        <f t="shared" si="529"/>
        <v>7.1265888408618689</v>
      </c>
      <c r="I184">
        <f t="shared" si="529"/>
        <v>4.3868390995091211</v>
      </c>
      <c r="J184">
        <f t="shared" si="529"/>
        <v>2.7131256883670685</v>
      </c>
      <c r="K184">
        <f>(R183-K183)*100</f>
        <v>6.548232001101173</v>
      </c>
      <c r="L184">
        <f t="shared" ref="L184:Q184" si="530">(S183-L183)*100</f>
        <v>5.895786649049473</v>
      </c>
      <c r="M184">
        <f t="shared" si="530"/>
        <v>6.6920114342506443</v>
      </c>
      <c r="N184">
        <f t="shared" si="530"/>
        <v>5.7273896470012575</v>
      </c>
      <c r="O184">
        <f t="shared" si="530"/>
        <v>7.1561263915672519</v>
      </c>
      <c r="P184">
        <f t="shared" si="530"/>
        <v>4.1898125716762546</v>
      </c>
      <c r="Q184">
        <f t="shared" si="530"/>
        <v>2.8343664339612773</v>
      </c>
      <c r="R184">
        <f>R183*100</f>
        <v>28.709517886504077</v>
      </c>
      <c r="S184">
        <f t="shared" ref="S184:X184" si="531">S183*100</f>
        <v>29.646086391989147</v>
      </c>
      <c r="T184">
        <f t="shared" si="531"/>
        <v>25.346435830438452</v>
      </c>
      <c r="U184">
        <f t="shared" si="531"/>
        <v>23.449619141065082</v>
      </c>
      <c r="V184">
        <f t="shared" si="531"/>
        <v>25.714352717696443</v>
      </c>
      <c r="W184">
        <f t="shared" si="531"/>
        <v>13.506895069687319</v>
      </c>
      <c r="X184">
        <f t="shared" si="531"/>
        <v>24.930225715664832</v>
      </c>
    </row>
  </sheetData>
  <mergeCells count="3">
    <mergeCell ref="D1:J1"/>
    <mergeCell ref="K1:Q1"/>
    <mergeCell ref="R1:X1"/>
  </mergeCell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8" zoomScale="131" workbookViewId="0">
      <selection activeCell="N16" activeCellId="0" sqref="N16"/>
    </sheetView>
  </sheetViews>
  <sheetFormatPr baseColWidth="10" defaultRowHeight="14.25"/>
  <cols>
    <col customWidth="1" min="1" max="1" width="38"/>
  </cols>
  <sheetData>
    <row r="3" ht="15.75">
      <c r="B3" s="37" t="s">
        <v>712</v>
      </c>
      <c r="C3" t="s">
        <v>713</v>
      </c>
      <c r="D3" t="s">
        <v>191</v>
      </c>
      <c r="E3" t="s">
        <v>714</v>
      </c>
      <c r="F3" t="s">
        <v>715</v>
      </c>
    </row>
    <row r="4">
      <c r="A4" t="s">
        <v>813</v>
      </c>
      <c r="B4">
        <f>'Storage 2'!Q18</f>
        <v>0.62822035928082542</v>
      </c>
      <c r="C4">
        <f>'Storage 2'!R18</f>
        <v>0.060901675221491404</v>
      </c>
      <c r="D4">
        <f>'Storage 2'!T18</f>
        <v>0.091612807198329579</v>
      </c>
      <c r="E4">
        <f>'Storage 2'!U18</f>
        <v>0.3472550067550591</v>
      </c>
      <c r="F4">
        <f>'Storage 2'!W18</f>
        <v>4.7260019536757918e-05</v>
      </c>
    </row>
    <row r="5">
      <c r="A5" t="s">
        <v>814</v>
      </c>
      <c r="B5">
        <f>Shipping!N159</f>
        <v>3.3811191706871813</v>
      </c>
      <c r="C5">
        <f>Shipping!O159</f>
        <v>1.6615508885099008</v>
      </c>
      <c r="D5">
        <f>Shipping!P159</f>
        <v>2.7358826038149591</v>
      </c>
      <c r="E5">
        <f>Shipping!Q159</f>
        <v>1.2313960899172565</v>
      </c>
      <c r="F5">
        <f>Shipping!R159</f>
        <v>1.5070830685568124</v>
      </c>
    </row>
    <row r="7">
      <c r="B7">
        <f>B4-'Storage 2'!C18</f>
        <v>0.3927958845347862</v>
      </c>
      <c r="C7">
        <f>C4-'Storage 2'!D18</f>
        <v>0.025702363166332121</v>
      </c>
      <c r="D7">
        <f>D4-'Storage 2'!F18</f>
        <v>0.048471399859958214</v>
      </c>
      <c r="E7">
        <f>E4-'Storage 2'!G18</f>
        <v>0.32047946642788844</v>
      </c>
      <c r="F7">
        <f>F4-'Storage 2'!I18</f>
        <v>0</v>
      </c>
    </row>
    <row r="8">
      <c r="B8">
        <f>'Storage 2'!J18-B4</f>
        <v>0.90818124309254167</v>
      </c>
      <c r="C8">
        <f>'Storage 2'!K18-C4</f>
        <v>0.048362664741104754</v>
      </c>
      <c r="D8">
        <f>'Storage 2'!M18-D4</f>
        <v>0.082157916955496638</v>
      </c>
      <c r="E8">
        <f>'Storage 2'!N18-E4</f>
        <v>0.72182515602397945</v>
      </c>
      <c r="F8">
        <f>'Storage 2'!P18-F4</f>
        <v>0</v>
      </c>
    </row>
    <row r="10">
      <c r="B10">
        <f>B5-Shipping!D159</f>
        <v>1.139755925639879</v>
      </c>
      <c r="C10">
        <f>C5-Shipping!E159</f>
        <v>0.68743910897867955</v>
      </c>
      <c r="D10">
        <f>D5-Shipping!F159</f>
        <v>1.1584106796663145</v>
      </c>
      <c r="E10">
        <f>E5-Shipping!G159</f>
        <v>0.62485482183863705</v>
      </c>
      <c r="F10">
        <f>F5-Shipping!H159</f>
        <v>0.70104444936376153</v>
      </c>
    </row>
    <row r="11">
      <c r="B11">
        <f>Shipping!I160-B5</f>
        <v>2.870019592668005</v>
      </c>
      <c r="C11">
        <f>Shipping!J160-C5</f>
        <v>1.5828723293782185</v>
      </c>
      <c r="D11">
        <f>Shipping!K160-D5</f>
        <v>3.9107342404978622</v>
      </c>
      <c r="E11">
        <f>Shipping!L160-E5</f>
        <v>1.3755857981035811</v>
      </c>
      <c r="F11">
        <f>Shipping!M160-F5</f>
        <v>1.3606545781171051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9" activeCellId="0" sqref="A9"/>
    </sheetView>
  </sheetViews>
  <sheetFormatPr baseColWidth="10" defaultRowHeight="14.25"/>
  <cols>
    <col customWidth="1" min="1" max="1" width="23.46484375"/>
  </cols>
  <sheetData>
    <row r="1">
      <c r="B1" t="s">
        <v>815</v>
      </c>
    </row>
    <row r="2">
      <c r="A2" t="s">
        <v>816</v>
      </c>
      <c r="B2">
        <v>1</v>
      </c>
    </row>
    <row r="3">
      <c r="A3" t="s">
        <v>817</v>
      </c>
      <c r="B3">
        <v>1</v>
      </c>
    </row>
    <row r="4">
      <c r="A4" t="s">
        <v>818</v>
      </c>
      <c r="B4">
        <v>1</v>
      </c>
    </row>
    <row r="5">
      <c r="A5" t="s">
        <v>819</v>
      </c>
      <c r="B5">
        <v>1</v>
      </c>
    </row>
    <row r="6">
      <c r="A6" t="s">
        <v>820</v>
      </c>
      <c r="B6">
        <v>1</v>
      </c>
    </row>
    <row r="7">
      <c r="A7" t="s">
        <v>821</v>
      </c>
      <c r="B7">
        <v>1</v>
      </c>
    </row>
    <row r="8">
      <c r="A8" t="s">
        <v>822</v>
      </c>
      <c r="B8">
        <v>1</v>
      </c>
    </row>
    <row r="9">
      <c r="A9" t="s">
        <v>33</v>
      </c>
      <c r="B9">
        <v>1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s</dc:creator>
  <cp:lastModifiedBy>Manzoor Ahmed</cp:lastModifiedBy>
  <cp:revision>1</cp:revision>
  <dcterms:created xsi:type="dcterms:W3CDTF">2023-07-11T08:47:34Z</dcterms:created>
  <dcterms:modified xsi:type="dcterms:W3CDTF">2024-03-10T14:47:29Z</dcterms:modified>
</cp:coreProperties>
</file>