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 Bots\Electrical\PowerBoard\"/>
    </mc:Choice>
  </mc:AlternateContent>
  <xr:revisionPtr revIDLastSave="0" documentId="13_ncr:1_{959D1362-E1C2-4AEA-AA6E-BFCAD2AD74C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POWER_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3" i="1" l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O67" i="1"/>
  <c r="Q67" i="1"/>
  <c r="R67" i="1"/>
  <c r="T67" i="1"/>
  <c r="M67" i="1"/>
  <c r="Q2" i="1"/>
  <c r="V67" i="1" l="1"/>
  <c r="W67" i="1"/>
  <c r="P67" i="1" s="1"/>
  <c r="M3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  <c r="R53" i="1"/>
  <c r="T22" i="1"/>
  <c r="W22" i="1" s="1"/>
  <c r="T25" i="1"/>
  <c r="W25" i="1" s="1"/>
  <c r="T26" i="1"/>
  <c r="W26" i="1" s="1"/>
  <c r="T27" i="1"/>
  <c r="W27" i="1" s="1"/>
  <c r="T28" i="1"/>
  <c r="W28" i="1" s="1"/>
  <c r="T37" i="1"/>
  <c r="W37" i="1" s="1"/>
  <c r="T39" i="1"/>
  <c r="W39" i="1" s="1"/>
  <c r="T40" i="1"/>
  <c r="W40" i="1" s="1"/>
  <c r="T41" i="1"/>
  <c r="T42" i="1"/>
  <c r="T54" i="1"/>
  <c r="T55" i="1"/>
  <c r="W55" i="1" s="1"/>
  <c r="T56" i="1"/>
  <c r="T58" i="1"/>
  <c r="T62" i="1"/>
  <c r="W62" i="1" s="1"/>
  <c r="T4" i="1"/>
  <c r="Q11" i="1" l="1"/>
  <c r="O11" i="1"/>
  <c r="Q61" i="1"/>
  <c r="O61" i="1"/>
  <c r="Q60" i="1"/>
  <c r="O60" i="1"/>
  <c r="Q59" i="1"/>
  <c r="O59" i="1"/>
  <c r="Q47" i="1"/>
  <c r="O47" i="1"/>
  <c r="Q34" i="1"/>
  <c r="O34" i="1"/>
  <c r="Q22" i="1"/>
  <c r="O22" i="1"/>
  <c r="V22" i="1" s="1"/>
  <c r="Q10" i="1"/>
  <c r="O10" i="1"/>
  <c r="O58" i="1"/>
  <c r="V58" i="1" s="1"/>
  <c r="Q58" i="1"/>
  <c r="O46" i="1"/>
  <c r="Q46" i="1"/>
  <c r="O33" i="1"/>
  <c r="Q33" i="1"/>
  <c r="Q21" i="1"/>
  <c r="O21" i="1"/>
  <c r="Q9" i="1"/>
  <c r="O9" i="1"/>
  <c r="Q12" i="1"/>
  <c r="O12" i="1"/>
  <c r="O57" i="1"/>
  <c r="Q57" i="1"/>
  <c r="O20" i="1"/>
  <c r="Q20" i="1"/>
  <c r="O56" i="1"/>
  <c r="V56" i="1" s="1"/>
  <c r="Q56" i="1"/>
  <c r="Q44" i="1"/>
  <c r="O44" i="1"/>
  <c r="Q31" i="1"/>
  <c r="O31" i="1"/>
  <c r="O19" i="1"/>
  <c r="Q19" i="1"/>
  <c r="O7" i="1"/>
  <c r="Q7" i="1"/>
  <c r="O32" i="1"/>
  <c r="Q32" i="1"/>
  <c r="O2" i="1"/>
  <c r="O55" i="1"/>
  <c r="P55" i="1" s="1"/>
  <c r="Q55" i="1"/>
  <c r="O43" i="1"/>
  <c r="Q43" i="1"/>
  <c r="O30" i="1"/>
  <c r="Q30" i="1"/>
  <c r="Q18" i="1"/>
  <c r="O18" i="1"/>
  <c r="O6" i="1"/>
  <c r="Q6" i="1"/>
  <c r="Q37" i="1"/>
  <c r="O37" i="1"/>
  <c r="P37" i="1" s="1"/>
  <c r="O8" i="1"/>
  <c r="Q8" i="1"/>
  <c r="O66" i="1"/>
  <c r="Q66" i="1"/>
  <c r="O54" i="1"/>
  <c r="V54" i="1" s="1"/>
  <c r="Q54" i="1"/>
  <c r="O42" i="1"/>
  <c r="V42" i="1" s="1"/>
  <c r="Q42" i="1"/>
  <c r="O17" i="1"/>
  <c r="Q17" i="1"/>
  <c r="O5" i="1"/>
  <c r="Q5" i="1"/>
  <c r="O45" i="1"/>
  <c r="Q45" i="1"/>
  <c r="O65" i="1"/>
  <c r="Q65" i="1"/>
  <c r="O53" i="1"/>
  <c r="Q53" i="1"/>
  <c r="O41" i="1"/>
  <c r="V41" i="1" s="1"/>
  <c r="Q41" i="1"/>
  <c r="O28" i="1"/>
  <c r="V28" i="1" s="1"/>
  <c r="Q28" i="1"/>
  <c r="O16" i="1"/>
  <c r="Q16" i="1"/>
  <c r="O4" i="1"/>
  <c r="V4" i="1" s="1"/>
  <c r="Q4" i="1"/>
  <c r="Q49" i="1"/>
  <c r="O49" i="1"/>
  <c r="Q48" i="1"/>
  <c r="O48" i="1"/>
  <c r="O64" i="1"/>
  <c r="Q64" i="1"/>
  <c r="O52" i="1"/>
  <c r="Q52" i="1"/>
  <c r="O40" i="1"/>
  <c r="V40" i="1" s="1"/>
  <c r="Q40" i="1"/>
  <c r="O27" i="1"/>
  <c r="V27" i="1" s="1"/>
  <c r="Q27" i="1"/>
  <c r="O15" i="1"/>
  <c r="Q15" i="1"/>
  <c r="O3" i="1"/>
  <c r="Q3" i="1"/>
  <c r="Q24" i="1"/>
  <c r="O24" i="1"/>
  <c r="Q23" i="1"/>
  <c r="O23" i="1"/>
  <c r="O63" i="1"/>
  <c r="Q63" i="1"/>
  <c r="O51" i="1"/>
  <c r="Q51" i="1"/>
  <c r="O39" i="1"/>
  <c r="V39" i="1" s="1"/>
  <c r="Q39" i="1"/>
  <c r="O26" i="1"/>
  <c r="V26" i="1" s="1"/>
  <c r="Q26" i="1"/>
  <c r="O14" i="1"/>
  <c r="Q14" i="1"/>
  <c r="Q36" i="1"/>
  <c r="O36" i="1"/>
  <c r="Q62" i="1"/>
  <c r="O62" i="1"/>
  <c r="V62" i="1" s="1"/>
  <c r="Q50" i="1"/>
  <c r="O50" i="1"/>
  <c r="Q38" i="1"/>
  <c r="O38" i="1"/>
  <c r="O25" i="1"/>
  <c r="V25" i="1" s="1"/>
  <c r="Q25" i="1"/>
  <c r="O13" i="1"/>
  <c r="Q13" i="1"/>
  <c r="O35" i="1"/>
  <c r="Q35" i="1"/>
  <c r="Q29" i="1"/>
  <c r="O29" i="1"/>
  <c r="R65" i="1"/>
  <c r="T65" i="1" s="1"/>
  <c r="R61" i="1"/>
  <c r="R60" i="1"/>
  <c r="T60" i="1" s="1"/>
  <c r="R11" i="1"/>
  <c r="T11" i="1" s="1"/>
  <c r="W11" i="1" s="1"/>
  <c r="P11" i="1" s="1"/>
  <c r="R47" i="1"/>
  <c r="T47" i="1" s="1"/>
  <c r="R46" i="1"/>
  <c r="T46" i="1" s="1"/>
  <c r="R33" i="1"/>
  <c r="R21" i="1"/>
  <c r="R9" i="1"/>
  <c r="R12" i="1"/>
  <c r="T12" i="1" s="1"/>
  <c r="R57" i="1"/>
  <c r="T57" i="1" s="1"/>
  <c r="R45" i="1"/>
  <c r="T45" i="1" s="1"/>
  <c r="R32" i="1"/>
  <c r="R20" i="1"/>
  <c r="T20" i="1" s="1"/>
  <c r="R8" i="1"/>
  <c r="R23" i="1"/>
  <c r="T23" i="1" s="1"/>
  <c r="W23" i="1" s="1"/>
  <c r="P23" i="1" s="1"/>
  <c r="R59" i="1"/>
  <c r="T59" i="1" s="1"/>
  <c r="W59" i="1" s="1"/>
  <c r="P59" i="1" s="1"/>
  <c r="R10" i="1"/>
  <c r="T10" i="1" s="1"/>
  <c r="R58" i="1"/>
  <c r="R56" i="1"/>
  <c r="R44" i="1"/>
  <c r="T44" i="1" s="1"/>
  <c r="W44" i="1" s="1"/>
  <c r="P44" i="1" s="1"/>
  <c r="R31" i="1"/>
  <c r="T31" i="1" s="1"/>
  <c r="R19" i="1"/>
  <c r="T19" i="1" s="1"/>
  <c r="R7" i="1"/>
  <c r="T7" i="1" s="1"/>
  <c r="R2" i="1"/>
  <c r="R55" i="1"/>
  <c r="R43" i="1"/>
  <c r="T43" i="1" s="1"/>
  <c r="R30" i="1"/>
  <c r="T30" i="1" s="1"/>
  <c r="R18" i="1"/>
  <c r="T18" i="1" s="1"/>
  <c r="R6" i="1"/>
  <c r="T6" i="1" s="1"/>
  <c r="R66" i="1"/>
  <c r="R54" i="1"/>
  <c r="R42" i="1"/>
  <c r="R29" i="1"/>
  <c r="T29" i="1" s="1"/>
  <c r="R17" i="1"/>
  <c r="T17" i="1" s="1"/>
  <c r="R5" i="1"/>
  <c r="T5" i="1" s="1"/>
  <c r="R37" i="1"/>
  <c r="R48" i="1"/>
  <c r="T48" i="1" s="1"/>
  <c r="R34" i="1"/>
  <c r="T34" i="1" s="1"/>
  <c r="R41" i="1"/>
  <c r="R28" i="1"/>
  <c r="R16" i="1"/>
  <c r="T16" i="1" s="1"/>
  <c r="R4" i="1"/>
  <c r="R22" i="1"/>
  <c r="R64" i="1"/>
  <c r="R52" i="1"/>
  <c r="R40" i="1"/>
  <c r="R27" i="1"/>
  <c r="R15" i="1"/>
  <c r="R3" i="1"/>
  <c r="R24" i="1"/>
  <c r="T24" i="1" s="1"/>
  <c r="R63" i="1"/>
  <c r="T63" i="1" s="1"/>
  <c r="R51" i="1"/>
  <c r="T51" i="1" s="1"/>
  <c r="R39" i="1"/>
  <c r="R26" i="1"/>
  <c r="R14" i="1"/>
  <c r="R49" i="1"/>
  <c r="R36" i="1"/>
  <c r="T36" i="1" s="1"/>
  <c r="R62" i="1"/>
  <c r="R50" i="1"/>
  <c r="T50" i="1" s="1"/>
  <c r="R38" i="1"/>
  <c r="T38" i="1" s="1"/>
  <c r="R25" i="1"/>
  <c r="R13" i="1"/>
  <c r="T13" i="1" s="1"/>
  <c r="R35" i="1"/>
  <c r="T35" i="1" s="1"/>
  <c r="W58" i="1"/>
  <c r="P58" i="1" s="1"/>
  <c r="W56" i="1"/>
  <c r="P56" i="1" s="1"/>
  <c r="W54" i="1"/>
  <c r="W42" i="1"/>
  <c r="W41" i="1"/>
  <c r="W4" i="1"/>
  <c r="P4" i="1" s="1"/>
  <c r="T52" i="1"/>
  <c r="T15" i="1"/>
  <c r="T9" i="1"/>
  <c r="T64" i="1"/>
  <c r="T8" i="1"/>
  <c r="T21" i="1"/>
  <c r="T49" i="1"/>
  <c r="T3" i="1"/>
  <c r="T66" i="1"/>
  <c r="T53" i="1"/>
  <c r="T33" i="1"/>
  <c r="T61" i="1"/>
  <c r="T32" i="1"/>
  <c r="T14" i="1"/>
  <c r="V37" i="1" l="1"/>
  <c r="V44" i="1"/>
  <c r="P39" i="1"/>
  <c r="P40" i="1"/>
  <c r="V11" i="1"/>
  <c r="P41" i="1"/>
  <c r="V55" i="1"/>
  <c r="P62" i="1"/>
  <c r="P28" i="1"/>
  <c r="P22" i="1"/>
  <c r="V23" i="1"/>
  <c r="P25" i="1"/>
  <c r="P27" i="1"/>
  <c r="P42" i="1"/>
  <c r="P26" i="1"/>
  <c r="P54" i="1"/>
  <c r="V20" i="1"/>
  <c r="W20" i="1"/>
  <c r="P20" i="1" s="1"/>
  <c r="V60" i="1"/>
  <c r="W60" i="1"/>
  <c r="P60" i="1" s="1"/>
  <c r="V43" i="1"/>
  <c r="V7" i="1"/>
  <c r="V59" i="1"/>
  <c r="V6" i="1"/>
  <c r="W6" i="1"/>
  <c r="P6" i="1" s="1"/>
  <c r="W52" i="1"/>
  <c r="P52" i="1" s="1"/>
  <c r="V52" i="1"/>
  <c r="W13" i="1"/>
  <c r="P13" i="1" s="1"/>
  <c r="V13" i="1"/>
  <c r="W47" i="1"/>
  <c r="P47" i="1" s="1"/>
  <c r="V47" i="1"/>
  <c r="W10" i="1"/>
  <c r="P10" i="1" s="1"/>
  <c r="V10" i="1"/>
  <c r="W12" i="1"/>
  <c r="V12" i="1"/>
  <c r="W64" i="1"/>
  <c r="P64" i="1" s="1"/>
  <c r="V64" i="1"/>
  <c r="W53" i="1"/>
  <c r="P53" i="1" s="1"/>
  <c r="V53" i="1"/>
  <c r="W17" i="1"/>
  <c r="P17" i="1" s="1"/>
  <c r="V17" i="1"/>
  <c r="W49" i="1"/>
  <c r="P49" i="1" s="1"/>
  <c r="V49" i="1"/>
  <c r="V31" i="1"/>
  <c r="W31" i="1"/>
  <c r="P31" i="1" s="1"/>
  <c r="W15" i="1"/>
  <c r="V15" i="1"/>
  <c r="W14" i="1"/>
  <c r="P14" i="1" s="1"/>
  <c r="V14" i="1"/>
  <c r="V9" i="1"/>
  <c r="W9" i="1"/>
  <c r="P9" i="1" s="1"/>
  <c r="W35" i="1"/>
  <c r="P35" i="1" s="1"/>
  <c r="V35" i="1"/>
  <c r="V19" i="1"/>
  <c r="W19" i="1"/>
  <c r="P19" i="1" s="1"/>
  <c r="V21" i="1"/>
  <c r="W21" i="1"/>
  <c r="P21" i="1" s="1"/>
  <c r="V33" i="1"/>
  <c r="W33" i="1"/>
  <c r="P33" i="1" s="1"/>
  <c r="V32" i="1"/>
  <c r="W32" i="1"/>
  <c r="P32" i="1" s="1"/>
  <c r="V18" i="1"/>
  <c r="W18" i="1"/>
  <c r="P18" i="1" s="1"/>
  <c r="W65" i="1"/>
  <c r="P65" i="1" s="1"/>
  <c r="V65" i="1"/>
  <c r="V3" i="1"/>
  <c r="W3" i="1"/>
  <c r="P3" i="1" s="1"/>
  <c r="V45" i="1"/>
  <c r="W45" i="1"/>
  <c r="P45" i="1" s="1"/>
  <c r="W48" i="1"/>
  <c r="P48" i="1" s="1"/>
  <c r="V48" i="1"/>
  <c r="V29" i="1"/>
  <c r="W29" i="1"/>
  <c r="P29" i="1" s="1"/>
  <c r="W63" i="1"/>
  <c r="P63" i="1" s="1"/>
  <c r="V63" i="1"/>
  <c r="W7" i="1"/>
  <c r="P7" i="1" s="1"/>
  <c r="V30" i="1"/>
  <c r="W30" i="1"/>
  <c r="P30" i="1" s="1"/>
  <c r="W36" i="1"/>
  <c r="P36" i="1" s="1"/>
  <c r="V36" i="1"/>
  <c r="V8" i="1"/>
  <c r="W8" i="1"/>
  <c r="P8" i="1" s="1"/>
  <c r="V46" i="1"/>
  <c r="W46" i="1"/>
  <c r="P46" i="1" s="1"/>
  <c r="W51" i="1"/>
  <c r="P51" i="1" s="1"/>
  <c r="V51" i="1"/>
  <c r="W43" i="1"/>
  <c r="P43" i="1" s="1"/>
  <c r="W50" i="1"/>
  <c r="P50" i="1" s="1"/>
  <c r="V50" i="1"/>
  <c r="V66" i="1"/>
  <c r="W66" i="1"/>
  <c r="P66" i="1" s="1"/>
  <c r="V34" i="1"/>
  <c r="W34" i="1"/>
  <c r="P34" i="1" s="1"/>
  <c r="W24" i="1"/>
  <c r="P24" i="1" s="1"/>
  <c r="V24" i="1"/>
  <c r="W38" i="1"/>
  <c r="P38" i="1" s="1"/>
  <c r="V38" i="1"/>
  <c r="W61" i="1"/>
  <c r="P61" i="1" s="1"/>
  <c r="V61" i="1"/>
  <c r="V5" i="1"/>
  <c r="W5" i="1"/>
  <c r="P5" i="1" s="1"/>
  <c r="V57" i="1"/>
  <c r="W57" i="1"/>
  <c r="W16" i="1"/>
  <c r="P16" i="1" s="1"/>
  <c r="V16" i="1"/>
  <c r="T2" i="1"/>
  <c r="X70" i="1" l="1"/>
  <c r="V74" i="1"/>
  <c r="P12" i="1"/>
  <c r="X66" i="1"/>
  <c r="P15" i="1"/>
  <c r="X69" i="1"/>
  <c r="P57" i="1"/>
  <c r="V2" i="1"/>
  <c r="V70" i="1" s="1"/>
  <c r="W2" i="1"/>
  <c r="P2" i="1" s="1"/>
  <c r="W70" i="1" l="1"/>
  <c r="AA58" i="1" s="1"/>
  <c r="X75" i="1"/>
  <c r="W69" i="1"/>
  <c r="AA59" i="1" l="1"/>
  <c r="AA61" i="1" s="1"/>
  <c r="AA63" i="1" s="1"/>
  <c r="AA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tc={074E567F-877A-4BCA-8410-872931E898AC}</author>
    <author>tc={6CF976E6-0B52-4B5B-B248-2830CA54CC28}</author>
    <author>tc={B5786C44-53F8-4C1A-84AD-040464DBBE3A}</author>
    <author>tc={A60D47E1-D140-4A7F-8CAC-493854855BBF}</author>
    <author>tc={9997F244-BC2F-40ED-832F-1EAF298C588F}</author>
    <author>tc={D95429D1-15C2-423C-ABC3-D4EFE4CF7069}</author>
    <author>tc={BFA47708-E4CD-44EB-84B5-D1417A4FFC41}</author>
  </authors>
  <commentList>
    <comment ref="E14" authorId="0" shapeId="0" xr:uid="{074E567F-877A-4BCA-8410-872931E898AC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6CF976E6-0B52-4B5B-B248-2830CA54C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B5786C44-53F8-4C1A-84AD-040464DBBE3A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A60D47E1-D140-4A7F-8CAC-493854855B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997F244-BC2F-40ED-832F-1EAF298C58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D95429D1-15C2-423C-ABC3-D4EFE4CF7069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  <comment ref="F61" authorId="6" shapeId="0" xr:uid="{BFA47708-E4CD-44EB-84B5-D1417A4FFC41}">
      <text>
        <t>[Threaded comment]
Your version of Excel allows you to read this threaded comment; however, any edits to it will get removed if the file is opened in a newer version of Excel. Learn more: https://go.microsoft.com/fwlink/?linkid=870924
Comment:
    Alt from winbond elec is cheap and basic part</t>
      </text>
    </comment>
  </commentList>
</comments>
</file>

<file path=xl/sharedStrings.xml><?xml version="1.0" encoding="utf-8"?>
<sst xmlns="http://schemas.openxmlformats.org/spreadsheetml/2006/main" count="468" uniqueCount="340">
  <si>
    <t>Reference</t>
  </si>
  <si>
    <t>Value</t>
  </si>
  <si>
    <t>Footprint</t>
  </si>
  <si>
    <t>JLC Extended</t>
  </si>
  <si>
    <t>MPN</t>
  </si>
  <si>
    <t>C1, C2</t>
  </si>
  <si>
    <t>25SVPF100M</t>
  </si>
  <si>
    <t>bots:CAP_25SVPF100M</t>
  </si>
  <si>
    <t>yes</t>
  </si>
  <si>
    <t>C3, C4, C8</t>
  </si>
  <si>
    <t>22u_1206</t>
  </si>
  <si>
    <t>bots:C_1206_3216Metric</t>
  </si>
  <si>
    <t>no</t>
  </si>
  <si>
    <t>CL31A226KAHNNNE</t>
  </si>
  <si>
    <t>1000u</t>
  </si>
  <si>
    <t>bots:CP_Radial_Horizontal_D25.4mm_H45mm</t>
  </si>
  <si>
    <t>ESMQ251VSN102MQ45S</t>
  </si>
  <si>
    <t>C7</t>
  </si>
  <si>
    <t>100p</t>
  </si>
  <si>
    <t>bots:C_0603_1608Metric</t>
  </si>
  <si>
    <t>CL10C101JB8NNNC</t>
  </si>
  <si>
    <t>C9, C13-C21, C26, C32-C34, C38</t>
  </si>
  <si>
    <t>0.1u</t>
  </si>
  <si>
    <t>CC0603KRX7R9BB104</t>
  </si>
  <si>
    <t>C10, C39</t>
  </si>
  <si>
    <t>1500p</t>
  </si>
  <si>
    <t>bots:C_0805_2012Metric</t>
  </si>
  <si>
    <t>C2012C0G2A152JT000N</t>
  </si>
  <si>
    <t>C11, C12, C37, C40</t>
  </si>
  <si>
    <t>10u</t>
  </si>
  <si>
    <t>GRM21BR61H106KE43L</t>
  </si>
  <si>
    <t>C22, C23, C35</t>
  </si>
  <si>
    <t>1u</t>
  </si>
  <si>
    <t>CL10A105KB8NNNC</t>
  </si>
  <si>
    <t>C24, C25</t>
  </si>
  <si>
    <t>27p</t>
  </si>
  <si>
    <t>CC0603JRNPO9BN270</t>
  </si>
  <si>
    <t>C27</t>
  </si>
  <si>
    <t>0.22u_0805</t>
  </si>
  <si>
    <t>CL21B224KBFNNNE</t>
  </si>
  <si>
    <t>C28</t>
  </si>
  <si>
    <t>0.1u_600V</t>
  </si>
  <si>
    <t>bots:C_1210_3225Metric</t>
  </si>
  <si>
    <t>C30, C31</t>
  </si>
  <si>
    <t>22p</t>
  </si>
  <si>
    <t>CL10C220JB8NNNC</t>
  </si>
  <si>
    <t>D1, D10</t>
  </si>
  <si>
    <t>SMCJ15A</t>
  </si>
  <si>
    <t>bots:D_SMC</t>
  </si>
  <si>
    <t>D2, D11</t>
  </si>
  <si>
    <t>MUR860J</t>
  </si>
  <si>
    <t>D3</t>
  </si>
  <si>
    <t>2A 600V</t>
  </si>
  <si>
    <t>bots:D_SMB</t>
  </si>
  <si>
    <t>MURS160-E3/52T</t>
  </si>
  <si>
    <t>D4</t>
  </si>
  <si>
    <t>LED_red</t>
  </si>
  <si>
    <t>bots:LED_0805_2012Metric</t>
  </si>
  <si>
    <t>NCD0805R1</t>
  </si>
  <si>
    <t>D5</t>
  </si>
  <si>
    <t>B220</t>
  </si>
  <si>
    <t>B220-13-F</t>
  </si>
  <si>
    <t>D6, D8, D15</t>
  </si>
  <si>
    <t>LED</t>
  </si>
  <si>
    <t>KT-0805G</t>
  </si>
  <si>
    <t>D7</t>
  </si>
  <si>
    <t>LED_blue</t>
  </si>
  <si>
    <t>bots:LED_0603_1608Metric</t>
  </si>
  <si>
    <t>KT-0603W</t>
  </si>
  <si>
    <t>D9, D13</t>
  </si>
  <si>
    <t>19-213/Y2C-CQ2R2L/3T(CY)</t>
  </si>
  <si>
    <t>D12</t>
  </si>
  <si>
    <t>3SMBJ5929B-TP</t>
  </si>
  <si>
    <t>D14</t>
  </si>
  <si>
    <t>bots:D_SMA</t>
  </si>
  <si>
    <t>F1</t>
  </si>
  <si>
    <t>0501015.WR1</t>
  </si>
  <si>
    <t>bots:Fuse_1206_3216Metric</t>
  </si>
  <si>
    <t>J1</t>
  </si>
  <si>
    <t>JST_B3B-XH-A</t>
  </si>
  <si>
    <t>bots:JST_B3B-XH-A</t>
  </si>
  <si>
    <t>B3B-XH-A(LF)(SN)</t>
  </si>
  <si>
    <t>J2</t>
  </si>
  <si>
    <t>USB4145-03-0170-C_REVA2</t>
  </si>
  <si>
    <t>bots:GCT_USB4145-03-0170-C_REVA2</t>
  </si>
  <si>
    <t>USB4145-03-0170-C</t>
  </si>
  <si>
    <t>J3</t>
  </si>
  <si>
    <t>JST_BM04B-GHS-TBT</t>
  </si>
  <si>
    <t>bots:JST_BM04B-GHS-TBT</t>
  </si>
  <si>
    <t>BM04B-GHS-TBT</t>
  </si>
  <si>
    <t>J5</t>
  </si>
  <si>
    <t>Conn_02x10_Counter_Clockwise</t>
  </si>
  <si>
    <t>bots:PinHeader_2x10_P2.54mm_Vertical</t>
  </si>
  <si>
    <t>Q1, Q4</t>
  </si>
  <si>
    <t>BSS138</t>
  </si>
  <si>
    <t>bots:SOT95P240X111-3N</t>
  </si>
  <si>
    <t>Q2</t>
  </si>
  <si>
    <t>bots:DPAK-3_ONS</t>
  </si>
  <si>
    <t>Q3, Q7</t>
  </si>
  <si>
    <t>bots:TO-247-3_Horizontal_TabDown</t>
  </si>
  <si>
    <t>FGH50T65SQD-F155</t>
  </si>
  <si>
    <t>Q5</t>
  </si>
  <si>
    <t>TN2130K1-G</t>
  </si>
  <si>
    <t>Q6</t>
  </si>
  <si>
    <t>IPD60R3K4CEAUMA1</t>
  </si>
  <si>
    <t>N/A</t>
  </si>
  <si>
    <t>100k</t>
  </si>
  <si>
    <t>bots:R_0603_1608Metric</t>
  </si>
  <si>
    <t>0603WAF1003T5E</t>
  </si>
  <si>
    <t>R2, R13-R16, R19, R28, R30, R41</t>
  </si>
  <si>
    <t>10k</t>
  </si>
  <si>
    <t>0603WAF1002T5E</t>
  </si>
  <si>
    <t>R3</t>
  </si>
  <si>
    <t>2.49k</t>
  </si>
  <si>
    <t>R4, R42</t>
  </si>
  <si>
    <t>120R</t>
  </si>
  <si>
    <t>0603WAF1200T5E</t>
  </si>
  <si>
    <t>R5</t>
  </si>
  <si>
    <t>48.1k</t>
  </si>
  <si>
    <t>0603WAF4752T5E</t>
  </si>
  <si>
    <t>R6</t>
  </si>
  <si>
    <t>34.3k</t>
  </si>
  <si>
    <t>0603WAF3402T5E</t>
  </si>
  <si>
    <t>R7</t>
  </si>
  <si>
    <t>8m</t>
  </si>
  <si>
    <t>bots:R_1206_3216Metric</t>
  </si>
  <si>
    <t>R8, R43</t>
  </si>
  <si>
    <t>bots:R_0805_2012Metric</t>
  </si>
  <si>
    <t>0805W8F200KT5E</t>
  </si>
  <si>
    <t>R11, R12, R35, R36</t>
  </si>
  <si>
    <t>5.1k</t>
  </si>
  <si>
    <t>0603WAF5101T5E</t>
  </si>
  <si>
    <t>R17, R18</t>
  </si>
  <si>
    <t>1k</t>
  </si>
  <si>
    <t>0603WAF1001T5E</t>
  </si>
  <si>
    <t>R20, R21</t>
  </si>
  <si>
    <t>33R</t>
  </si>
  <si>
    <t>0603WAF330JT5E</t>
  </si>
  <si>
    <t>R22</t>
  </si>
  <si>
    <t>R_200k</t>
  </si>
  <si>
    <t>0603WAF2003T5E</t>
  </si>
  <si>
    <t>R23, R24</t>
  </si>
  <si>
    <t>R_470k</t>
  </si>
  <si>
    <t>0603WAF4703T5E</t>
  </si>
  <si>
    <t>R25, R26</t>
  </si>
  <si>
    <t>R_0OHM_JUMPER</t>
  </si>
  <si>
    <t>0603WAF0000T5E</t>
  </si>
  <si>
    <t>R31</t>
  </si>
  <si>
    <t>270k</t>
  </si>
  <si>
    <t>0603WAF2703T5E</t>
  </si>
  <si>
    <t>R33, R34</t>
  </si>
  <si>
    <t>5.1M</t>
  </si>
  <si>
    <t>R37</t>
  </si>
  <si>
    <t>1.2k</t>
  </si>
  <si>
    <t>0603WAF1201T5E</t>
  </si>
  <si>
    <t>R38, R47</t>
  </si>
  <si>
    <t>0603WAF3300T5E</t>
  </si>
  <si>
    <t>R39, R40, R45</t>
  </si>
  <si>
    <t>150R</t>
  </si>
  <si>
    <t>0603WAF1500T5E</t>
  </si>
  <si>
    <t>R44</t>
  </si>
  <si>
    <t>2k 35W</t>
  </si>
  <si>
    <t>bots:TO-220-2_Horizontal_TabDown</t>
  </si>
  <si>
    <t>PWR220T-35-2001J</t>
  </si>
  <si>
    <t>R46</t>
  </si>
  <si>
    <t>820R_3W</t>
  </si>
  <si>
    <t>bots:R_2512_6332Metric</t>
  </si>
  <si>
    <t>3522820RJT</t>
  </si>
  <si>
    <t>T1</t>
  </si>
  <si>
    <t>DA2034</t>
  </si>
  <si>
    <t>bots:DA2034-ALD_COC</t>
  </si>
  <si>
    <t>DA2034-ALD</t>
  </si>
  <si>
    <t>U1</t>
  </si>
  <si>
    <t>RPI2040</t>
  </si>
  <si>
    <t>bots:QFN56_7X7_RPI</t>
  </si>
  <si>
    <t>RP2040</t>
  </si>
  <si>
    <t>U2</t>
  </si>
  <si>
    <t>MCP14A0454-E/SN</t>
  </si>
  <si>
    <t>bots:SOIC-8_3.9x4.9mm_P1.27mm</t>
  </si>
  <si>
    <t>U3</t>
  </si>
  <si>
    <t>AP2114HA-3.3TRG1</t>
  </si>
  <si>
    <t>Package_TO_SOT_SMD:SOT-223-3_TabPin2</t>
  </si>
  <si>
    <t>U4</t>
  </si>
  <si>
    <t>LT3750</t>
  </si>
  <si>
    <t>bots:MSOP-10_3x3mm_P0.5mm</t>
  </si>
  <si>
    <t>U5</t>
  </si>
  <si>
    <t>W25Q16JVSNIQ</t>
  </si>
  <si>
    <t>W25Q128JVSIQ</t>
  </si>
  <si>
    <t>U6</t>
  </si>
  <si>
    <t>SN65HVD233</t>
  </si>
  <si>
    <t>U7</t>
  </si>
  <si>
    <t>MCP2515-xST</t>
  </si>
  <si>
    <t>bots:TSSOP-20_4.4x6.5mm_P0.65mm</t>
  </si>
  <si>
    <t>MCP2515T-I/ST</t>
  </si>
  <si>
    <t>U9, U10</t>
  </si>
  <si>
    <t>PTS647SM38SMTR2LFS</t>
  </si>
  <si>
    <t>bots:SW_PTS647SM38SMTR2LFS_CNK</t>
  </si>
  <si>
    <t>Y1</t>
  </si>
  <si>
    <t>ABM3-12.000MHZ-D2Y-T</t>
  </si>
  <si>
    <t>bots:ABM3</t>
  </si>
  <si>
    <t>Y2</t>
  </si>
  <si>
    <t>ABM3-8.000MHZ-D2Y-T</t>
  </si>
  <si>
    <t>Qty per board</t>
  </si>
  <si>
    <t>JLC Cost</t>
  </si>
  <si>
    <t>JLC Part #</t>
  </si>
  <si>
    <t>C136279</t>
  </si>
  <si>
    <t>C144380</t>
  </si>
  <si>
    <t>C148313</t>
  </si>
  <si>
    <t>C2689502</t>
  </si>
  <si>
    <t>C185941</t>
  </si>
  <si>
    <t>C84289</t>
  </si>
  <si>
    <t>C2040</t>
  </si>
  <si>
    <t>C22808</t>
  </si>
  <si>
    <t>C23138</t>
  </si>
  <si>
    <t>C22765</t>
  </si>
  <si>
    <t>C22965</t>
  </si>
  <si>
    <t>C21189</t>
  </si>
  <si>
    <t>C23178</t>
  </si>
  <si>
    <t>C23140</t>
  </si>
  <si>
    <t>C21190</t>
  </si>
  <si>
    <t>C23186</t>
  </si>
  <si>
    <t>C17606</t>
  </si>
  <si>
    <t>C326567</t>
  </si>
  <si>
    <t>C23008</t>
  </si>
  <si>
    <t>C23061</t>
  </si>
  <si>
    <t>C22787</t>
  </si>
  <si>
    <t>C108190</t>
  </si>
  <si>
    <t>C25804</t>
  </si>
  <si>
    <t>C25803</t>
  </si>
  <si>
    <t>C626652</t>
  </si>
  <si>
    <t>C132704</t>
  </si>
  <si>
    <t>C605020</t>
  </si>
  <si>
    <t>C410346</t>
  </si>
  <si>
    <t>C412437</t>
  </si>
  <si>
    <t>C72038</t>
  </si>
  <si>
    <t>C2290</t>
  </si>
  <si>
    <t>C2297</t>
  </si>
  <si>
    <t>C110480</t>
  </si>
  <si>
    <t>C84256</t>
  </si>
  <si>
    <t>C59627</t>
  </si>
  <si>
    <t>C438099</t>
  </si>
  <si>
    <t>C1653</t>
  </si>
  <si>
    <t>C2902776</t>
  </si>
  <si>
    <t>C5378</t>
  </si>
  <si>
    <t>C107045</t>
  </si>
  <si>
    <t>C15849</t>
  </si>
  <si>
    <t>C440198</t>
  </si>
  <si>
    <t>C342996</t>
  </si>
  <si>
    <t>C14663</t>
  </si>
  <si>
    <t>C14858</t>
  </si>
  <si>
    <t>C12891</t>
  </si>
  <si>
    <t>Digikey Cost (total)</t>
  </si>
  <si>
    <t>JLC Cost with Extended part fee (total)</t>
  </si>
  <si>
    <t>Lowest Cost (Digikey vs JLC)</t>
  </si>
  <si>
    <t>QTY Have</t>
  </si>
  <si>
    <t>US1M</t>
  </si>
  <si>
    <t>DNP QTY</t>
  </si>
  <si>
    <t>QTY after DNP</t>
  </si>
  <si>
    <t>PH2-20-UA</t>
  </si>
  <si>
    <t>C7420339</t>
  </si>
  <si>
    <t>IRFR3410TRPBF</t>
  </si>
  <si>
    <t>C13320</t>
  </si>
  <si>
    <t>0603WAF5104T5E</t>
  </si>
  <si>
    <t>C460314</t>
  </si>
  <si>
    <t>LT3750AEMS#TRPBF</t>
  </si>
  <si>
    <t>C97521</t>
  </si>
  <si>
    <t>C61643</t>
  </si>
  <si>
    <t>TOTAL</t>
  </si>
  <si>
    <t>Board Cost</t>
  </si>
  <si>
    <t>PCB</t>
  </si>
  <si>
    <t>setup</t>
  </si>
  <si>
    <t>stencil</t>
  </si>
  <si>
    <t>components</t>
  </si>
  <si>
    <t>extended fee</t>
  </si>
  <si>
    <t>smt</t>
  </si>
  <si>
    <t>confirm</t>
  </si>
  <si>
    <t>shipping</t>
  </si>
  <si>
    <t>Total</t>
  </si>
  <si>
    <t>import tax</t>
  </si>
  <si>
    <t>flat fee</t>
  </si>
  <si>
    <t>per board</t>
  </si>
  <si>
    <t>C169513</t>
  </si>
  <si>
    <t>Layer</t>
  </si>
  <si>
    <t>Bottom</t>
  </si>
  <si>
    <t>R1, R9, R10, R27, R29</t>
  </si>
  <si>
    <t>R32</t>
  </si>
  <si>
    <t>Override</t>
  </si>
  <si>
    <t>DIGIKEY</t>
  </si>
  <si>
    <t>C5, C6</t>
  </si>
  <si>
    <t>QTY need if Digikey</t>
  </si>
  <si>
    <t>QTY *10 + spare for JLC</t>
  </si>
  <si>
    <t>1.97000</t>
  </si>
  <si>
    <t>0.51000</t>
  </si>
  <si>
    <t>8.76000</t>
  </si>
  <si>
    <t>0.14000</t>
  </si>
  <si>
    <t>0.23000</t>
  </si>
  <si>
    <t>0.48000</t>
  </si>
  <si>
    <t>0.20000</t>
  </si>
  <si>
    <t>0.74000</t>
  </si>
  <si>
    <t>0.68000</t>
  </si>
  <si>
    <t>0.61000</t>
  </si>
  <si>
    <t>0.30000</t>
  </si>
  <si>
    <t>1.56000</t>
  </si>
  <si>
    <t>0.71000</t>
  </si>
  <si>
    <t>0.37000</t>
  </si>
  <si>
    <t>1.44000</t>
  </si>
  <si>
    <t>6.22000</t>
  </si>
  <si>
    <t>0.65000</t>
  </si>
  <si>
    <t>0.76000</t>
  </si>
  <si>
    <t>1.21000</t>
  </si>
  <si>
    <t>4.80000</t>
  </si>
  <si>
    <t>1.40000</t>
  </si>
  <si>
    <t>2.34000</t>
  </si>
  <si>
    <t>0.56000</t>
  </si>
  <si>
    <t>14.94000</t>
  </si>
  <si>
    <t>2.54000</t>
  </si>
  <si>
    <t>4.03000</t>
  </si>
  <si>
    <t>0.85000</t>
  </si>
  <si>
    <t>0.86000</t>
  </si>
  <si>
    <t>Digikey cost 1 unit</t>
  </si>
  <si>
    <t>Digikey Cost 10 units</t>
  </si>
  <si>
    <t>JLC</t>
  </si>
  <si>
    <t>QTY to solder digikey</t>
  </si>
  <si>
    <t>components to solder by hand per board</t>
  </si>
  <si>
    <t>QTY digikey order</t>
  </si>
  <si>
    <t>RMCF0603FT2K49</t>
  </si>
  <si>
    <t>PA1206FRF470R008Z</t>
  </si>
  <si>
    <t>C25811</t>
  </si>
  <si>
    <t>Digikey + mouser</t>
  </si>
  <si>
    <t>packaging</t>
  </si>
  <si>
    <t>some of these components are in USD I think</t>
  </si>
  <si>
    <t>C1210C104KBRAC7800</t>
  </si>
  <si>
    <t>request submitted</t>
  </si>
  <si>
    <t>request approved</t>
  </si>
  <si>
    <t>alternate request approved</t>
  </si>
  <si>
    <t>already have on hand</t>
  </si>
  <si>
    <t>D16,D17,D18</t>
  </si>
  <si>
    <t>C150183</t>
  </si>
  <si>
    <t>CUS08F30,H3F</t>
  </si>
  <si>
    <t>bots:D_SOD-323_HandSoldering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</si>
</sst>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44" fontId="0" fillId="0" borderId="0" xfId="42" applyFont="1"/>
    <xf numFmtId="0" fontId="0" fillId="34" borderId="0" xfId="0" applyFill="1"/>
    <xf numFmtId="0" fontId="0" fillId="0" borderId="0" xfId="0" applyAlignment="1">
      <alignment horizontal="left"/>
    </xf>
    <xf numFmtId="44" fontId="0" fillId="0" borderId="0" xfId="0" applyNumberFormat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y Bryant" id="{B7E97F6A-A6D9-4526-93D7-E9F61BCAD376}" userId="19efbd536927d1f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074E567F-877A-4BCA-8410-872931E898AC}">
    <text>SMC diode solutions is cheaper</text>
  </threadedComment>
  <threadedComment ref="F14" dT="2024-01-22T21:23:08.17" personId="{B7E97F6A-A6D9-4526-93D7-E9F61BCAD376}" id="{6CF976E6-0B52-4B5B-B248-2830CA54CC28}">
    <text>JLC alt cheaper</text>
  </threadedComment>
  <threadedComment ref="F15" dT="2024-01-22T21:24:47.83" personId="{B7E97F6A-A6D9-4526-93D7-E9F61BCAD376}" id="{B5786C44-53F8-4C1A-84AD-040464DBBE3A}">
    <text>JLC alt cheaper</text>
  </threadedComment>
  <threadedComment ref="H17" dT="2024-01-22T11:28:15.15" personId="{B7E97F6A-A6D9-4526-93D7-E9F61BCAD376}" id="{A60D47E1-D140-4A7F-8CAC-493854855BBF}">
    <text>These are estimates</text>
  </threadedComment>
  <threadedComment ref="E29" dT="2024-01-22T11:39:19.85" personId="{B7E97F6A-A6D9-4526-93D7-E9F61BCAD376}" id="{9997F244-BC2F-40ED-832F-1EAF298C588F}">
    <text>Alternative from good ark</text>
  </threadedComment>
  <threadedComment ref="E56" dT="2024-01-22T12:09:12.98" personId="{B7E97F6A-A6D9-4526-93D7-E9F61BCAD376}" id="{D95429D1-15C2-423C-ABC3-D4EFE4CF7069}">
    <text>Mouser</text>
  </threadedComment>
  <threadedComment ref="F61" dT="2024-01-22T12:15:36.81" personId="{B7E97F6A-A6D9-4526-93D7-E9F61BCAD376}" id="{BFA47708-E4CD-44EB-84B5-D1417A4FFC41}">
    <text>Alt from winbond elec is cheap and basic part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5"/>
  <sheetViews>
    <sheetView tabSelected="1" topLeftCell="A25" zoomScale="101" workbookViewId="0">
      <selection activeCell="F36" sqref="F36"/>
    </sheetView>
  </sheetViews>
  <sheetFormatPr defaultRowHeight="14.4" x14ac:dyDescent="0.3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4" max="24" width="17.88671875" customWidth="1"/>
    <col min="27" max="27" width="12.6640625" customWidth="1"/>
    <col min="28" max="28" width="13.77734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204</v>
      </c>
      <c r="G1" t="s">
        <v>319</v>
      </c>
      <c r="H1" t="s">
        <v>320</v>
      </c>
      <c r="I1" t="s">
        <v>203</v>
      </c>
      <c r="J1" t="s">
        <v>282</v>
      </c>
      <c r="K1" t="s">
        <v>256</v>
      </c>
      <c r="L1" t="s">
        <v>202</v>
      </c>
      <c r="M1" t="s">
        <v>257</v>
      </c>
      <c r="N1" t="s">
        <v>254</v>
      </c>
      <c r="O1" t="s">
        <v>289</v>
      </c>
      <c r="P1" t="s">
        <v>324</v>
      </c>
      <c r="Q1" t="s">
        <v>322</v>
      </c>
      <c r="R1" t="s">
        <v>290</v>
      </c>
      <c r="S1" t="s">
        <v>251</v>
      </c>
      <c r="T1" t="s">
        <v>252</v>
      </c>
      <c r="U1" t="s">
        <v>286</v>
      </c>
      <c r="V1" t="s">
        <v>253</v>
      </c>
    </row>
    <row r="2" spans="1:24" x14ac:dyDescent="0.3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205</v>
      </c>
      <c r="G2" t="s">
        <v>291</v>
      </c>
      <c r="H2">
        <v>1.4710000000000001</v>
      </c>
      <c r="I2">
        <v>1.0630500000000001</v>
      </c>
      <c r="L2">
        <v>2</v>
      </c>
      <c r="M2">
        <f>L2-K2</f>
        <v>2</v>
      </c>
      <c r="O2">
        <f t="shared" ref="O2:O61" si="0">IF(IF((M2*8-N2)*G2&lt;(M2*10-N2)*H2,M2*8,M2*10)-N2&lt;0,0,IF((M2*8-N2)*G2&lt;(M2*10-N2)*H2,M2*8,M2*10)-N2)</f>
        <v>20</v>
      </c>
      <c r="P2">
        <f>IF(W2="DIGIKEY",O2,0)</f>
        <v>20</v>
      </c>
      <c r="Q2">
        <f>IFN2*8</f>
        <v>0</v>
      </c>
      <c r="R2">
        <f t="shared" ref="R2:R33" si="1">M2*10-N2</f>
        <v>20</v>
      </c>
      <c r="S2">
        <f t="shared" ref="S2:S65" si="2">IF(O2&gt;10,I2*O2,H2*O2)</f>
        <v>21.261000000000003</v>
      </c>
      <c r="T2">
        <f t="shared" ref="T2:T32" si="3">IF(ISBLANK(D2),"EMPTY",(I2*R2+IF(D2="yes",4.04,0)))</f>
        <v>25.301000000000002</v>
      </c>
      <c r="V2">
        <f t="shared" ref="V2:V33" si="4">IF(T2="EMPTY",S2,IF(J2="Bottom",S2,IF(U2="DIGIKEY",S2,IF(U2="JLC",T2,IF(T2&lt;S2+0.2,T2,S2)))))</f>
        <v>21.261000000000003</v>
      </c>
      <c r="W2" t="str">
        <f t="shared" ref="W2:W33" si="5">IF(T2="EMPTY","DIGIKEY",IF(J2="Bottom","DIGIKEY",IF(U2="DIGIKEY",U2,IF(U2="JLC",U2,IF(T2&lt;S2+0.2,"JLC","DIGIKEY")))))</f>
        <v>DIGIKEY</v>
      </c>
    </row>
    <row r="3" spans="1:24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250</v>
      </c>
      <c r="G3" t="s">
        <v>292</v>
      </c>
      <c r="H3">
        <v>0.33800000000000002</v>
      </c>
      <c r="I3">
        <v>6.4500000000000002E-2</v>
      </c>
      <c r="L3">
        <v>3</v>
      </c>
      <c r="M3">
        <f t="shared" ref="M3:M65" si="6">L3-K3</f>
        <v>3</v>
      </c>
      <c r="O3">
        <f t="shared" si="0"/>
        <v>30</v>
      </c>
      <c r="P3">
        <f t="shared" ref="P3:P66" si="7">IF(W3="DIGIKEY",O3,0)</f>
        <v>0</v>
      </c>
      <c r="Q3">
        <f t="shared" ref="Q3:Q67" si="8">M3*8</f>
        <v>24</v>
      </c>
      <c r="R3">
        <f t="shared" si="1"/>
        <v>30</v>
      </c>
      <c r="S3">
        <f t="shared" si="2"/>
        <v>1.9350000000000001</v>
      </c>
      <c r="T3">
        <f t="shared" si="3"/>
        <v>1.9350000000000001</v>
      </c>
      <c r="V3">
        <f t="shared" si="4"/>
        <v>1.9350000000000001</v>
      </c>
      <c r="W3" t="str">
        <f t="shared" si="5"/>
        <v>JLC</v>
      </c>
    </row>
    <row r="4" spans="1:24" s="4" customFormat="1" x14ac:dyDescent="0.3">
      <c r="A4" s="4" t="s">
        <v>288</v>
      </c>
      <c r="B4" s="4" t="s">
        <v>14</v>
      </c>
      <c r="C4" s="4" t="s">
        <v>15</v>
      </c>
      <c r="E4" s="4" t="s">
        <v>16</v>
      </c>
      <c r="G4" t="s">
        <v>293</v>
      </c>
      <c r="H4" s="4">
        <v>7.53</v>
      </c>
      <c r="L4" s="4">
        <v>2</v>
      </c>
      <c r="M4" s="4">
        <f t="shared" si="6"/>
        <v>2</v>
      </c>
      <c r="N4" s="4">
        <v>8</v>
      </c>
      <c r="O4">
        <f t="shared" si="0"/>
        <v>8</v>
      </c>
      <c r="P4">
        <f t="shared" si="7"/>
        <v>8</v>
      </c>
      <c r="Q4">
        <f t="shared" si="8"/>
        <v>16</v>
      </c>
      <c r="R4" s="4">
        <f t="shared" si="1"/>
        <v>12</v>
      </c>
      <c r="S4">
        <f t="shared" si="2"/>
        <v>60.24</v>
      </c>
      <c r="T4" s="4" t="str">
        <f t="shared" si="3"/>
        <v>EMPTY</v>
      </c>
      <c r="U4"/>
      <c r="V4">
        <f t="shared" si="4"/>
        <v>60.24</v>
      </c>
      <c r="W4" t="str">
        <f t="shared" si="5"/>
        <v>DIGIKEY</v>
      </c>
      <c r="X4" s="4" t="s">
        <v>332</v>
      </c>
    </row>
    <row r="5" spans="1:24" x14ac:dyDescent="0.3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249</v>
      </c>
      <c r="G5" t="s">
        <v>294</v>
      </c>
      <c r="H5">
        <v>3.6999999999999998E-2</v>
      </c>
      <c r="I5">
        <v>2.5999999999999999E-3</v>
      </c>
      <c r="L5">
        <v>1</v>
      </c>
      <c r="M5">
        <f t="shared" si="6"/>
        <v>1</v>
      </c>
      <c r="O5">
        <f t="shared" si="0"/>
        <v>10</v>
      </c>
      <c r="P5">
        <f t="shared" si="7"/>
        <v>0</v>
      </c>
      <c r="Q5">
        <f t="shared" si="8"/>
        <v>8</v>
      </c>
      <c r="R5">
        <f t="shared" si="1"/>
        <v>10</v>
      </c>
      <c r="S5">
        <f t="shared" si="2"/>
        <v>0.37</v>
      </c>
      <c r="T5">
        <f t="shared" si="3"/>
        <v>2.5999999999999999E-2</v>
      </c>
      <c r="V5">
        <f t="shared" si="4"/>
        <v>2.5999999999999999E-2</v>
      </c>
      <c r="W5" t="str">
        <f t="shared" si="5"/>
        <v>JLC</v>
      </c>
    </row>
    <row r="6" spans="1:24" x14ac:dyDescent="0.3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248</v>
      </c>
      <c r="G6" t="s">
        <v>294</v>
      </c>
      <c r="H6">
        <v>3.2599999999999997E-2</v>
      </c>
      <c r="I6">
        <v>2.0999999999999999E-3</v>
      </c>
      <c r="L6">
        <v>15</v>
      </c>
      <c r="M6">
        <f t="shared" si="6"/>
        <v>15</v>
      </c>
      <c r="O6">
        <f t="shared" si="0"/>
        <v>150</v>
      </c>
      <c r="P6">
        <f t="shared" si="7"/>
        <v>0</v>
      </c>
      <c r="Q6">
        <f t="shared" si="8"/>
        <v>120</v>
      </c>
      <c r="R6">
        <f t="shared" si="1"/>
        <v>150</v>
      </c>
      <c r="S6">
        <f t="shared" si="2"/>
        <v>0.315</v>
      </c>
      <c r="T6">
        <f t="shared" si="3"/>
        <v>0.315</v>
      </c>
      <c r="V6">
        <f t="shared" si="4"/>
        <v>0.315</v>
      </c>
      <c r="W6" t="str">
        <f t="shared" si="5"/>
        <v>JLC</v>
      </c>
    </row>
    <row r="7" spans="1:24" s="4" customFormat="1" x14ac:dyDescent="0.3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247</v>
      </c>
      <c r="G7" t="s">
        <v>295</v>
      </c>
      <c r="H7" s="4">
        <v>0.156</v>
      </c>
      <c r="I7" s="4">
        <v>3.9600000000000003E-2</v>
      </c>
      <c r="L7" s="4">
        <v>2</v>
      </c>
      <c r="M7" s="4">
        <f t="shared" si="6"/>
        <v>2</v>
      </c>
      <c r="O7">
        <f t="shared" si="0"/>
        <v>20</v>
      </c>
      <c r="P7">
        <f t="shared" si="7"/>
        <v>20</v>
      </c>
      <c r="Q7">
        <f t="shared" si="8"/>
        <v>16</v>
      </c>
      <c r="R7" s="4">
        <f t="shared" si="1"/>
        <v>20</v>
      </c>
      <c r="S7">
        <f t="shared" si="2"/>
        <v>0.79200000000000004</v>
      </c>
      <c r="T7" s="4">
        <f t="shared" si="3"/>
        <v>4.8319999999999999</v>
      </c>
      <c r="U7"/>
      <c r="V7">
        <f t="shared" si="4"/>
        <v>0.79200000000000004</v>
      </c>
      <c r="W7" t="str">
        <f t="shared" si="5"/>
        <v>DIGIKEY</v>
      </c>
    </row>
    <row r="8" spans="1:24" x14ac:dyDescent="0.3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246</v>
      </c>
      <c r="G8" t="s">
        <v>296</v>
      </c>
      <c r="H8">
        <v>0.317</v>
      </c>
      <c r="I8">
        <v>6.4500000000000002E-2</v>
      </c>
      <c r="L8">
        <v>4</v>
      </c>
      <c r="M8">
        <f t="shared" si="6"/>
        <v>4</v>
      </c>
      <c r="O8">
        <f t="shared" si="0"/>
        <v>40</v>
      </c>
      <c r="P8">
        <f t="shared" si="7"/>
        <v>0</v>
      </c>
      <c r="Q8">
        <f t="shared" si="8"/>
        <v>32</v>
      </c>
      <c r="R8">
        <f t="shared" si="1"/>
        <v>40</v>
      </c>
      <c r="S8">
        <f t="shared" si="2"/>
        <v>2.58</v>
      </c>
      <c r="T8">
        <f t="shared" si="3"/>
        <v>2.58</v>
      </c>
      <c r="V8">
        <f t="shared" si="4"/>
        <v>2.58</v>
      </c>
      <c r="W8" t="str">
        <f t="shared" si="5"/>
        <v>JLC</v>
      </c>
    </row>
    <row r="9" spans="1:24" x14ac:dyDescent="0.3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245</v>
      </c>
      <c r="G9" t="s">
        <v>297</v>
      </c>
      <c r="H9">
        <v>0.13200000000000001</v>
      </c>
      <c r="I9">
        <v>4.5999999999999999E-3</v>
      </c>
      <c r="L9">
        <v>3</v>
      </c>
      <c r="M9">
        <f t="shared" si="6"/>
        <v>3</v>
      </c>
      <c r="O9">
        <f t="shared" si="0"/>
        <v>30</v>
      </c>
      <c r="P9">
        <f t="shared" si="7"/>
        <v>0</v>
      </c>
      <c r="Q9">
        <f t="shared" si="8"/>
        <v>24</v>
      </c>
      <c r="R9">
        <f t="shared" si="1"/>
        <v>30</v>
      </c>
      <c r="S9">
        <f t="shared" si="2"/>
        <v>0.13800000000000001</v>
      </c>
      <c r="T9">
        <f t="shared" si="3"/>
        <v>0.13800000000000001</v>
      </c>
      <c r="V9">
        <f t="shared" si="4"/>
        <v>0.13800000000000001</v>
      </c>
      <c r="W9" t="str">
        <f t="shared" si="5"/>
        <v>JLC</v>
      </c>
    </row>
    <row r="10" spans="1:24" x14ac:dyDescent="0.3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244</v>
      </c>
      <c r="G10" t="s">
        <v>294</v>
      </c>
      <c r="H10">
        <v>4.7E-2</v>
      </c>
      <c r="I10">
        <v>2.7000000000000001E-3</v>
      </c>
      <c r="L10">
        <v>2</v>
      </c>
      <c r="M10">
        <f t="shared" si="6"/>
        <v>2</v>
      </c>
      <c r="O10">
        <f t="shared" si="0"/>
        <v>20</v>
      </c>
      <c r="P10">
        <f t="shared" si="7"/>
        <v>0</v>
      </c>
      <c r="Q10">
        <f t="shared" si="8"/>
        <v>16</v>
      </c>
      <c r="R10">
        <f t="shared" si="1"/>
        <v>20</v>
      </c>
      <c r="S10">
        <f t="shared" si="2"/>
        <v>5.4000000000000006E-2</v>
      </c>
      <c r="T10">
        <f t="shared" si="3"/>
        <v>5.4000000000000006E-2</v>
      </c>
      <c r="V10">
        <f t="shared" si="4"/>
        <v>5.4000000000000006E-2</v>
      </c>
      <c r="W10" t="str">
        <f t="shared" si="5"/>
        <v>JLC</v>
      </c>
    </row>
    <row r="11" spans="1:24" x14ac:dyDescent="0.3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243</v>
      </c>
      <c r="G11" t="s">
        <v>294</v>
      </c>
      <c r="H11">
        <v>6.4000000000000001E-2</v>
      </c>
      <c r="I11">
        <v>1.03E-2</v>
      </c>
      <c r="J11" t="s">
        <v>283</v>
      </c>
      <c r="L11">
        <v>1</v>
      </c>
      <c r="M11">
        <f t="shared" si="6"/>
        <v>1</v>
      </c>
      <c r="O11">
        <f t="shared" si="0"/>
        <v>10</v>
      </c>
      <c r="P11">
        <f t="shared" si="7"/>
        <v>10</v>
      </c>
      <c r="Q11">
        <f t="shared" si="8"/>
        <v>8</v>
      </c>
      <c r="R11">
        <f t="shared" si="1"/>
        <v>10</v>
      </c>
      <c r="S11">
        <f t="shared" si="2"/>
        <v>0.64</v>
      </c>
      <c r="T11">
        <f t="shared" si="3"/>
        <v>0.10300000000000001</v>
      </c>
      <c r="V11">
        <f t="shared" si="4"/>
        <v>0.64</v>
      </c>
      <c r="W11" t="str">
        <f t="shared" si="5"/>
        <v>DIGIKEY</v>
      </c>
    </row>
    <row r="12" spans="1:24" x14ac:dyDescent="0.3">
      <c r="A12" t="s">
        <v>40</v>
      </c>
      <c r="B12" t="s">
        <v>41</v>
      </c>
      <c r="C12" t="s">
        <v>42</v>
      </c>
      <c r="D12" t="s">
        <v>8</v>
      </c>
      <c r="E12" t="s">
        <v>331</v>
      </c>
      <c r="F12" t="s">
        <v>242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6"/>
        <v>1</v>
      </c>
      <c r="O12">
        <f t="shared" si="0"/>
        <v>10</v>
      </c>
      <c r="P12">
        <f t="shared" si="7"/>
        <v>10</v>
      </c>
      <c r="Q12">
        <f t="shared" si="8"/>
        <v>8</v>
      </c>
      <c r="R12">
        <f t="shared" si="1"/>
        <v>10</v>
      </c>
      <c r="S12">
        <f t="shared" si="2"/>
        <v>4.08</v>
      </c>
      <c r="T12">
        <f t="shared" si="3"/>
        <v>7.6630000000000003</v>
      </c>
      <c r="V12">
        <f t="shared" si="4"/>
        <v>4.08</v>
      </c>
      <c r="W12" t="str">
        <f t="shared" si="5"/>
        <v>DIGIKEY</v>
      </c>
    </row>
    <row r="13" spans="1:24" x14ac:dyDescent="0.3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241</v>
      </c>
      <c r="G13" t="s">
        <v>294</v>
      </c>
      <c r="H13">
        <v>5.8000000000000003E-2</v>
      </c>
      <c r="I13">
        <v>5.1999999999999998E-3</v>
      </c>
      <c r="L13">
        <v>2</v>
      </c>
      <c r="M13">
        <f t="shared" si="6"/>
        <v>2</v>
      </c>
      <c r="O13">
        <f t="shared" si="0"/>
        <v>20</v>
      </c>
      <c r="P13">
        <f t="shared" si="7"/>
        <v>0</v>
      </c>
      <c r="Q13">
        <f t="shared" si="8"/>
        <v>16</v>
      </c>
      <c r="R13">
        <f t="shared" si="1"/>
        <v>20</v>
      </c>
      <c r="S13">
        <f t="shared" si="2"/>
        <v>0.104</v>
      </c>
      <c r="T13">
        <f t="shared" si="3"/>
        <v>0.104</v>
      </c>
      <c r="V13">
        <f t="shared" si="4"/>
        <v>0.104</v>
      </c>
      <c r="W13" t="str">
        <f t="shared" si="5"/>
        <v>JLC</v>
      </c>
    </row>
    <row r="14" spans="1:24" x14ac:dyDescent="0.3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240</v>
      </c>
      <c r="G14" s="5">
        <v>0.62</v>
      </c>
      <c r="H14">
        <v>0.53400000000000003</v>
      </c>
      <c r="I14">
        <v>7.5300000000000006E-2</v>
      </c>
      <c r="J14" t="s">
        <v>283</v>
      </c>
      <c r="L14">
        <v>2</v>
      </c>
      <c r="M14">
        <f t="shared" si="6"/>
        <v>2</v>
      </c>
      <c r="O14">
        <f t="shared" si="0"/>
        <v>16</v>
      </c>
      <c r="P14">
        <f t="shared" si="7"/>
        <v>16</v>
      </c>
      <c r="Q14">
        <f t="shared" si="8"/>
        <v>16</v>
      </c>
      <c r="R14">
        <f t="shared" si="1"/>
        <v>20</v>
      </c>
      <c r="S14">
        <f t="shared" si="2"/>
        <v>1.2048000000000001</v>
      </c>
      <c r="T14">
        <f t="shared" si="3"/>
        <v>5.5460000000000003</v>
      </c>
      <c r="V14">
        <f t="shared" si="4"/>
        <v>1.2048000000000001</v>
      </c>
      <c r="W14" t="str">
        <f t="shared" si="5"/>
        <v>DIGIKEY</v>
      </c>
    </row>
    <row r="15" spans="1:24" x14ac:dyDescent="0.3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281</v>
      </c>
      <c r="G15" t="s">
        <v>298</v>
      </c>
      <c r="H15">
        <v>0.623</v>
      </c>
      <c r="I15">
        <v>6.5600000000000006E-2</v>
      </c>
      <c r="L15">
        <v>2</v>
      </c>
      <c r="M15">
        <f t="shared" si="6"/>
        <v>2</v>
      </c>
      <c r="O15">
        <f t="shared" si="0"/>
        <v>16</v>
      </c>
      <c r="P15">
        <f t="shared" si="7"/>
        <v>16</v>
      </c>
      <c r="Q15">
        <f t="shared" si="8"/>
        <v>16</v>
      </c>
      <c r="R15">
        <f t="shared" si="1"/>
        <v>20</v>
      </c>
      <c r="S15">
        <f t="shared" si="2"/>
        <v>1.0496000000000001</v>
      </c>
      <c r="T15">
        <f t="shared" si="3"/>
        <v>5.3520000000000003</v>
      </c>
      <c r="U15" t="s">
        <v>287</v>
      </c>
      <c r="V15">
        <f t="shared" si="4"/>
        <v>1.0496000000000001</v>
      </c>
      <c r="W15" t="str">
        <f t="shared" si="5"/>
        <v>DIGIKEY</v>
      </c>
    </row>
    <row r="16" spans="1:24" x14ac:dyDescent="0.3">
      <c r="A16" t="s">
        <v>51</v>
      </c>
      <c r="B16" t="s">
        <v>52</v>
      </c>
      <c r="C16" t="s">
        <v>53</v>
      </c>
      <c r="D16" t="s">
        <v>8</v>
      </c>
      <c r="E16" t="s">
        <v>54</v>
      </c>
      <c r="F16" t="s">
        <v>239</v>
      </c>
      <c r="G16" t="s">
        <v>299</v>
      </c>
      <c r="H16">
        <v>0.53</v>
      </c>
      <c r="I16">
        <v>0.1038</v>
      </c>
      <c r="L16">
        <v>1</v>
      </c>
      <c r="M16">
        <f t="shared" si="6"/>
        <v>1</v>
      </c>
      <c r="O16">
        <f t="shared" si="0"/>
        <v>10</v>
      </c>
      <c r="P16">
        <f t="shared" si="7"/>
        <v>0</v>
      </c>
      <c r="Q16">
        <f t="shared" si="8"/>
        <v>8</v>
      </c>
      <c r="R16">
        <f t="shared" si="1"/>
        <v>10</v>
      </c>
      <c r="S16">
        <f t="shared" si="2"/>
        <v>5.3000000000000007</v>
      </c>
      <c r="T16">
        <f t="shared" si="3"/>
        <v>5.0780000000000003</v>
      </c>
      <c r="V16">
        <f t="shared" si="4"/>
        <v>5.0780000000000003</v>
      </c>
      <c r="W16" t="str">
        <f t="shared" si="5"/>
        <v>JLC</v>
      </c>
    </row>
    <row r="17" spans="1:25" x14ac:dyDescent="0.3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238</v>
      </c>
      <c r="G17" s="5">
        <v>0.39</v>
      </c>
      <c r="H17">
        <v>0.216</v>
      </c>
      <c r="I17">
        <v>1.2200000000000001E-2</v>
      </c>
      <c r="L17">
        <v>1</v>
      </c>
      <c r="M17">
        <f t="shared" si="6"/>
        <v>1</v>
      </c>
      <c r="O17">
        <f t="shared" si="0"/>
        <v>10</v>
      </c>
      <c r="P17">
        <f t="shared" si="7"/>
        <v>0</v>
      </c>
      <c r="Q17">
        <f t="shared" si="8"/>
        <v>8</v>
      </c>
      <c r="R17">
        <f t="shared" si="1"/>
        <v>10</v>
      </c>
      <c r="S17">
        <f t="shared" si="2"/>
        <v>2.16</v>
      </c>
      <c r="T17">
        <f t="shared" si="3"/>
        <v>0.12200000000000001</v>
      </c>
      <c r="V17">
        <f t="shared" si="4"/>
        <v>0.12200000000000001</v>
      </c>
      <c r="W17" t="str">
        <f t="shared" si="5"/>
        <v>JLC</v>
      </c>
    </row>
    <row r="18" spans="1:25" x14ac:dyDescent="0.3">
      <c r="A18" t="s">
        <v>59</v>
      </c>
      <c r="B18" t="s">
        <v>60</v>
      </c>
      <c r="C18" t="s">
        <v>53</v>
      </c>
      <c r="D18" t="s">
        <v>8</v>
      </c>
      <c r="E18" t="s">
        <v>61</v>
      </c>
      <c r="F18" t="s">
        <v>237</v>
      </c>
      <c r="G18" t="s">
        <v>299</v>
      </c>
      <c r="H18">
        <v>0.47399999999999998</v>
      </c>
      <c r="I18">
        <v>8.3299999999999999E-2</v>
      </c>
      <c r="L18">
        <v>1</v>
      </c>
      <c r="M18">
        <f t="shared" si="6"/>
        <v>1</v>
      </c>
      <c r="O18">
        <f t="shared" si="0"/>
        <v>10</v>
      </c>
      <c r="P18">
        <f t="shared" si="7"/>
        <v>0</v>
      </c>
      <c r="Q18">
        <f t="shared" si="8"/>
        <v>8</v>
      </c>
      <c r="R18">
        <f t="shared" si="1"/>
        <v>10</v>
      </c>
      <c r="S18">
        <f t="shared" si="2"/>
        <v>4.74</v>
      </c>
      <c r="T18">
        <f t="shared" si="3"/>
        <v>4.8730000000000002</v>
      </c>
      <c r="U18" t="s">
        <v>321</v>
      </c>
      <c r="V18">
        <f t="shared" si="4"/>
        <v>4.8730000000000002</v>
      </c>
      <c r="W18" t="str">
        <f t="shared" si="5"/>
        <v>JLC</v>
      </c>
    </row>
    <row r="19" spans="1:25" x14ac:dyDescent="0.3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236</v>
      </c>
      <c r="G19" s="5">
        <v>0.39</v>
      </c>
      <c r="H19">
        <v>0.216</v>
      </c>
      <c r="I19">
        <v>1.2699999999999999E-2</v>
      </c>
      <c r="L19">
        <v>3</v>
      </c>
      <c r="M19">
        <f t="shared" si="6"/>
        <v>3</v>
      </c>
      <c r="O19">
        <f t="shared" si="0"/>
        <v>30</v>
      </c>
      <c r="P19">
        <f t="shared" si="7"/>
        <v>0</v>
      </c>
      <c r="Q19">
        <f t="shared" si="8"/>
        <v>24</v>
      </c>
      <c r="R19">
        <f t="shared" si="1"/>
        <v>30</v>
      </c>
      <c r="S19">
        <f t="shared" si="2"/>
        <v>0.38100000000000001</v>
      </c>
      <c r="T19">
        <f t="shared" si="3"/>
        <v>0.38100000000000001</v>
      </c>
      <c r="V19">
        <f t="shared" si="4"/>
        <v>0.38100000000000001</v>
      </c>
      <c r="W19" t="str">
        <f t="shared" si="5"/>
        <v>JLC</v>
      </c>
    </row>
    <row r="20" spans="1:25" x14ac:dyDescent="0.3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235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6"/>
        <v>1</v>
      </c>
      <c r="O20">
        <f t="shared" si="0"/>
        <v>10</v>
      </c>
      <c r="P20">
        <f t="shared" si="7"/>
        <v>0</v>
      </c>
      <c r="Q20">
        <f t="shared" si="8"/>
        <v>8</v>
      </c>
      <c r="R20">
        <f t="shared" si="1"/>
        <v>10</v>
      </c>
      <c r="S20">
        <f t="shared" si="2"/>
        <v>2.0100000000000002</v>
      </c>
      <c r="T20">
        <f t="shared" si="3"/>
        <v>9.5999999999999988E-2</v>
      </c>
      <c r="V20">
        <f t="shared" si="4"/>
        <v>9.5999999999999988E-2</v>
      </c>
      <c r="W20" t="str">
        <f t="shared" si="5"/>
        <v>JLC</v>
      </c>
    </row>
    <row r="21" spans="1:25" x14ac:dyDescent="0.3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234</v>
      </c>
      <c r="G21" s="5">
        <v>0.39</v>
      </c>
      <c r="H21">
        <v>0.20100000000000001</v>
      </c>
      <c r="I21">
        <v>1.95E-2</v>
      </c>
      <c r="L21">
        <v>2</v>
      </c>
      <c r="M21">
        <f t="shared" si="6"/>
        <v>2</v>
      </c>
      <c r="O21">
        <f t="shared" si="0"/>
        <v>20</v>
      </c>
      <c r="P21">
        <f t="shared" si="7"/>
        <v>0</v>
      </c>
      <c r="Q21">
        <f t="shared" si="8"/>
        <v>16</v>
      </c>
      <c r="R21">
        <f t="shared" si="1"/>
        <v>20</v>
      </c>
      <c r="S21">
        <f t="shared" si="2"/>
        <v>0.39</v>
      </c>
      <c r="T21">
        <f t="shared" si="3"/>
        <v>0.39</v>
      </c>
      <c r="V21">
        <f t="shared" si="4"/>
        <v>0.39</v>
      </c>
      <c r="W21" t="str">
        <f t="shared" si="5"/>
        <v>JLC</v>
      </c>
    </row>
    <row r="22" spans="1:25" x14ac:dyDescent="0.3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300</v>
      </c>
      <c r="H22">
        <v>0.436</v>
      </c>
      <c r="I22">
        <v>0.63</v>
      </c>
      <c r="J22" t="s">
        <v>283</v>
      </c>
      <c r="L22">
        <v>1</v>
      </c>
      <c r="M22">
        <f t="shared" si="6"/>
        <v>1</v>
      </c>
      <c r="O22">
        <f t="shared" si="0"/>
        <v>10</v>
      </c>
      <c r="P22">
        <f t="shared" si="7"/>
        <v>10</v>
      </c>
      <c r="Q22">
        <f t="shared" si="8"/>
        <v>8</v>
      </c>
      <c r="R22">
        <f t="shared" si="1"/>
        <v>10</v>
      </c>
      <c r="S22">
        <f t="shared" si="2"/>
        <v>4.3600000000000003</v>
      </c>
      <c r="T22" t="str">
        <f t="shared" si="3"/>
        <v>EMPTY</v>
      </c>
      <c r="V22">
        <f t="shared" si="4"/>
        <v>4.3600000000000003</v>
      </c>
      <c r="W22" t="str">
        <f t="shared" si="5"/>
        <v>DIGIKEY</v>
      </c>
    </row>
    <row r="23" spans="1:25" x14ac:dyDescent="0.3">
      <c r="A23" t="s">
        <v>73</v>
      </c>
      <c r="B23" t="s">
        <v>255</v>
      </c>
      <c r="C23" t="s">
        <v>74</v>
      </c>
      <c r="D23" t="s">
        <v>12</v>
      </c>
      <c r="E23" t="s">
        <v>255</v>
      </c>
      <c r="F23" t="s">
        <v>233</v>
      </c>
      <c r="G23" s="5">
        <v>0.17</v>
      </c>
      <c r="H23">
        <v>0.122</v>
      </c>
      <c r="I23">
        <v>0.1038</v>
      </c>
      <c r="J23" t="s">
        <v>283</v>
      </c>
      <c r="L23">
        <v>1</v>
      </c>
      <c r="M23">
        <f t="shared" si="6"/>
        <v>1</v>
      </c>
      <c r="O23">
        <f t="shared" si="0"/>
        <v>10</v>
      </c>
      <c r="P23">
        <f t="shared" si="7"/>
        <v>10</v>
      </c>
      <c r="Q23">
        <f t="shared" si="8"/>
        <v>8</v>
      </c>
      <c r="R23">
        <f t="shared" si="1"/>
        <v>10</v>
      </c>
      <c r="S23">
        <f t="shared" si="2"/>
        <v>1.22</v>
      </c>
      <c r="T23">
        <f t="shared" si="3"/>
        <v>1.038</v>
      </c>
      <c r="V23">
        <f t="shared" si="4"/>
        <v>1.22</v>
      </c>
      <c r="W23" t="str">
        <f t="shared" si="5"/>
        <v>DIGIKEY</v>
      </c>
    </row>
    <row r="24" spans="1:25" x14ac:dyDescent="0.3">
      <c r="A24" t="s">
        <v>75</v>
      </c>
      <c r="B24" t="s">
        <v>76</v>
      </c>
      <c r="C24" t="s">
        <v>77</v>
      </c>
      <c r="D24" t="s">
        <v>8</v>
      </c>
      <c r="E24" t="s">
        <v>76</v>
      </c>
      <c r="F24" t="s">
        <v>232</v>
      </c>
      <c r="G24" s="5">
        <v>1.54</v>
      </c>
      <c r="H24">
        <v>1.4</v>
      </c>
      <c r="I24">
        <v>9.9199999999999997E-2</v>
      </c>
      <c r="L24">
        <v>1</v>
      </c>
      <c r="M24">
        <f t="shared" si="6"/>
        <v>1</v>
      </c>
      <c r="O24">
        <f t="shared" si="0"/>
        <v>8</v>
      </c>
      <c r="P24">
        <f t="shared" si="7"/>
        <v>0</v>
      </c>
      <c r="Q24">
        <f t="shared" si="8"/>
        <v>8</v>
      </c>
      <c r="R24">
        <f t="shared" si="1"/>
        <v>10</v>
      </c>
      <c r="S24">
        <f t="shared" si="2"/>
        <v>11.2</v>
      </c>
      <c r="T24">
        <f t="shared" si="3"/>
        <v>5.032</v>
      </c>
      <c r="V24">
        <f t="shared" si="4"/>
        <v>5.032</v>
      </c>
      <c r="W24" t="str">
        <f t="shared" si="5"/>
        <v>JLC</v>
      </c>
    </row>
    <row r="25" spans="1:25" x14ac:dyDescent="0.3">
      <c r="A25" t="s">
        <v>78</v>
      </c>
      <c r="B25" t="s">
        <v>79</v>
      </c>
      <c r="C25" t="s">
        <v>80</v>
      </c>
      <c r="E25" t="s">
        <v>81</v>
      </c>
      <c r="G25" t="s">
        <v>301</v>
      </c>
      <c r="H25">
        <v>0.23200000000000001</v>
      </c>
      <c r="I25">
        <v>0.31</v>
      </c>
      <c r="K25">
        <v>1</v>
      </c>
      <c r="L25">
        <v>1</v>
      </c>
      <c r="M25">
        <f t="shared" si="6"/>
        <v>0</v>
      </c>
      <c r="O25">
        <f t="shared" si="0"/>
        <v>0</v>
      </c>
      <c r="P25">
        <f t="shared" si="7"/>
        <v>0</v>
      </c>
      <c r="Q25">
        <f t="shared" si="8"/>
        <v>0</v>
      </c>
      <c r="R25">
        <f t="shared" si="1"/>
        <v>0</v>
      </c>
      <c r="S25">
        <f t="shared" si="2"/>
        <v>0</v>
      </c>
      <c r="T25" t="str">
        <f t="shared" si="3"/>
        <v>EMPTY</v>
      </c>
      <c r="V25">
        <f t="shared" si="4"/>
        <v>0</v>
      </c>
      <c r="W25" t="str">
        <f t="shared" si="5"/>
        <v>DIGIKEY</v>
      </c>
    </row>
    <row r="26" spans="1:25" x14ac:dyDescent="0.3">
      <c r="A26" t="s">
        <v>82</v>
      </c>
      <c r="B26" t="s">
        <v>83</v>
      </c>
      <c r="C26" t="s">
        <v>84</v>
      </c>
      <c r="E26" t="s">
        <v>85</v>
      </c>
      <c r="G26" t="s">
        <v>302</v>
      </c>
      <c r="H26">
        <v>1.3140000000000001</v>
      </c>
      <c r="I26">
        <v>1.61</v>
      </c>
      <c r="L26">
        <v>1</v>
      </c>
      <c r="M26">
        <f t="shared" si="6"/>
        <v>1</v>
      </c>
      <c r="O26">
        <f t="shared" si="0"/>
        <v>8</v>
      </c>
      <c r="P26">
        <f t="shared" si="7"/>
        <v>8</v>
      </c>
      <c r="Q26">
        <f t="shared" si="8"/>
        <v>8</v>
      </c>
      <c r="R26">
        <f t="shared" si="1"/>
        <v>10</v>
      </c>
      <c r="S26">
        <f t="shared" si="2"/>
        <v>10.512</v>
      </c>
      <c r="T26" t="str">
        <f t="shared" si="3"/>
        <v>EMPTY</v>
      </c>
      <c r="V26">
        <f t="shared" si="4"/>
        <v>10.512</v>
      </c>
      <c r="W26" t="str">
        <f t="shared" si="5"/>
        <v>DIGIKEY</v>
      </c>
    </row>
    <row r="27" spans="1:25" x14ac:dyDescent="0.3">
      <c r="A27" t="s">
        <v>86</v>
      </c>
      <c r="B27" t="s">
        <v>87</v>
      </c>
      <c r="C27" t="s">
        <v>88</v>
      </c>
      <c r="E27" t="s">
        <v>89</v>
      </c>
      <c r="G27" t="s">
        <v>303</v>
      </c>
      <c r="H27">
        <v>0.60599999999999998</v>
      </c>
      <c r="I27">
        <v>0.31</v>
      </c>
      <c r="L27">
        <v>1</v>
      </c>
      <c r="M27">
        <f t="shared" si="6"/>
        <v>1</v>
      </c>
      <c r="O27">
        <f t="shared" si="0"/>
        <v>8</v>
      </c>
      <c r="P27">
        <f t="shared" si="7"/>
        <v>8</v>
      </c>
      <c r="Q27">
        <f t="shared" si="8"/>
        <v>8</v>
      </c>
      <c r="R27">
        <f t="shared" si="1"/>
        <v>10</v>
      </c>
      <c r="S27">
        <f t="shared" si="2"/>
        <v>4.8479999999999999</v>
      </c>
      <c r="T27" t="str">
        <f t="shared" si="3"/>
        <v>EMPTY</v>
      </c>
      <c r="V27">
        <f t="shared" si="4"/>
        <v>4.8479999999999999</v>
      </c>
      <c r="W27" t="str">
        <f t="shared" si="5"/>
        <v>DIGIKEY</v>
      </c>
    </row>
    <row r="28" spans="1:25" x14ac:dyDescent="0.3">
      <c r="A28" t="s">
        <v>90</v>
      </c>
      <c r="B28" t="s">
        <v>91</v>
      </c>
      <c r="C28" t="s">
        <v>92</v>
      </c>
      <c r="E28" t="s">
        <v>258</v>
      </c>
      <c r="G28" t="s">
        <v>304</v>
      </c>
      <c r="H28">
        <v>0.30599999999999999</v>
      </c>
      <c r="K28">
        <v>1</v>
      </c>
      <c r="L28">
        <v>1</v>
      </c>
      <c r="M28">
        <f t="shared" si="6"/>
        <v>0</v>
      </c>
      <c r="O28">
        <f t="shared" si="0"/>
        <v>0</v>
      </c>
      <c r="P28">
        <f t="shared" si="7"/>
        <v>0</v>
      </c>
      <c r="Q28">
        <f t="shared" si="8"/>
        <v>0</v>
      </c>
      <c r="R28">
        <f t="shared" si="1"/>
        <v>0</v>
      </c>
      <c r="S28">
        <f t="shared" si="2"/>
        <v>0</v>
      </c>
      <c r="T28" t="str">
        <f t="shared" si="3"/>
        <v>EMPTY</v>
      </c>
      <c r="V28">
        <f t="shared" si="4"/>
        <v>0</v>
      </c>
      <c r="W28" t="str">
        <f t="shared" si="5"/>
        <v>DIGIKEY</v>
      </c>
    </row>
    <row r="29" spans="1:25" x14ac:dyDescent="0.3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259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6"/>
        <v>2</v>
      </c>
      <c r="O29">
        <f t="shared" si="0"/>
        <v>20</v>
      </c>
      <c r="P29">
        <f t="shared" si="7"/>
        <v>0</v>
      </c>
      <c r="Q29">
        <f t="shared" si="8"/>
        <v>16</v>
      </c>
      <c r="R29">
        <f t="shared" si="1"/>
        <v>20</v>
      </c>
      <c r="S29">
        <f t="shared" si="2"/>
        <v>0.25600000000000001</v>
      </c>
      <c r="T29">
        <f t="shared" si="3"/>
        <v>0.25600000000000001</v>
      </c>
      <c r="V29">
        <f t="shared" si="4"/>
        <v>0.25600000000000001</v>
      </c>
      <c r="W29" t="str">
        <f t="shared" si="5"/>
        <v>JLC</v>
      </c>
    </row>
    <row r="30" spans="1:25" x14ac:dyDescent="0.3">
      <c r="A30" t="s">
        <v>96</v>
      </c>
      <c r="B30" t="s">
        <v>260</v>
      </c>
      <c r="C30" t="s">
        <v>97</v>
      </c>
      <c r="D30" t="s">
        <v>8</v>
      </c>
      <c r="E30" t="s">
        <v>260</v>
      </c>
      <c r="F30" t="s">
        <v>231</v>
      </c>
      <c r="G30" t="s">
        <v>305</v>
      </c>
      <c r="H30">
        <v>1.17</v>
      </c>
      <c r="I30">
        <v>0.46500000000000002</v>
      </c>
      <c r="L30">
        <v>1</v>
      </c>
      <c r="M30">
        <f t="shared" si="6"/>
        <v>1</v>
      </c>
      <c r="O30">
        <f t="shared" si="0"/>
        <v>8</v>
      </c>
      <c r="P30">
        <f t="shared" si="7"/>
        <v>0</v>
      </c>
      <c r="Q30">
        <f t="shared" si="8"/>
        <v>8</v>
      </c>
      <c r="R30">
        <f t="shared" si="1"/>
        <v>10</v>
      </c>
      <c r="S30">
        <f t="shared" si="2"/>
        <v>9.36</v>
      </c>
      <c r="T30">
        <f t="shared" si="3"/>
        <v>8.6900000000000013</v>
      </c>
      <c r="V30">
        <f t="shared" si="4"/>
        <v>8.6900000000000013</v>
      </c>
      <c r="W30" t="str">
        <f t="shared" si="5"/>
        <v>JLC</v>
      </c>
    </row>
    <row r="31" spans="1:25" x14ac:dyDescent="0.3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230</v>
      </c>
      <c r="G31" t="s">
        <v>306</v>
      </c>
      <c r="H31">
        <v>6.22</v>
      </c>
      <c r="I31">
        <v>4.0393999999999997</v>
      </c>
      <c r="L31">
        <v>2</v>
      </c>
      <c r="M31">
        <f t="shared" si="6"/>
        <v>2</v>
      </c>
      <c r="N31">
        <v>8</v>
      </c>
      <c r="O31">
        <f t="shared" si="0"/>
        <v>8</v>
      </c>
      <c r="P31">
        <f t="shared" si="7"/>
        <v>8</v>
      </c>
      <c r="Q31">
        <f t="shared" si="8"/>
        <v>16</v>
      </c>
      <c r="R31">
        <f t="shared" si="1"/>
        <v>12</v>
      </c>
      <c r="S31">
        <f t="shared" si="2"/>
        <v>49.76</v>
      </c>
      <c r="T31">
        <f t="shared" si="3"/>
        <v>52.512799999999991</v>
      </c>
      <c r="U31" t="s">
        <v>287</v>
      </c>
      <c r="V31">
        <f t="shared" si="4"/>
        <v>49.76</v>
      </c>
      <c r="W31" t="str">
        <f t="shared" si="5"/>
        <v>DIGIKEY</v>
      </c>
      <c r="X31" t="s">
        <v>332</v>
      </c>
      <c r="Y31" t="s">
        <v>334</v>
      </c>
    </row>
    <row r="32" spans="1:25" x14ac:dyDescent="0.3">
      <c r="A32" t="s">
        <v>101</v>
      </c>
      <c r="B32" s="1" t="s">
        <v>102</v>
      </c>
      <c r="C32" t="s">
        <v>95</v>
      </c>
      <c r="E32" t="s">
        <v>102</v>
      </c>
      <c r="F32" t="s">
        <v>229</v>
      </c>
      <c r="G32" t="s">
        <v>307</v>
      </c>
      <c r="H32">
        <v>0.65</v>
      </c>
      <c r="J32" t="s">
        <v>283</v>
      </c>
      <c r="L32">
        <v>1</v>
      </c>
      <c r="M32">
        <f t="shared" si="6"/>
        <v>1</v>
      </c>
      <c r="O32">
        <f t="shared" si="0"/>
        <v>8</v>
      </c>
      <c r="P32">
        <f t="shared" si="7"/>
        <v>8</v>
      </c>
      <c r="Q32">
        <f t="shared" si="8"/>
        <v>8</v>
      </c>
      <c r="R32">
        <f t="shared" si="1"/>
        <v>10</v>
      </c>
      <c r="S32">
        <f t="shared" si="2"/>
        <v>5.2</v>
      </c>
      <c r="T32" t="str">
        <f t="shared" si="3"/>
        <v>EMPTY</v>
      </c>
      <c r="V32">
        <f t="shared" si="4"/>
        <v>5.2</v>
      </c>
      <c r="W32" t="str">
        <f t="shared" si="5"/>
        <v>DIGIKEY</v>
      </c>
    </row>
    <row r="33" spans="1:23" x14ac:dyDescent="0.3">
      <c r="A33" t="s">
        <v>103</v>
      </c>
      <c r="B33" t="s">
        <v>104</v>
      </c>
      <c r="C33" t="s">
        <v>97</v>
      </c>
      <c r="E33" t="s">
        <v>104</v>
      </c>
      <c r="G33" t="s">
        <v>308</v>
      </c>
      <c r="H33">
        <v>0.65300000000000002</v>
      </c>
      <c r="J33" t="s">
        <v>283</v>
      </c>
      <c r="L33">
        <v>1</v>
      </c>
      <c r="M33">
        <f t="shared" si="6"/>
        <v>1</v>
      </c>
      <c r="O33">
        <f t="shared" si="0"/>
        <v>8</v>
      </c>
      <c r="P33">
        <f t="shared" si="7"/>
        <v>8</v>
      </c>
      <c r="Q33">
        <f t="shared" si="8"/>
        <v>8</v>
      </c>
      <c r="R33">
        <f t="shared" si="1"/>
        <v>10</v>
      </c>
      <c r="S33">
        <f t="shared" si="2"/>
        <v>5.2240000000000002</v>
      </c>
      <c r="T33" t="str">
        <f>IF(ISBLANK(D33),"EMPTY",(H33*R33+IF(D33="yes",4.04,0)))</f>
        <v>EMPTY</v>
      </c>
      <c r="V33">
        <f t="shared" si="4"/>
        <v>5.2240000000000002</v>
      </c>
      <c r="W33" t="str">
        <f t="shared" si="5"/>
        <v>DIGIKEY</v>
      </c>
    </row>
    <row r="34" spans="1:23" x14ac:dyDescent="0.3">
      <c r="A34" t="s">
        <v>284</v>
      </c>
      <c r="B34" t="s">
        <v>106</v>
      </c>
      <c r="C34" t="s">
        <v>107</v>
      </c>
      <c r="D34" t="s">
        <v>12</v>
      </c>
      <c r="E34" t="s">
        <v>108</v>
      </c>
      <c r="F34" t="s">
        <v>228</v>
      </c>
      <c r="G34" s="5">
        <v>0.15</v>
      </c>
      <c r="H34">
        <v>2.3E-2</v>
      </c>
      <c r="I34">
        <v>8.9999999999999998E-4</v>
      </c>
      <c r="L34">
        <v>5</v>
      </c>
      <c r="M34">
        <f t="shared" si="6"/>
        <v>5</v>
      </c>
      <c r="O34">
        <f t="shared" si="0"/>
        <v>50</v>
      </c>
      <c r="P34">
        <f t="shared" si="7"/>
        <v>0</v>
      </c>
      <c r="Q34">
        <f t="shared" si="8"/>
        <v>40</v>
      </c>
      <c r="R34">
        <f t="shared" ref="R34:R65" si="9">M34*10-N34</f>
        <v>50</v>
      </c>
      <c r="S34">
        <f t="shared" si="2"/>
        <v>4.4999999999999998E-2</v>
      </c>
      <c r="T34">
        <f t="shared" ref="T34:T65" si="10">IF(ISBLANK(D34),"EMPTY",(I34*R34+IF(D34="yes",4.04,0)))</f>
        <v>4.4999999999999998E-2</v>
      </c>
      <c r="V34">
        <f t="shared" ref="V34:V65" si="11">IF(T34="EMPTY",S34,IF(J34="Bottom",S34,IF(U34="DIGIKEY",S34,IF(U34="JLC",T34,IF(T34&lt;S34+0.2,T34,S34)))))</f>
        <v>4.4999999999999998E-2</v>
      </c>
      <c r="W34" t="str">
        <f t="shared" ref="W34:W66" si="12">IF(T34="EMPTY","DIGIKEY",IF(J34="Bottom","DIGIKEY",IF(U34="DIGIKEY",U34,IF(U34="JLC",U34,IF(T34&lt;S34+0.2,"JLC","DIGIKEY")))))</f>
        <v>JLC</v>
      </c>
    </row>
    <row r="35" spans="1:23" x14ac:dyDescent="0.3">
      <c r="A35" t="s">
        <v>285</v>
      </c>
      <c r="B35" t="s">
        <v>106</v>
      </c>
      <c r="C35" t="s">
        <v>107</v>
      </c>
      <c r="D35" t="s">
        <v>12</v>
      </c>
      <c r="E35" t="s">
        <v>108</v>
      </c>
      <c r="F35" t="s">
        <v>228</v>
      </c>
      <c r="G35" s="5">
        <v>0.15</v>
      </c>
      <c r="H35">
        <v>2.3E-2</v>
      </c>
      <c r="I35">
        <v>8.9999999999999998E-4</v>
      </c>
      <c r="J35" t="s">
        <v>283</v>
      </c>
      <c r="L35">
        <v>1</v>
      </c>
      <c r="M35">
        <f t="shared" si="6"/>
        <v>1</v>
      </c>
      <c r="O35">
        <f t="shared" si="0"/>
        <v>10</v>
      </c>
      <c r="P35">
        <f t="shared" si="7"/>
        <v>10</v>
      </c>
      <c r="Q35">
        <f t="shared" si="8"/>
        <v>8</v>
      </c>
      <c r="R35">
        <f t="shared" si="9"/>
        <v>10</v>
      </c>
      <c r="S35">
        <f t="shared" si="2"/>
        <v>0.22999999999999998</v>
      </c>
      <c r="T35">
        <f t="shared" si="10"/>
        <v>8.9999999999999993E-3</v>
      </c>
      <c r="V35">
        <f t="shared" si="11"/>
        <v>0.22999999999999998</v>
      </c>
      <c r="W35" t="str">
        <f t="shared" si="12"/>
        <v>DIGIKEY</v>
      </c>
    </row>
    <row r="36" spans="1:23" x14ac:dyDescent="0.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227</v>
      </c>
      <c r="G36" s="5">
        <v>0.15</v>
      </c>
      <c r="H36">
        <v>2.3E-2</v>
      </c>
      <c r="I36">
        <v>8.0000000000000004E-4</v>
      </c>
      <c r="L36">
        <v>9</v>
      </c>
      <c r="M36">
        <f t="shared" si="6"/>
        <v>9</v>
      </c>
      <c r="O36">
        <f t="shared" si="0"/>
        <v>90</v>
      </c>
      <c r="P36">
        <f t="shared" si="7"/>
        <v>0</v>
      </c>
      <c r="Q36">
        <f t="shared" si="8"/>
        <v>72</v>
      </c>
      <c r="R36">
        <f t="shared" si="9"/>
        <v>90</v>
      </c>
      <c r="S36">
        <f t="shared" si="2"/>
        <v>7.2000000000000008E-2</v>
      </c>
      <c r="T36">
        <f t="shared" si="10"/>
        <v>7.2000000000000008E-2</v>
      </c>
      <c r="V36">
        <f t="shared" si="11"/>
        <v>7.2000000000000008E-2</v>
      </c>
      <c r="W36" t="str">
        <f t="shared" si="12"/>
        <v>JLC</v>
      </c>
    </row>
    <row r="37" spans="1:23" x14ac:dyDescent="0.3">
      <c r="A37" t="s">
        <v>112</v>
      </c>
      <c r="B37" t="s">
        <v>113</v>
      </c>
      <c r="C37" t="s">
        <v>107</v>
      </c>
      <c r="E37" t="s">
        <v>325</v>
      </c>
      <c r="F37" t="s">
        <v>226</v>
      </c>
      <c r="G37" s="5">
        <v>0.15</v>
      </c>
      <c r="H37">
        <v>2.3E-2</v>
      </c>
      <c r="I37">
        <v>1E-3</v>
      </c>
      <c r="L37">
        <v>1</v>
      </c>
      <c r="M37">
        <f t="shared" si="6"/>
        <v>1</v>
      </c>
      <c r="O37">
        <f t="shared" si="0"/>
        <v>10</v>
      </c>
      <c r="P37">
        <f t="shared" si="7"/>
        <v>10</v>
      </c>
      <c r="Q37">
        <f t="shared" si="8"/>
        <v>8</v>
      </c>
      <c r="R37">
        <f t="shared" si="9"/>
        <v>10</v>
      </c>
      <c r="S37">
        <f t="shared" si="2"/>
        <v>0.22999999999999998</v>
      </c>
      <c r="T37" t="str">
        <f t="shared" si="10"/>
        <v>EMPTY</v>
      </c>
      <c r="V37">
        <f t="shared" si="11"/>
        <v>0.22999999999999998</v>
      </c>
      <c r="W37" t="str">
        <f t="shared" si="12"/>
        <v>DIGIKEY</v>
      </c>
    </row>
    <row r="38" spans="1:23" x14ac:dyDescent="0.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225</v>
      </c>
      <c r="G38" s="5">
        <v>0.15</v>
      </c>
      <c r="H38">
        <v>2.3E-2</v>
      </c>
      <c r="I38">
        <v>1E-3</v>
      </c>
      <c r="L38">
        <v>2</v>
      </c>
      <c r="M38">
        <f t="shared" si="6"/>
        <v>2</v>
      </c>
      <c r="O38">
        <f t="shared" si="0"/>
        <v>20</v>
      </c>
      <c r="P38">
        <f t="shared" si="7"/>
        <v>0</v>
      </c>
      <c r="Q38">
        <f t="shared" si="8"/>
        <v>16</v>
      </c>
      <c r="R38">
        <f t="shared" si="9"/>
        <v>20</v>
      </c>
      <c r="S38">
        <f t="shared" si="2"/>
        <v>0.02</v>
      </c>
      <c r="T38">
        <f t="shared" si="10"/>
        <v>0.02</v>
      </c>
      <c r="V38">
        <f t="shared" si="11"/>
        <v>0.02</v>
      </c>
      <c r="W38" t="str">
        <f t="shared" si="12"/>
        <v>JLC</v>
      </c>
    </row>
    <row r="39" spans="1:23" x14ac:dyDescent="0.3">
      <c r="A39" t="s">
        <v>117</v>
      </c>
      <c r="B39" t="s">
        <v>118</v>
      </c>
      <c r="C39" t="s">
        <v>107</v>
      </c>
      <c r="E39" t="s">
        <v>119</v>
      </c>
      <c r="F39" t="s">
        <v>224</v>
      </c>
      <c r="G39" s="5">
        <v>0.15</v>
      </c>
      <c r="H39">
        <v>2.3E-2</v>
      </c>
      <c r="I39">
        <v>8.9999999999999998E-4</v>
      </c>
      <c r="L39">
        <v>1</v>
      </c>
      <c r="M39">
        <f t="shared" si="6"/>
        <v>1</v>
      </c>
      <c r="O39">
        <f t="shared" si="0"/>
        <v>10</v>
      </c>
      <c r="P39">
        <f t="shared" si="7"/>
        <v>10</v>
      </c>
      <c r="Q39">
        <f t="shared" si="8"/>
        <v>8</v>
      </c>
      <c r="R39">
        <f t="shared" si="9"/>
        <v>10</v>
      </c>
      <c r="S39">
        <f t="shared" si="2"/>
        <v>0.22999999999999998</v>
      </c>
      <c r="T39" t="str">
        <f t="shared" si="10"/>
        <v>EMPTY</v>
      </c>
      <c r="V39">
        <f t="shared" si="11"/>
        <v>0.22999999999999998</v>
      </c>
      <c r="W39" t="str">
        <f t="shared" si="12"/>
        <v>DIGIKEY</v>
      </c>
    </row>
    <row r="40" spans="1:23" x14ac:dyDescent="0.3">
      <c r="A40" t="s">
        <v>120</v>
      </c>
      <c r="B40" t="s">
        <v>121</v>
      </c>
      <c r="C40" t="s">
        <v>107</v>
      </c>
      <c r="E40" t="s">
        <v>122</v>
      </c>
      <c r="F40" t="s">
        <v>223</v>
      </c>
      <c r="G40" s="5">
        <v>0.15</v>
      </c>
      <c r="H40">
        <v>2.3E-2</v>
      </c>
      <c r="I40">
        <v>1E-3</v>
      </c>
      <c r="L40">
        <v>1</v>
      </c>
      <c r="M40">
        <f t="shared" si="6"/>
        <v>1</v>
      </c>
      <c r="O40">
        <f t="shared" si="0"/>
        <v>10</v>
      </c>
      <c r="P40">
        <f t="shared" si="7"/>
        <v>10</v>
      </c>
      <c r="Q40">
        <f t="shared" si="8"/>
        <v>8</v>
      </c>
      <c r="R40">
        <f t="shared" si="9"/>
        <v>10</v>
      </c>
      <c r="S40">
        <f t="shared" si="2"/>
        <v>0.22999999999999998</v>
      </c>
      <c r="T40" t="str">
        <f t="shared" si="10"/>
        <v>EMPTY</v>
      </c>
      <c r="V40">
        <f t="shared" si="11"/>
        <v>0.22999999999999998</v>
      </c>
      <c r="W40" t="str">
        <f t="shared" si="12"/>
        <v>DIGIKEY</v>
      </c>
    </row>
    <row r="41" spans="1:23" x14ac:dyDescent="0.3">
      <c r="A41" t="s">
        <v>123</v>
      </c>
      <c r="B41" t="s">
        <v>124</v>
      </c>
      <c r="C41" t="s">
        <v>125</v>
      </c>
      <c r="E41" t="s">
        <v>326</v>
      </c>
      <c r="F41" t="s">
        <v>222</v>
      </c>
      <c r="G41" t="s">
        <v>309</v>
      </c>
      <c r="H41">
        <v>0.70499999999999996</v>
      </c>
      <c r="I41">
        <v>6.9500000000000006E-2</v>
      </c>
      <c r="L41">
        <v>1</v>
      </c>
      <c r="M41">
        <f t="shared" si="6"/>
        <v>1</v>
      </c>
      <c r="O41">
        <f t="shared" si="0"/>
        <v>10</v>
      </c>
      <c r="P41">
        <f t="shared" si="7"/>
        <v>10</v>
      </c>
      <c r="Q41">
        <f t="shared" si="8"/>
        <v>8</v>
      </c>
      <c r="R41">
        <f t="shared" si="9"/>
        <v>10</v>
      </c>
      <c r="S41">
        <f t="shared" si="2"/>
        <v>7.05</v>
      </c>
      <c r="T41" t="str">
        <f t="shared" si="10"/>
        <v>EMPTY</v>
      </c>
      <c r="V41">
        <f t="shared" si="11"/>
        <v>7.05</v>
      </c>
      <c r="W41" t="str">
        <f t="shared" si="12"/>
        <v>DIGIKEY</v>
      </c>
    </row>
    <row r="42" spans="1:23" x14ac:dyDescent="0.3">
      <c r="A42" t="s">
        <v>126</v>
      </c>
      <c r="B42" s="5">
        <v>2</v>
      </c>
      <c r="C42" t="s">
        <v>127</v>
      </c>
      <c r="E42" t="s">
        <v>128</v>
      </c>
      <c r="F42" t="s">
        <v>221</v>
      </c>
      <c r="G42" s="5">
        <v>0.15</v>
      </c>
      <c r="H42">
        <v>2.3E-2</v>
      </c>
      <c r="I42">
        <v>2.5000000000000001E-3</v>
      </c>
      <c r="L42">
        <v>2</v>
      </c>
      <c r="M42">
        <f t="shared" si="6"/>
        <v>2</v>
      </c>
      <c r="O42">
        <f t="shared" si="0"/>
        <v>20</v>
      </c>
      <c r="P42">
        <f t="shared" si="7"/>
        <v>20</v>
      </c>
      <c r="Q42">
        <f t="shared" si="8"/>
        <v>16</v>
      </c>
      <c r="R42">
        <f t="shared" si="9"/>
        <v>20</v>
      </c>
      <c r="S42">
        <f t="shared" si="2"/>
        <v>0.05</v>
      </c>
      <c r="T42" t="str">
        <f t="shared" si="10"/>
        <v>EMPTY</v>
      </c>
      <c r="V42">
        <f t="shared" si="11"/>
        <v>0.05</v>
      </c>
      <c r="W42" t="str">
        <f t="shared" si="12"/>
        <v>DIGIKEY</v>
      </c>
    </row>
    <row r="43" spans="1:23" x14ac:dyDescent="0.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220</v>
      </c>
      <c r="G43" s="5">
        <v>0.15</v>
      </c>
      <c r="H43">
        <v>2.3E-2</v>
      </c>
      <c r="I43">
        <v>8.9999999999999998E-4</v>
      </c>
      <c r="L43">
        <v>4</v>
      </c>
      <c r="M43">
        <f t="shared" si="6"/>
        <v>4</v>
      </c>
      <c r="O43">
        <f t="shared" si="0"/>
        <v>40</v>
      </c>
      <c r="P43">
        <f t="shared" si="7"/>
        <v>0</v>
      </c>
      <c r="Q43">
        <f t="shared" si="8"/>
        <v>32</v>
      </c>
      <c r="R43">
        <f t="shared" si="9"/>
        <v>40</v>
      </c>
      <c r="S43">
        <f t="shared" si="2"/>
        <v>3.5999999999999997E-2</v>
      </c>
      <c r="T43">
        <f t="shared" si="10"/>
        <v>3.5999999999999997E-2</v>
      </c>
      <c r="V43">
        <f t="shared" si="11"/>
        <v>3.5999999999999997E-2</v>
      </c>
      <c r="W43" t="str">
        <f t="shared" si="12"/>
        <v>JLC</v>
      </c>
    </row>
    <row r="44" spans="1:23" x14ac:dyDescent="0.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219</v>
      </c>
      <c r="G44" s="5">
        <v>0.15</v>
      </c>
      <c r="H44">
        <v>2.3E-2</v>
      </c>
      <c r="I44">
        <v>6.9999999999999999E-4</v>
      </c>
      <c r="L44">
        <v>2</v>
      </c>
      <c r="M44">
        <f t="shared" si="6"/>
        <v>2</v>
      </c>
      <c r="O44">
        <f t="shared" si="0"/>
        <v>20</v>
      </c>
      <c r="P44">
        <f t="shared" si="7"/>
        <v>0</v>
      </c>
      <c r="Q44">
        <f t="shared" si="8"/>
        <v>16</v>
      </c>
      <c r="R44">
        <f t="shared" si="9"/>
        <v>20</v>
      </c>
      <c r="S44">
        <f t="shared" si="2"/>
        <v>1.4E-2</v>
      </c>
      <c r="T44">
        <f t="shared" si="10"/>
        <v>1.4E-2</v>
      </c>
      <c r="V44">
        <f t="shared" si="11"/>
        <v>1.4E-2</v>
      </c>
      <c r="W44" t="str">
        <f t="shared" si="12"/>
        <v>JLC</v>
      </c>
    </row>
    <row r="45" spans="1:23" x14ac:dyDescent="0.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218</v>
      </c>
      <c r="G45" s="5">
        <v>0.15</v>
      </c>
      <c r="H45">
        <v>2.3E-2</v>
      </c>
      <c r="I45">
        <v>8.9999999999999998E-4</v>
      </c>
      <c r="L45">
        <v>2</v>
      </c>
      <c r="M45">
        <f t="shared" si="6"/>
        <v>2</v>
      </c>
      <c r="O45">
        <f t="shared" si="0"/>
        <v>20</v>
      </c>
      <c r="P45">
        <f t="shared" si="7"/>
        <v>0</v>
      </c>
      <c r="Q45">
        <f t="shared" si="8"/>
        <v>16</v>
      </c>
      <c r="R45">
        <f t="shared" si="9"/>
        <v>20</v>
      </c>
      <c r="S45">
        <f t="shared" si="2"/>
        <v>1.7999999999999999E-2</v>
      </c>
      <c r="T45">
        <f t="shared" si="10"/>
        <v>1.7999999999999999E-2</v>
      </c>
      <c r="V45">
        <f t="shared" si="11"/>
        <v>1.7999999999999999E-2</v>
      </c>
      <c r="W45" t="str">
        <f t="shared" si="12"/>
        <v>JLC</v>
      </c>
    </row>
    <row r="46" spans="1:23" x14ac:dyDescent="0.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327</v>
      </c>
      <c r="G46" s="5">
        <v>0.15</v>
      </c>
      <c r="H46">
        <v>2.3E-2</v>
      </c>
      <c r="I46">
        <v>8.9999999999999998E-4</v>
      </c>
      <c r="L46">
        <v>1</v>
      </c>
      <c r="M46">
        <f t="shared" si="6"/>
        <v>1</v>
      </c>
      <c r="O46">
        <f t="shared" si="0"/>
        <v>10</v>
      </c>
      <c r="P46">
        <f t="shared" si="7"/>
        <v>0</v>
      </c>
      <c r="Q46">
        <f t="shared" si="8"/>
        <v>8</v>
      </c>
      <c r="R46">
        <f t="shared" si="9"/>
        <v>10</v>
      </c>
      <c r="S46">
        <f t="shared" si="2"/>
        <v>0.22999999999999998</v>
      </c>
      <c r="T46">
        <f t="shared" si="10"/>
        <v>8.9999999999999993E-3</v>
      </c>
      <c r="V46">
        <f t="shared" si="11"/>
        <v>8.9999999999999993E-3</v>
      </c>
      <c r="W46" t="str">
        <f t="shared" si="12"/>
        <v>JLC</v>
      </c>
    </row>
    <row r="47" spans="1:23" x14ac:dyDescent="0.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217</v>
      </c>
      <c r="G47" s="5">
        <v>0.15</v>
      </c>
      <c r="H47">
        <v>2.3E-2</v>
      </c>
      <c r="I47">
        <v>8.9999999999999998E-4</v>
      </c>
      <c r="L47">
        <v>2</v>
      </c>
      <c r="M47">
        <f t="shared" si="6"/>
        <v>2</v>
      </c>
      <c r="O47">
        <f t="shared" si="0"/>
        <v>20</v>
      </c>
      <c r="P47">
        <f t="shared" si="7"/>
        <v>0</v>
      </c>
      <c r="Q47">
        <f t="shared" si="8"/>
        <v>16</v>
      </c>
      <c r="R47">
        <f t="shared" si="9"/>
        <v>20</v>
      </c>
      <c r="S47">
        <f t="shared" si="2"/>
        <v>1.7999999999999999E-2</v>
      </c>
      <c r="T47">
        <f t="shared" si="10"/>
        <v>1.7999999999999999E-2</v>
      </c>
      <c r="V47">
        <f t="shared" si="11"/>
        <v>1.7999999999999999E-2</v>
      </c>
      <c r="W47" t="str">
        <f t="shared" si="12"/>
        <v>JLC</v>
      </c>
    </row>
    <row r="48" spans="1:23" x14ac:dyDescent="0.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216</v>
      </c>
      <c r="G48" s="5">
        <v>0.15</v>
      </c>
      <c r="H48">
        <v>2.3E-2</v>
      </c>
      <c r="I48">
        <v>1E-3</v>
      </c>
      <c r="J48" t="s">
        <v>283</v>
      </c>
      <c r="L48">
        <v>2</v>
      </c>
      <c r="M48">
        <f t="shared" si="6"/>
        <v>2</v>
      </c>
      <c r="O48">
        <f t="shared" si="0"/>
        <v>20</v>
      </c>
      <c r="P48">
        <f t="shared" si="7"/>
        <v>20</v>
      </c>
      <c r="Q48">
        <f t="shared" si="8"/>
        <v>16</v>
      </c>
      <c r="R48">
        <f t="shared" si="9"/>
        <v>20</v>
      </c>
      <c r="S48">
        <f t="shared" si="2"/>
        <v>0.02</v>
      </c>
      <c r="T48">
        <f t="shared" si="10"/>
        <v>0.02</v>
      </c>
      <c r="V48">
        <f t="shared" si="11"/>
        <v>0.02</v>
      </c>
      <c r="W48" t="str">
        <f t="shared" si="12"/>
        <v>DIGIKEY</v>
      </c>
    </row>
    <row r="49" spans="1:30" x14ac:dyDescent="0.3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215</v>
      </c>
      <c r="G49" s="5">
        <v>0.15</v>
      </c>
      <c r="H49">
        <v>2.3E-2</v>
      </c>
      <c r="I49">
        <v>8.9999999999999998E-4</v>
      </c>
      <c r="J49" t="s">
        <v>283</v>
      </c>
      <c r="L49">
        <v>1</v>
      </c>
      <c r="M49">
        <f t="shared" si="6"/>
        <v>1</v>
      </c>
      <c r="O49">
        <f t="shared" si="0"/>
        <v>10</v>
      </c>
      <c r="P49">
        <f t="shared" si="7"/>
        <v>10</v>
      </c>
      <c r="Q49">
        <f t="shared" si="8"/>
        <v>8</v>
      </c>
      <c r="R49">
        <f t="shared" si="9"/>
        <v>10</v>
      </c>
      <c r="S49">
        <f t="shared" si="2"/>
        <v>0.22999999999999998</v>
      </c>
      <c r="T49">
        <f t="shared" si="10"/>
        <v>8.9999999999999993E-3</v>
      </c>
      <c r="V49">
        <f t="shared" si="11"/>
        <v>0.22999999999999998</v>
      </c>
      <c r="W49" t="str">
        <f t="shared" si="12"/>
        <v>DIGIKEY</v>
      </c>
      <c r="Z49" t="s">
        <v>269</v>
      </c>
      <c r="AA49" s="3">
        <v>62.04</v>
      </c>
      <c r="AD49" s="3"/>
    </row>
    <row r="50" spans="1:30" x14ac:dyDescent="0.3">
      <c r="A50" t="s">
        <v>150</v>
      </c>
      <c r="B50" t="s">
        <v>151</v>
      </c>
      <c r="C50" t="s">
        <v>107</v>
      </c>
      <c r="D50" t="s">
        <v>12</v>
      </c>
      <c r="E50" t="s">
        <v>262</v>
      </c>
      <c r="F50" t="s">
        <v>261</v>
      </c>
      <c r="G50" s="5">
        <v>0.15</v>
      </c>
      <c r="H50">
        <v>3.3000000000000002E-2</v>
      </c>
      <c r="I50">
        <v>1.2999999999999999E-3</v>
      </c>
      <c r="J50" t="s">
        <v>283</v>
      </c>
      <c r="L50">
        <v>2</v>
      </c>
      <c r="M50">
        <f t="shared" si="6"/>
        <v>2</v>
      </c>
      <c r="O50">
        <f t="shared" si="0"/>
        <v>20</v>
      </c>
      <c r="P50">
        <f t="shared" si="7"/>
        <v>20</v>
      </c>
      <c r="Q50">
        <f t="shared" si="8"/>
        <v>16</v>
      </c>
      <c r="R50">
        <f t="shared" si="9"/>
        <v>20</v>
      </c>
      <c r="S50">
        <f t="shared" si="2"/>
        <v>2.5999999999999999E-2</v>
      </c>
      <c r="T50">
        <f t="shared" si="10"/>
        <v>2.5999999999999999E-2</v>
      </c>
      <c r="V50">
        <f t="shared" si="11"/>
        <v>2.5999999999999999E-2</v>
      </c>
      <c r="W50" t="str">
        <f t="shared" si="12"/>
        <v>DIGIKEY</v>
      </c>
      <c r="Z50" t="s">
        <v>270</v>
      </c>
      <c r="AA50" s="3">
        <v>33.700000000000003</v>
      </c>
      <c r="AD50" s="3"/>
    </row>
    <row r="51" spans="1:30" x14ac:dyDescent="0.3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214</v>
      </c>
      <c r="G51" s="5">
        <v>0.15</v>
      </c>
      <c r="H51">
        <v>2.3E-2</v>
      </c>
      <c r="I51">
        <v>1E-3</v>
      </c>
      <c r="L51">
        <v>1</v>
      </c>
      <c r="M51">
        <f t="shared" si="6"/>
        <v>1</v>
      </c>
      <c r="O51">
        <f t="shared" si="0"/>
        <v>10</v>
      </c>
      <c r="P51">
        <f t="shared" si="7"/>
        <v>0</v>
      </c>
      <c r="Q51">
        <f t="shared" si="8"/>
        <v>8</v>
      </c>
      <c r="R51">
        <f t="shared" si="9"/>
        <v>10</v>
      </c>
      <c r="S51">
        <f t="shared" si="2"/>
        <v>0.22999999999999998</v>
      </c>
      <c r="T51">
        <f t="shared" si="10"/>
        <v>0.01</v>
      </c>
      <c r="V51">
        <f t="shared" si="11"/>
        <v>0.01</v>
      </c>
      <c r="W51" t="str">
        <f t="shared" si="12"/>
        <v>JLC</v>
      </c>
      <c r="Z51" t="s">
        <v>271</v>
      </c>
      <c r="AA51" s="3">
        <v>10.59</v>
      </c>
      <c r="AD51" s="3"/>
    </row>
    <row r="52" spans="1:30" x14ac:dyDescent="0.3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213</v>
      </c>
      <c r="G52" s="5">
        <v>0.15</v>
      </c>
      <c r="H52">
        <v>2.3E-2</v>
      </c>
      <c r="I52">
        <v>8.9999999999999998E-4</v>
      </c>
      <c r="L52">
        <v>2</v>
      </c>
      <c r="M52">
        <f t="shared" si="6"/>
        <v>2</v>
      </c>
      <c r="O52">
        <f t="shared" si="0"/>
        <v>20</v>
      </c>
      <c r="P52">
        <f t="shared" si="7"/>
        <v>0</v>
      </c>
      <c r="Q52">
        <f t="shared" si="8"/>
        <v>16</v>
      </c>
      <c r="R52">
        <f t="shared" si="9"/>
        <v>20</v>
      </c>
      <c r="S52">
        <f t="shared" si="2"/>
        <v>1.7999999999999999E-2</v>
      </c>
      <c r="T52">
        <f t="shared" si="10"/>
        <v>1.7999999999999999E-2</v>
      </c>
      <c r="V52">
        <f t="shared" si="11"/>
        <v>1.7999999999999999E-2</v>
      </c>
      <c r="W52" t="str">
        <f t="shared" si="12"/>
        <v>JLC</v>
      </c>
      <c r="Z52" t="s">
        <v>272</v>
      </c>
      <c r="AA52" s="3">
        <v>81.3</v>
      </c>
      <c r="AB52" s="2"/>
      <c r="AD52" s="3"/>
    </row>
    <row r="53" spans="1:30" x14ac:dyDescent="0.3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212</v>
      </c>
      <c r="G53" s="5">
        <v>0.15</v>
      </c>
      <c r="H53">
        <v>2.3E-2</v>
      </c>
      <c r="I53">
        <v>8.9999999999999998E-4</v>
      </c>
      <c r="L53">
        <v>3</v>
      </c>
      <c r="M53">
        <f t="shared" si="6"/>
        <v>3</v>
      </c>
      <c r="O53">
        <f t="shared" si="0"/>
        <v>30</v>
      </c>
      <c r="P53">
        <f t="shared" si="7"/>
        <v>0</v>
      </c>
      <c r="Q53">
        <f t="shared" si="8"/>
        <v>24</v>
      </c>
      <c r="R53">
        <f t="shared" si="9"/>
        <v>30</v>
      </c>
      <c r="S53">
        <f t="shared" si="2"/>
        <v>2.7E-2</v>
      </c>
      <c r="T53">
        <f t="shared" si="10"/>
        <v>2.7E-2</v>
      </c>
      <c r="V53">
        <f t="shared" si="11"/>
        <v>2.7E-2</v>
      </c>
      <c r="W53" t="str">
        <f t="shared" si="12"/>
        <v>JLC</v>
      </c>
      <c r="Z53" t="s">
        <v>273</v>
      </c>
      <c r="AA53" s="3">
        <v>52.52</v>
      </c>
      <c r="AB53" s="6">
        <f>W70</f>
        <v>98.027520000000024</v>
      </c>
      <c r="AD53" s="3"/>
    </row>
    <row r="54" spans="1:30" x14ac:dyDescent="0.3">
      <c r="A54" t="s">
        <v>160</v>
      </c>
      <c r="B54" t="s">
        <v>161</v>
      </c>
      <c r="C54" t="s">
        <v>162</v>
      </c>
      <c r="E54" t="s">
        <v>163</v>
      </c>
      <c r="G54" t="s">
        <v>310</v>
      </c>
      <c r="H54">
        <v>4.0670000000000002</v>
      </c>
      <c r="J54" t="s">
        <v>283</v>
      </c>
      <c r="L54">
        <v>1</v>
      </c>
      <c r="M54">
        <f t="shared" si="6"/>
        <v>1</v>
      </c>
      <c r="N54">
        <v>10</v>
      </c>
      <c r="O54">
        <f t="shared" si="0"/>
        <v>0</v>
      </c>
      <c r="P54">
        <f t="shared" si="7"/>
        <v>0</v>
      </c>
      <c r="Q54">
        <f t="shared" si="8"/>
        <v>8</v>
      </c>
      <c r="R54">
        <f t="shared" si="9"/>
        <v>0</v>
      </c>
      <c r="S54">
        <f t="shared" si="2"/>
        <v>0</v>
      </c>
      <c r="T54" t="str">
        <f t="shared" si="10"/>
        <v>EMPTY</v>
      </c>
      <c r="V54">
        <f t="shared" si="11"/>
        <v>0</v>
      </c>
      <c r="W54" t="str">
        <f t="shared" si="12"/>
        <v>DIGIKEY</v>
      </c>
      <c r="X54" t="s">
        <v>333</v>
      </c>
      <c r="Z54" t="s">
        <v>274</v>
      </c>
      <c r="AA54" s="3">
        <v>6.82</v>
      </c>
      <c r="AD54" s="3"/>
    </row>
    <row r="55" spans="1:30" x14ac:dyDescent="0.3">
      <c r="A55" t="s">
        <v>164</v>
      </c>
      <c r="B55" t="s">
        <v>165</v>
      </c>
      <c r="C55" t="s">
        <v>166</v>
      </c>
      <c r="E55" t="s">
        <v>167</v>
      </c>
      <c r="G55" t="s">
        <v>311</v>
      </c>
      <c r="H55">
        <v>0.83</v>
      </c>
      <c r="J55" t="s">
        <v>283</v>
      </c>
      <c r="L55">
        <v>1</v>
      </c>
      <c r="M55">
        <f t="shared" si="6"/>
        <v>1</v>
      </c>
      <c r="O55">
        <f t="shared" si="0"/>
        <v>10</v>
      </c>
      <c r="P55">
        <f t="shared" si="7"/>
        <v>10</v>
      </c>
      <c r="Q55">
        <f t="shared" si="8"/>
        <v>8</v>
      </c>
      <c r="R55">
        <f t="shared" si="9"/>
        <v>10</v>
      </c>
      <c r="S55">
        <f t="shared" si="2"/>
        <v>8.2999999999999989</v>
      </c>
      <c r="T55" t="str">
        <f t="shared" si="10"/>
        <v>EMPTY</v>
      </c>
      <c r="V55">
        <f t="shared" si="11"/>
        <v>8.2999999999999989</v>
      </c>
      <c r="W55" t="str">
        <f t="shared" si="12"/>
        <v>DIGIKEY</v>
      </c>
      <c r="Z55" t="s">
        <v>275</v>
      </c>
      <c r="AA55" s="3">
        <v>0.57999999999999996</v>
      </c>
      <c r="AD55" s="3"/>
    </row>
    <row r="56" spans="1:30" x14ac:dyDescent="0.3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6"/>
        <v>1</v>
      </c>
      <c r="N56">
        <v>10</v>
      </c>
      <c r="O56">
        <f t="shared" si="0"/>
        <v>0</v>
      </c>
      <c r="P56">
        <f t="shared" si="7"/>
        <v>0</v>
      </c>
      <c r="Q56">
        <f t="shared" si="8"/>
        <v>8</v>
      </c>
      <c r="R56">
        <f t="shared" si="9"/>
        <v>0</v>
      </c>
      <c r="S56">
        <f t="shared" si="2"/>
        <v>0</v>
      </c>
      <c r="T56" t="str">
        <f t="shared" si="10"/>
        <v>EMPTY</v>
      </c>
      <c r="V56">
        <f t="shared" si="11"/>
        <v>0</v>
      </c>
      <c r="W56" t="str">
        <f t="shared" si="12"/>
        <v>DIGIKEY</v>
      </c>
      <c r="X56" t="s">
        <v>333</v>
      </c>
      <c r="Z56" t="s">
        <v>329</v>
      </c>
      <c r="AA56" s="3">
        <v>0.65</v>
      </c>
      <c r="AD56" s="3"/>
    </row>
    <row r="57" spans="1:30" x14ac:dyDescent="0.3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211</v>
      </c>
      <c r="G57" s="5">
        <v>1.06</v>
      </c>
      <c r="H57">
        <v>1.06</v>
      </c>
      <c r="I57">
        <v>0.89700000000000002</v>
      </c>
      <c r="L57">
        <v>1</v>
      </c>
      <c r="M57">
        <f t="shared" si="6"/>
        <v>1</v>
      </c>
      <c r="O57">
        <f t="shared" si="0"/>
        <v>8</v>
      </c>
      <c r="P57">
        <f t="shared" si="7"/>
        <v>0</v>
      </c>
      <c r="Q57">
        <f t="shared" si="8"/>
        <v>8</v>
      </c>
      <c r="R57">
        <f t="shared" si="9"/>
        <v>10</v>
      </c>
      <c r="S57">
        <f t="shared" si="2"/>
        <v>8.48</v>
      </c>
      <c r="T57">
        <f t="shared" si="10"/>
        <v>13.010000000000002</v>
      </c>
      <c r="U57" t="s">
        <v>321</v>
      </c>
      <c r="V57">
        <f t="shared" si="11"/>
        <v>13.010000000000002</v>
      </c>
      <c r="W57" t="str">
        <f t="shared" si="12"/>
        <v>JLC</v>
      </c>
      <c r="Z57" t="s">
        <v>276</v>
      </c>
      <c r="AA57" s="3">
        <v>60.96</v>
      </c>
      <c r="AD57" s="3"/>
    </row>
    <row r="58" spans="1:30" x14ac:dyDescent="0.3">
      <c r="A58" t="s">
        <v>176</v>
      </c>
      <c r="B58" t="s">
        <v>177</v>
      </c>
      <c r="C58" t="s">
        <v>178</v>
      </c>
      <c r="E58" t="s">
        <v>177</v>
      </c>
      <c r="G58" t="s">
        <v>312</v>
      </c>
      <c r="H58">
        <v>2.34</v>
      </c>
      <c r="L58">
        <v>1</v>
      </c>
      <c r="M58">
        <f t="shared" si="6"/>
        <v>1</v>
      </c>
      <c r="O58">
        <f t="shared" si="0"/>
        <v>8</v>
      </c>
      <c r="P58">
        <f t="shared" si="7"/>
        <v>8</v>
      </c>
      <c r="Q58">
        <f t="shared" si="8"/>
        <v>8</v>
      </c>
      <c r="R58">
        <f t="shared" si="9"/>
        <v>10</v>
      </c>
      <c r="S58">
        <f t="shared" si="2"/>
        <v>18.72</v>
      </c>
      <c r="T58" t="str">
        <f t="shared" si="10"/>
        <v>EMPTY</v>
      </c>
      <c r="V58">
        <f t="shared" si="11"/>
        <v>18.72</v>
      </c>
      <c r="W58" t="str">
        <f t="shared" si="12"/>
        <v>DIGIKEY</v>
      </c>
      <c r="Z58" t="s">
        <v>277</v>
      </c>
      <c r="AA58" s="3">
        <f>SUM(AA49:AA51)+AB53+SUM(AA54:AA57)</f>
        <v>273.36752000000001</v>
      </c>
      <c r="AD58" s="3"/>
    </row>
    <row r="59" spans="1:30" x14ac:dyDescent="0.3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263</v>
      </c>
      <c r="G59" t="s">
        <v>313</v>
      </c>
      <c r="H59">
        <v>0.45600000000000002</v>
      </c>
      <c r="I59">
        <v>0.1439</v>
      </c>
      <c r="L59">
        <v>1</v>
      </c>
      <c r="M59">
        <f t="shared" si="6"/>
        <v>1</v>
      </c>
      <c r="O59">
        <f t="shared" si="0"/>
        <v>8</v>
      </c>
      <c r="P59">
        <f t="shared" si="7"/>
        <v>8</v>
      </c>
      <c r="Q59">
        <f t="shared" si="8"/>
        <v>8</v>
      </c>
      <c r="R59">
        <f t="shared" si="9"/>
        <v>10</v>
      </c>
      <c r="S59">
        <f t="shared" si="2"/>
        <v>3.6480000000000001</v>
      </c>
      <c r="T59">
        <f t="shared" si="10"/>
        <v>5.4790000000000001</v>
      </c>
      <c r="V59">
        <f t="shared" si="11"/>
        <v>3.6480000000000001</v>
      </c>
      <c r="W59" t="str">
        <f t="shared" si="12"/>
        <v>DIGIKEY</v>
      </c>
      <c r="Z59" t="s">
        <v>278</v>
      </c>
      <c r="AA59" s="3">
        <f>0.12*AA58</f>
        <v>32.804102399999998</v>
      </c>
      <c r="AD59" s="3"/>
    </row>
    <row r="60" spans="1:30" x14ac:dyDescent="0.3">
      <c r="A60" t="s">
        <v>182</v>
      </c>
      <c r="B60" t="s">
        <v>183</v>
      </c>
      <c r="C60" t="s">
        <v>184</v>
      </c>
      <c r="D60" t="s">
        <v>8</v>
      </c>
      <c r="E60" t="s">
        <v>264</v>
      </c>
      <c r="F60" t="s">
        <v>210</v>
      </c>
      <c r="G60" t="s">
        <v>314</v>
      </c>
      <c r="H60">
        <v>13.505000000000001</v>
      </c>
      <c r="I60">
        <v>15.73</v>
      </c>
      <c r="L60">
        <v>1</v>
      </c>
      <c r="M60">
        <f t="shared" si="6"/>
        <v>1</v>
      </c>
      <c r="N60">
        <v>10</v>
      </c>
      <c r="O60">
        <f t="shared" si="0"/>
        <v>0</v>
      </c>
      <c r="P60">
        <f t="shared" si="7"/>
        <v>0</v>
      </c>
      <c r="Q60">
        <f t="shared" si="8"/>
        <v>8</v>
      </c>
      <c r="R60">
        <f t="shared" si="9"/>
        <v>0</v>
      </c>
      <c r="S60">
        <f t="shared" si="2"/>
        <v>0</v>
      </c>
      <c r="T60">
        <f t="shared" si="10"/>
        <v>4.04</v>
      </c>
      <c r="V60">
        <f t="shared" si="11"/>
        <v>0</v>
      </c>
      <c r="W60" t="str">
        <f t="shared" si="12"/>
        <v>DIGIKEY</v>
      </c>
      <c r="X60" t="s">
        <v>333</v>
      </c>
      <c r="Z60" t="s">
        <v>279</v>
      </c>
      <c r="AA60" s="3">
        <v>17.5</v>
      </c>
      <c r="AD60" s="3"/>
    </row>
    <row r="61" spans="1:30" x14ac:dyDescent="0.3">
      <c r="A61" t="s">
        <v>185</v>
      </c>
      <c r="B61" t="s">
        <v>186</v>
      </c>
      <c r="C61" t="s">
        <v>178</v>
      </c>
      <c r="D61" t="s">
        <v>12</v>
      </c>
      <c r="E61" t="s">
        <v>187</v>
      </c>
      <c r="F61" t="s">
        <v>265</v>
      </c>
      <c r="G61" t="s">
        <v>315</v>
      </c>
      <c r="H61">
        <v>2.31</v>
      </c>
      <c r="I61">
        <v>0.498</v>
      </c>
      <c r="L61">
        <v>1</v>
      </c>
      <c r="M61">
        <f t="shared" si="6"/>
        <v>1</v>
      </c>
      <c r="O61">
        <f t="shared" si="0"/>
        <v>8</v>
      </c>
      <c r="P61">
        <f t="shared" si="7"/>
        <v>0</v>
      </c>
      <c r="Q61">
        <f t="shared" si="8"/>
        <v>8</v>
      </c>
      <c r="R61">
        <f t="shared" si="9"/>
        <v>10</v>
      </c>
      <c r="S61">
        <f t="shared" si="2"/>
        <v>18.48</v>
      </c>
      <c r="T61">
        <f t="shared" si="10"/>
        <v>4.9800000000000004</v>
      </c>
      <c r="V61">
        <f t="shared" si="11"/>
        <v>4.9800000000000004</v>
      </c>
      <c r="W61" t="str">
        <f t="shared" si="12"/>
        <v>JLC</v>
      </c>
      <c r="Z61" t="s">
        <v>267</v>
      </c>
      <c r="AA61" s="3">
        <f>SUM(AA58:AA60)</f>
        <v>323.67162239999999</v>
      </c>
      <c r="AD61" s="3"/>
    </row>
    <row r="62" spans="1:30" x14ac:dyDescent="0.3">
      <c r="A62" t="s">
        <v>188</v>
      </c>
      <c r="B62" t="s">
        <v>189</v>
      </c>
      <c r="C62" t="s">
        <v>178</v>
      </c>
      <c r="E62" t="s">
        <v>189</v>
      </c>
      <c r="F62" t="s">
        <v>266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6"/>
        <v>1</v>
      </c>
      <c r="N62">
        <v>10</v>
      </c>
      <c r="O62">
        <f>IF(IF((M62*8-N62)*G62&lt;(M62*10-N62)*H62,M62*8,M62*10)-N62&lt;0,0,IF((M62*8-N62)*G62&lt;(M62*10-N62)*H62,M62*8,M62*10)-N62)</f>
        <v>0</v>
      </c>
      <c r="P62">
        <f t="shared" si="7"/>
        <v>0</v>
      </c>
      <c r="Q62">
        <f t="shared" si="8"/>
        <v>8</v>
      </c>
      <c r="R62">
        <f t="shared" si="9"/>
        <v>0</v>
      </c>
      <c r="S62">
        <f t="shared" si="2"/>
        <v>0</v>
      </c>
      <c r="T62" t="str">
        <f t="shared" si="10"/>
        <v>EMPTY</v>
      </c>
      <c r="V62">
        <f t="shared" si="11"/>
        <v>0</v>
      </c>
      <c r="W62" t="str">
        <f t="shared" si="12"/>
        <v>DIGIKEY</v>
      </c>
      <c r="X62" t="s">
        <v>335</v>
      </c>
      <c r="AA62" s="3"/>
      <c r="AD62" s="3"/>
    </row>
    <row r="63" spans="1:30" x14ac:dyDescent="0.3">
      <c r="A63" t="s">
        <v>190</v>
      </c>
      <c r="B63" t="s">
        <v>191</v>
      </c>
      <c r="C63" t="s">
        <v>192</v>
      </c>
      <c r="D63" t="s">
        <v>8</v>
      </c>
      <c r="E63" t="s">
        <v>193</v>
      </c>
      <c r="F63" t="s">
        <v>209</v>
      </c>
      <c r="G63" t="s">
        <v>316</v>
      </c>
      <c r="H63">
        <v>4.03</v>
      </c>
      <c r="I63">
        <v>1.2541</v>
      </c>
      <c r="L63">
        <v>1</v>
      </c>
      <c r="M63">
        <f t="shared" si="6"/>
        <v>1</v>
      </c>
      <c r="O63">
        <f>IF(IF((M63*8-N63)*G63&lt;(M63*10-N63)*H63,M63*8,M63*10)-N63&lt;0,0,IF((M63*8-N63)*G63&lt;(M63*10-N63)*H63,M63*8,M63*10)-N63)</f>
        <v>8</v>
      </c>
      <c r="P63">
        <f t="shared" si="7"/>
        <v>0</v>
      </c>
      <c r="Q63">
        <f t="shared" si="8"/>
        <v>8</v>
      </c>
      <c r="R63">
        <f t="shared" si="9"/>
        <v>10</v>
      </c>
      <c r="S63">
        <f t="shared" si="2"/>
        <v>32.24</v>
      </c>
      <c r="T63">
        <f t="shared" si="10"/>
        <v>16.581</v>
      </c>
      <c r="V63">
        <f t="shared" si="11"/>
        <v>16.581</v>
      </c>
      <c r="W63" t="str">
        <f t="shared" si="12"/>
        <v>JLC</v>
      </c>
      <c r="AA63" s="3">
        <f>AA61+X70</f>
        <v>566.55952639999998</v>
      </c>
      <c r="AD63" s="3"/>
    </row>
    <row r="64" spans="1:30" x14ac:dyDescent="0.3">
      <c r="A64" t="s">
        <v>194</v>
      </c>
      <c r="B64" t="s">
        <v>195</v>
      </c>
      <c r="C64" t="s">
        <v>196</v>
      </c>
      <c r="D64" t="s">
        <v>8</v>
      </c>
      <c r="E64" t="s">
        <v>195</v>
      </c>
      <c r="F64" t="s">
        <v>208</v>
      </c>
      <c r="G64" t="s">
        <v>301</v>
      </c>
      <c r="H64">
        <v>0.28699999999999998</v>
      </c>
      <c r="I64">
        <v>0.1118</v>
      </c>
      <c r="L64">
        <v>2</v>
      </c>
      <c r="M64">
        <f t="shared" si="6"/>
        <v>2</v>
      </c>
      <c r="O64">
        <f t="shared" ref="O64:O66" si="13">IF(IF((M64*8-N64)*G64&lt;(M64*10-N64)*H64,M64*8,M64*10)-N64&lt;0,0,IF((M64*8-N64)*G64&lt;(M64*10-N64)*H64,M64*8,M64*10)-N64)</f>
        <v>16</v>
      </c>
      <c r="P64">
        <f t="shared" si="7"/>
        <v>16</v>
      </c>
      <c r="Q64">
        <f t="shared" si="8"/>
        <v>16</v>
      </c>
      <c r="R64">
        <f t="shared" si="9"/>
        <v>20</v>
      </c>
      <c r="S64">
        <f t="shared" si="2"/>
        <v>1.7887999999999999</v>
      </c>
      <c r="T64">
        <f t="shared" si="10"/>
        <v>6.2759999999999998</v>
      </c>
      <c r="V64">
        <f t="shared" si="11"/>
        <v>1.7887999999999999</v>
      </c>
      <c r="W64" t="str">
        <f t="shared" si="12"/>
        <v>DIGIKEY</v>
      </c>
      <c r="Z64" t="s">
        <v>280</v>
      </c>
      <c r="AA64" s="3">
        <f>AA63/10</f>
        <v>56.655952639999995</v>
      </c>
      <c r="AD64" s="3"/>
    </row>
    <row r="65" spans="1:24" x14ac:dyDescent="0.3">
      <c r="A65" t="s">
        <v>197</v>
      </c>
      <c r="B65" t="s">
        <v>198</v>
      </c>
      <c r="C65" t="s">
        <v>199</v>
      </c>
      <c r="D65" t="s">
        <v>8</v>
      </c>
      <c r="E65" t="s">
        <v>198</v>
      </c>
      <c r="F65" t="s">
        <v>207</v>
      </c>
      <c r="G65" t="s">
        <v>317</v>
      </c>
      <c r="H65">
        <v>0.70499999999999996</v>
      </c>
      <c r="I65">
        <v>0.76160000000000005</v>
      </c>
      <c r="L65">
        <v>1</v>
      </c>
      <c r="M65">
        <f t="shared" si="6"/>
        <v>1</v>
      </c>
      <c r="O65">
        <f t="shared" si="13"/>
        <v>8</v>
      </c>
      <c r="P65">
        <f t="shared" si="7"/>
        <v>0</v>
      </c>
      <c r="Q65">
        <f t="shared" si="8"/>
        <v>8</v>
      </c>
      <c r="R65">
        <f t="shared" si="9"/>
        <v>10</v>
      </c>
      <c r="S65">
        <f t="shared" si="2"/>
        <v>5.64</v>
      </c>
      <c r="T65">
        <f t="shared" si="10"/>
        <v>11.656000000000001</v>
      </c>
      <c r="U65" t="s">
        <v>321</v>
      </c>
      <c r="V65">
        <f t="shared" si="11"/>
        <v>11.656000000000001</v>
      </c>
      <c r="W65" t="str">
        <f t="shared" si="12"/>
        <v>JLC</v>
      </c>
    </row>
    <row r="66" spans="1:24" x14ac:dyDescent="0.3">
      <c r="A66" t="s">
        <v>200</v>
      </c>
      <c r="B66" t="s">
        <v>201</v>
      </c>
      <c r="C66" t="s">
        <v>199</v>
      </c>
      <c r="D66" t="s">
        <v>8</v>
      </c>
      <c r="E66" t="s">
        <v>201</v>
      </c>
      <c r="F66" t="s">
        <v>206</v>
      </c>
      <c r="G66" t="s">
        <v>318</v>
      </c>
      <c r="H66">
        <v>0.71499999999999997</v>
      </c>
      <c r="I66">
        <v>0.22789999999999999</v>
      </c>
      <c r="L66">
        <v>1</v>
      </c>
      <c r="M66">
        <f t="shared" ref="M66:M67" si="14">L66-K66</f>
        <v>1</v>
      </c>
      <c r="O66">
        <f t="shared" si="13"/>
        <v>8</v>
      </c>
      <c r="P66">
        <f t="shared" si="7"/>
        <v>8</v>
      </c>
      <c r="Q66">
        <f t="shared" si="8"/>
        <v>8</v>
      </c>
      <c r="R66">
        <f t="shared" ref="R66:R67" si="15">M66*10-N66</f>
        <v>10</v>
      </c>
      <c r="S66">
        <f t="shared" ref="S66" si="16">IF(O66&gt;10,I66*O66,H66*O66)</f>
        <v>5.72</v>
      </c>
      <c r="T66">
        <f t="shared" ref="T66" si="17">IF(ISBLANK(D66),"EMPTY",(I66*R66+IF(D66="yes",4.04,0)))</f>
        <v>6.319</v>
      </c>
      <c r="U66" t="s">
        <v>287</v>
      </c>
      <c r="V66">
        <f t="shared" ref="V66" si="18">IF(T66="EMPTY",S66,IF(J66="Bottom",S66,IF(U66="DIGIKEY",S66,IF(U66="JLC",T66,IF(T66&lt;S66+0.2,T66,S66)))))</f>
        <v>5.72</v>
      </c>
      <c r="W66" t="str">
        <f t="shared" si="12"/>
        <v>DIGIKEY</v>
      </c>
      <c r="X66">
        <f>COUNTIF(W2:W66,"DIGIKEY")-5</f>
        <v>29</v>
      </c>
    </row>
    <row r="67" spans="1:24" x14ac:dyDescent="0.3">
      <c r="A67" t="s">
        <v>336</v>
      </c>
      <c r="B67" t="s">
        <v>338</v>
      </c>
      <c r="C67" t="s">
        <v>339</v>
      </c>
      <c r="D67" t="s">
        <v>8</v>
      </c>
      <c r="E67" t="s">
        <v>338</v>
      </c>
      <c r="F67" t="s">
        <v>337</v>
      </c>
      <c r="G67" s="5">
        <v>6.1199999999999997E-2</v>
      </c>
      <c r="H67">
        <v>0.45</v>
      </c>
      <c r="I67">
        <v>0.312</v>
      </c>
      <c r="L67">
        <v>3</v>
      </c>
      <c r="M67">
        <f t="shared" si="14"/>
        <v>3</v>
      </c>
      <c r="O67">
        <f t="shared" ref="O67" si="19">IF(IF((M67*8-N67)*G67&lt;(M67*10-N67)*H67,M67*8,M67*10)-N67&lt;0,0,IF((M67*8-N67)*G67&lt;(M67*10-N67)*H67,M67*8,M67*10)-N67)</f>
        <v>24</v>
      </c>
      <c r="P67">
        <f t="shared" ref="P67" si="20">IF(W67="DIGIKEY",O67,0)</f>
        <v>24</v>
      </c>
      <c r="Q67">
        <f t="shared" ref="Q67" si="21">M67*8</f>
        <v>24</v>
      </c>
      <c r="R67">
        <f t="shared" ref="R67" si="22">M67*10-N67</f>
        <v>30</v>
      </c>
      <c r="S67">
        <f>IF(O67&gt;10,I67*O67,H67*O67)</f>
        <v>7.4879999999999995</v>
      </c>
      <c r="T67">
        <f t="shared" ref="T67" si="23">IF(ISBLANK(D67),"EMPTY",(I67*R67+IF(D67="yes",4.04,0)))</f>
        <v>13.399999999999999</v>
      </c>
      <c r="U67" t="s">
        <v>287</v>
      </c>
      <c r="V67">
        <f t="shared" ref="V67" si="24">IF(T67="EMPTY",S67,IF(J67="Bottom",S67,IF(U67="DIGIKEY",S67,IF(U67="JLC",T67,IF(T67&lt;S67+0.2,T67,S67)))))</f>
        <v>7.4879999999999995</v>
      </c>
      <c r="W67" t="str">
        <f t="shared" ref="W67" si="25">IF(T67="EMPTY","DIGIKEY",IF(J67="Bottom","DIGIKEY",IF(U67="DIGIKEY",U67,IF(U67="JLC",U67,IF(T67&lt;S67+0.2,"JLC","DIGIKEY")))))</f>
        <v>DIGIKEY</v>
      </c>
    </row>
    <row r="69" spans="1:24" x14ac:dyDescent="0.3">
      <c r="W69">
        <f>COUNTIF(W2:W66,"JLC")</f>
        <v>31</v>
      </c>
      <c r="X69">
        <f>SUMIF(W2:W66,"DIGIKEY",Q2:Q66)</f>
        <v>320</v>
      </c>
    </row>
    <row r="70" spans="1:24" x14ac:dyDescent="0.3">
      <c r="T70" t="s">
        <v>267</v>
      </c>
      <c r="V70">
        <f>SUM(V2:V66)</f>
        <v>293.44819999999999</v>
      </c>
      <c r="W70" s="7">
        <f>SUMIF(W2:W66,"JLC",V2:V66)*1.28</f>
        <v>98.027520000000024</v>
      </c>
      <c r="X70">
        <f>SUMIF(W2:W66,"DIGIKEY",V2:V66)*1.12</f>
        <v>242.88790399999999</v>
      </c>
    </row>
    <row r="71" spans="1:24" x14ac:dyDescent="0.3">
      <c r="T71" t="s">
        <v>268</v>
      </c>
      <c r="W71" t="s">
        <v>321</v>
      </c>
      <c r="X71" t="s">
        <v>328</v>
      </c>
    </row>
    <row r="73" spans="1:24" x14ac:dyDescent="0.3">
      <c r="W73" t="s">
        <v>330</v>
      </c>
    </row>
    <row r="74" spans="1:24" x14ac:dyDescent="0.3">
      <c r="V74">
        <f>V60+V56+V31++V4</f>
        <v>110</v>
      </c>
      <c r="X74" t="s">
        <v>323</v>
      </c>
    </row>
    <row r="75" spans="1:24" x14ac:dyDescent="0.3">
      <c r="X75">
        <f>X69/8</f>
        <v>40</v>
      </c>
    </row>
  </sheetData>
  <phoneticPr fontId="18" type="noConversion"/>
  <conditionalFormatting sqref="S2:T67">
    <cfRule type="expression" dxfId="0" priority="1">
      <formula>AND(T2-S2&lt;3,T2&gt;S2)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2024-01-22T10:59:11Z</dcterms:created>
  <dcterms:modified xsi:type="dcterms:W3CDTF">2024-01-25T08:11:43Z</dcterms:modified>
</cp:coreProperties>
</file>