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 Bots\Electrical\MidPlate\"/>
    </mc:Choice>
  </mc:AlternateContent>
  <xr:revisionPtr revIDLastSave="0" documentId="13_ncr:1_{54E6EB3A-1071-4851-8603-78EBD13E8D2E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Midplate BOM Jan 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Q16" i="1"/>
  <c r="Q14" i="1"/>
  <c r="T19" i="1"/>
  <c r="T4" i="1"/>
  <c r="T13" i="1" s="1"/>
  <c r="Q13" i="1"/>
  <c r="R7" i="1"/>
  <c r="M19" i="1"/>
  <c r="K2" i="1"/>
  <c r="J7" i="1"/>
  <c r="J8" i="1"/>
  <c r="J9" i="1"/>
  <c r="J20" i="1"/>
  <c r="J2" i="1"/>
  <c r="I8" i="1"/>
  <c r="I11" i="1"/>
  <c r="J11" i="1" s="1"/>
  <c r="I10" i="1"/>
  <c r="J10" i="1" s="1"/>
  <c r="I3" i="1"/>
  <c r="J3" i="1" s="1"/>
  <c r="I4" i="1"/>
  <c r="J4" i="1" s="1"/>
  <c r="I5" i="1"/>
  <c r="I6" i="1"/>
  <c r="I7" i="1"/>
  <c r="I9" i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I19" i="1"/>
  <c r="J19" i="1" s="1"/>
  <c r="I20" i="1"/>
  <c r="I2" i="1"/>
  <c r="T16" i="1" l="1"/>
  <c r="T14" i="1"/>
  <c r="J18" i="1"/>
  <c r="J6" i="1"/>
  <c r="M14" i="1"/>
  <c r="J17" i="1"/>
  <c r="J5" i="1"/>
  <c r="J22" i="1" s="1"/>
  <c r="L12" i="1"/>
  <c r="L10" i="1"/>
  <c r="L9" i="1"/>
  <c r="M7" i="1"/>
  <c r="M20" i="1"/>
  <c r="L18" i="1"/>
  <c r="M16" i="1"/>
  <c r="M9" i="1"/>
  <c r="L20" i="1"/>
  <c r="L15" i="1"/>
  <c r="L14" i="1"/>
  <c r="L13" i="1"/>
  <c r="M4" i="1"/>
  <c r="L3" i="1"/>
  <c r="L4" i="1"/>
  <c r="L16" i="1"/>
  <c r="M18" i="1"/>
  <c r="L19" i="1"/>
  <c r="M17" i="1"/>
  <c r="L7" i="1"/>
  <c r="L6" i="1"/>
  <c r="L5" i="1" l="1"/>
  <c r="T18" i="1"/>
  <c r="M12" i="1"/>
  <c r="M10" i="1"/>
  <c r="M15" i="1"/>
  <c r="M8" i="1"/>
  <c r="L8" i="1"/>
  <c r="M5" i="1"/>
  <c r="M3" i="1"/>
  <c r="M13" i="1"/>
  <c r="M2" i="1"/>
  <c r="M22" i="1" s="1"/>
  <c r="L2" i="1"/>
  <c r="M6" i="1"/>
  <c r="L11" i="1"/>
  <c r="M11" i="1"/>
  <c r="L17" i="1"/>
  <c r="L22" i="1" l="1"/>
  <c r="N22" i="1" s="1"/>
  <c r="Q18" i="1" s="1"/>
  <c r="Q19" i="1" s="1"/>
  <c r="M21" i="1"/>
</calcChain>
</file>

<file path=xl/sharedStrings.xml><?xml version="1.0" encoding="utf-8"?>
<sst xmlns="http://schemas.openxmlformats.org/spreadsheetml/2006/main" count="127" uniqueCount="99">
  <si>
    <t>Ref</t>
  </si>
  <si>
    <t>Val</t>
  </si>
  <si>
    <t>Package</t>
  </si>
  <si>
    <t>JLC Part #$</t>
  </si>
  <si>
    <t>Digikey Cost</t>
  </si>
  <si>
    <t>JLC Cost</t>
  </si>
  <si>
    <t>JLC extended?</t>
  </si>
  <si>
    <t>QTY per board</t>
  </si>
  <si>
    <t>Digikey Cost (total)</t>
  </si>
  <si>
    <t>JLC Cost with Extended part fee (total)</t>
  </si>
  <si>
    <t>Lowest Cost (Digikey vs JLC)</t>
  </si>
  <si>
    <t>C1</t>
  </si>
  <si>
    <t>C_0.1u</t>
  </si>
  <si>
    <t>C_0603_1608Metric</t>
  </si>
  <si>
    <t>C14663</t>
  </si>
  <si>
    <t>no</t>
  </si>
  <si>
    <t>C2</t>
  </si>
  <si>
    <t>25SVPF100M</t>
  </si>
  <si>
    <t>CAP_25SVPF100M</t>
  </si>
  <si>
    <t>C136279</t>
  </si>
  <si>
    <t>yes</t>
  </si>
  <si>
    <t>C3</t>
  </si>
  <si>
    <t>10u</t>
  </si>
  <si>
    <t>C5</t>
  </si>
  <si>
    <t>2.2u</t>
  </si>
  <si>
    <t>C23630</t>
  </si>
  <si>
    <t>C4</t>
  </si>
  <si>
    <t>C_30p</t>
  </si>
  <si>
    <t>C6</t>
  </si>
  <si>
    <t>16SVPF180M</t>
  </si>
  <si>
    <t>CAP_16SVPF180M</t>
  </si>
  <si>
    <t>C136277</t>
  </si>
  <si>
    <t>D1</t>
  </si>
  <si>
    <t>SMAZ12-13F</t>
  </si>
  <si>
    <t>D_SMA</t>
  </si>
  <si>
    <t>C110523</t>
  </si>
  <si>
    <t>F1</t>
  </si>
  <si>
    <t>Fuseholder_Blade_Mini_Keystone_3568</t>
  </si>
  <si>
    <t>H1, H2, H3, H4, H5, H6, H7, H8, H9, H10, H11</t>
  </si>
  <si>
    <t>SMTSO2515CTJ</t>
  </si>
  <si>
    <t>J9</t>
  </si>
  <si>
    <t>JST_BM04B-GHS-TBT</t>
  </si>
  <si>
    <t>J12</t>
  </si>
  <si>
    <t>JST_B4B-XH-A</t>
  </si>
  <si>
    <t>JP1</t>
  </si>
  <si>
    <t>Jumper_2_Bridged</t>
  </si>
  <si>
    <t>PinHeader_1x02_P2.54mm_Vertical</t>
  </si>
  <si>
    <t>C2905434</t>
  </si>
  <si>
    <t>L1</t>
  </si>
  <si>
    <t>CDRH127/LDNP-220MC</t>
  </si>
  <si>
    <t>IND_CDRH127_LDNP-470MC_SUM</t>
  </si>
  <si>
    <t>C879420</t>
  </si>
  <si>
    <t>Q1, Q2</t>
  </si>
  <si>
    <t>MCU60P04-TP</t>
  </si>
  <si>
    <t>DPAK-3_ONS</t>
  </si>
  <si>
    <t>C130101</t>
  </si>
  <si>
    <t>R1, R2</t>
  </si>
  <si>
    <t>R_100k</t>
  </si>
  <si>
    <t>R_0603_1608Metric</t>
  </si>
  <si>
    <t>C25803</t>
  </si>
  <si>
    <t>R6</t>
  </si>
  <si>
    <t>88.7k</t>
  </si>
  <si>
    <t>C5151619</t>
  </si>
  <si>
    <t>R7</t>
  </si>
  <si>
    <t>22.1k</t>
  </si>
  <si>
    <t>C25961</t>
  </si>
  <si>
    <t>SW1</t>
  </si>
  <si>
    <t>RA1H1C112R</t>
  </si>
  <si>
    <t>SW_RA1H1C112R</t>
  </si>
  <si>
    <t>U1</t>
  </si>
  <si>
    <t>LMR23630AFDDAR</t>
  </si>
  <si>
    <t>TI_SO-PowerPAD-8_ThermalVias</t>
  </si>
  <si>
    <t>C601653</t>
  </si>
  <si>
    <t>TOTAL</t>
  </si>
  <si>
    <t>Board Cost</t>
  </si>
  <si>
    <t>C440198</t>
  </si>
  <si>
    <t>C_0805_2012Metric</t>
  </si>
  <si>
    <t>C1658</t>
  </si>
  <si>
    <t>C2915629</t>
  </si>
  <si>
    <t>C161692</t>
  </si>
  <si>
    <t>C144395</t>
  </si>
  <si>
    <t>QTY *10 + spare</t>
  </si>
  <si>
    <t>shipping</t>
  </si>
  <si>
    <t>PCB</t>
  </si>
  <si>
    <t>setup</t>
  </si>
  <si>
    <t>stencil</t>
  </si>
  <si>
    <t>components</t>
  </si>
  <si>
    <t>extended fee</t>
  </si>
  <si>
    <t>smt</t>
  </si>
  <si>
    <t>confirm</t>
  </si>
  <si>
    <t>Total</t>
  </si>
  <si>
    <t>weird?</t>
  </si>
  <si>
    <t>per board</t>
  </si>
  <si>
    <t>no components compare</t>
  </si>
  <si>
    <t>-</t>
  </si>
  <si>
    <t>THESE RESULTS NOT INCLUDING WIRES and BOTTOM SIDE COMPONENTS</t>
  </si>
  <si>
    <t>import tax</t>
  </si>
  <si>
    <t>flat fee</t>
  </si>
  <si>
    <t>usd to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</si>
</sst>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N19" sqref="N19"/>
    </sheetView>
  </sheetViews>
  <sheetFormatPr defaultRowHeight="14.4" x14ac:dyDescent="0.3"/>
  <cols>
    <col min="11" max="11" width="8.77734375" customWidth="1"/>
    <col min="16" max="16" width="9.21875" customWidth="1"/>
    <col min="19" max="19" width="16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81</v>
      </c>
      <c r="J1" t="s">
        <v>8</v>
      </c>
      <c r="K1" t="s">
        <v>9</v>
      </c>
      <c r="L1" t="s">
        <v>10</v>
      </c>
    </row>
    <row r="2" spans="1:20" x14ac:dyDescent="0.3">
      <c r="A2" t="s">
        <v>11</v>
      </c>
      <c r="B2" t="s">
        <v>12</v>
      </c>
      <c r="C2" t="s">
        <v>13</v>
      </c>
      <c r="D2" t="s">
        <v>14</v>
      </c>
      <c r="E2">
        <v>7.3999999999999996E-2</v>
      </c>
      <c r="F2">
        <v>2.8E-3</v>
      </c>
      <c r="G2" t="s">
        <v>15</v>
      </c>
      <c r="H2">
        <v>1</v>
      </c>
      <c r="I2">
        <f>H2*10</f>
        <v>10</v>
      </c>
      <c r="J2">
        <f>E2*I2</f>
        <v>0.74</v>
      </c>
      <c r="K2">
        <f>IF(ISBLANK(F2),"EMPTY",(F2*I2+IF(G2="yes",4.04,0)))</f>
        <v>2.8000000000000001E-2</v>
      </c>
      <c r="L2">
        <f>IF(K2="EMPTY",J2,IF(K2&lt;J2+1,K2,J2))</f>
        <v>2.8000000000000001E-2</v>
      </c>
      <c r="M2" t="str">
        <f>IF(K2="EMPTY","DIGIKEY",IF(K2&lt;J2+1,"JLC","DIGIKEY"))</f>
        <v>JLC</v>
      </c>
    </row>
    <row r="3" spans="1:20" x14ac:dyDescent="0.3">
      <c r="A3" t="s">
        <v>16</v>
      </c>
      <c r="B3" t="s">
        <v>17</v>
      </c>
      <c r="C3" t="s">
        <v>18</v>
      </c>
      <c r="D3" t="s">
        <v>19</v>
      </c>
      <c r="E3">
        <v>1.4710000000000001</v>
      </c>
      <c r="F3">
        <v>1.0630500000000001</v>
      </c>
      <c r="G3" t="s">
        <v>20</v>
      </c>
      <c r="H3">
        <v>1</v>
      </c>
      <c r="I3">
        <f t="shared" ref="I3:I20" si="0">H3*10</f>
        <v>10</v>
      </c>
      <c r="J3">
        <f t="shared" ref="J3:J20" si="1">E3*I3</f>
        <v>14.71</v>
      </c>
      <c r="K3">
        <f t="shared" ref="K3:K20" si="2">IF(ISBLANK(F3),"EMPTY",(F3*I3+IF(G3="yes",4.04,0)))</f>
        <v>14.670500000000001</v>
      </c>
      <c r="L3">
        <f t="shared" ref="L3:L20" si="3">IF(K3="EMPTY",J3,IF(K3&lt;J3+1,K3,J3))</f>
        <v>14.670500000000001</v>
      </c>
      <c r="M3" t="str">
        <f t="shared" ref="M3:M20" si="4">IF(K3="EMPTY","DIGIKEY",IF(K3&lt;J3+1,"JLC","DIGIKEY"))</f>
        <v>JLC</v>
      </c>
      <c r="T3" t="s">
        <v>93</v>
      </c>
    </row>
    <row r="4" spans="1:20" x14ac:dyDescent="0.3">
      <c r="A4" t="s">
        <v>21</v>
      </c>
      <c r="B4" t="s">
        <v>22</v>
      </c>
      <c r="C4" t="s">
        <v>76</v>
      </c>
      <c r="D4" t="s">
        <v>75</v>
      </c>
      <c r="E4">
        <v>0.317</v>
      </c>
      <c r="F4">
        <v>9.0800000000000006E-2</v>
      </c>
      <c r="G4" t="s">
        <v>15</v>
      </c>
      <c r="H4">
        <v>1</v>
      </c>
      <c r="I4">
        <f t="shared" si="0"/>
        <v>10</v>
      </c>
      <c r="J4">
        <f t="shared" si="1"/>
        <v>3.17</v>
      </c>
      <c r="K4">
        <f t="shared" si="2"/>
        <v>0.90800000000000003</v>
      </c>
      <c r="L4">
        <f t="shared" si="3"/>
        <v>0.90800000000000003</v>
      </c>
      <c r="M4" t="str">
        <f t="shared" si="4"/>
        <v>JLC</v>
      </c>
      <c r="P4" t="s">
        <v>83</v>
      </c>
      <c r="Q4" s="3">
        <v>33.590000000000003</v>
      </c>
      <c r="T4" s="3">
        <f>Q4</f>
        <v>33.590000000000003</v>
      </c>
    </row>
    <row r="5" spans="1:20" x14ac:dyDescent="0.3">
      <c r="A5" t="s">
        <v>26</v>
      </c>
      <c r="B5" t="s">
        <v>27</v>
      </c>
      <c r="C5" t="s">
        <v>13</v>
      </c>
      <c r="D5" t="s">
        <v>77</v>
      </c>
      <c r="E5" s="1">
        <v>0.05</v>
      </c>
      <c r="F5">
        <v>3.64E-3</v>
      </c>
      <c r="G5" t="s">
        <v>15</v>
      </c>
      <c r="H5">
        <v>1</v>
      </c>
      <c r="I5">
        <f t="shared" si="0"/>
        <v>10</v>
      </c>
      <c r="J5">
        <f t="shared" si="1"/>
        <v>0.5</v>
      </c>
      <c r="K5">
        <f t="shared" si="2"/>
        <v>3.6400000000000002E-2</v>
      </c>
      <c r="L5">
        <f t="shared" si="3"/>
        <v>3.6400000000000002E-2</v>
      </c>
      <c r="M5" t="str">
        <f t="shared" si="4"/>
        <v>JLC</v>
      </c>
      <c r="P5" t="s">
        <v>84</v>
      </c>
      <c r="Q5" s="3">
        <v>10.78</v>
      </c>
      <c r="T5" s="3" t="s">
        <v>94</v>
      </c>
    </row>
    <row r="6" spans="1:20" x14ac:dyDescent="0.3">
      <c r="A6" t="s">
        <v>23</v>
      </c>
      <c r="B6" t="s">
        <v>24</v>
      </c>
      <c r="C6" t="s">
        <v>13</v>
      </c>
      <c r="D6" t="s">
        <v>25</v>
      </c>
      <c r="E6">
        <v>8.5000000000000006E-2</v>
      </c>
      <c r="F6">
        <v>7.28E-3</v>
      </c>
      <c r="G6" t="s">
        <v>15</v>
      </c>
      <c r="H6">
        <v>1</v>
      </c>
      <c r="I6">
        <f t="shared" si="0"/>
        <v>10</v>
      </c>
      <c r="J6">
        <f t="shared" si="1"/>
        <v>0.85000000000000009</v>
      </c>
      <c r="K6">
        <f t="shared" si="2"/>
        <v>7.2800000000000004E-2</v>
      </c>
      <c r="L6">
        <f>IF(K6="EMPTY",J6,IF(K6&lt;J6+1,K6,J6))</f>
        <v>7.2800000000000004E-2</v>
      </c>
      <c r="M6" t="str">
        <f>IF(K6="EMPTY","DIGIKEY",IF(K6&lt;J6+1,"JLC","DIGIKEY"))</f>
        <v>JLC</v>
      </c>
      <c r="P6" t="s">
        <v>85</v>
      </c>
      <c r="Q6" s="3">
        <v>2.02</v>
      </c>
      <c r="T6" s="3" t="s">
        <v>94</v>
      </c>
    </row>
    <row r="7" spans="1:20" x14ac:dyDescent="0.3">
      <c r="A7" t="s">
        <v>28</v>
      </c>
      <c r="B7" t="s">
        <v>29</v>
      </c>
      <c r="C7" t="s">
        <v>30</v>
      </c>
      <c r="D7" t="s">
        <v>31</v>
      </c>
      <c r="E7">
        <v>1.266</v>
      </c>
      <c r="F7">
        <v>0.90539000000000003</v>
      </c>
      <c r="G7" t="s">
        <v>20</v>
      </c>
      <c r="H7">
        <v>1</v>
      </c>
      <c r="I7">
        <f t="shared" si="0"/>
        <v>10</v>
      </c>
      <c r="J7">
        <f t="shared" si="1"/>
        <v>12.66</v>
      </c>
      <c r="K7">
        <f t="shared" si="2"/>
        <v>13.093900000000001</v>
      </c>
      <c r="L7">
        <f t="shared" si="3"/>
        <v>13.093900000000001</v>
      </c>
      <c r="M7" t="str">
        <f t="shared" si="4"/>
        <v>JLC</v>
      </c>
      <c r="P7" t="s">
        <v>86</v>
      </c>
      <c r="Q7" s="3">
        <v>62.46</v>
      </c>
      <c r="R7" s="2">
        <f>SUM(Q7:Q8)</f>
        <v>93.41</v>
      </c>
      <c r="S7" t="s">
        <v>91</v>
      </c>
      <c r="T7" s="3" t="s">
        <v>94</v>
      </c>
    </row>
    <row r="8" spans="1:20" x14ac:dyDescent="0.3">
      <c r="A8" t="s">
        <v>32</v>
      </c>
      <c r="B8" t="s">
        <v>33</v>
      </c>
      <c r="C8" t="s">
        <v>34</v>
      </c>
      <c r="D8" t="s">
        <v>35</v>
      </c>
      <c r="E8">
        <v>0.47599999999999998</v>
      </c>
      <c r="F8">
        <v>0.10024</v>
      </c>
      <c r="G8" t="s">
        <v>20</v>
      </c>
      <c r="H8">
        <v>1</v>
      </c>
      <c r="I8">
        <f>H8*10+2</f>
        <v>12</v>
      </c>
      <c r="J8">
        <f t="shared" si="1"/>
        <v>5.7119999999999997</v>
      </c>
      <c r="K8">
        <f t="shared" si="2"/>
        <v>5.2428799999999995</v>
      </c>
      <c r="L8">
        <f t="shared" si="3"/>
        <v>5.2428799999999995</v>
      </c>
      <c r="M8" t="str">
        <f t="shared" si="4"/>
        <v>JLC</v>
      </c>
      <c r="P8" t="s">
        <v>87</v>
      </c>
      <c r="Q8" s="3">
        <v>30.95</v>
      </c>
      <c r="T8" s="3" t="s">
        <v>94</v>
      </c>
    </row>
    <row r="9" spans="1:20" x14ac:dyDescent="0.3">
      <c r="A9" t="s">
        <v>36</v>
      </c>
      <c r="B9">
        <v>3568</v>
      </c>
      <c r="C9" t="s">
        <v>37</v>
      </c>
      <c r="E9">
        <v>1.68</v>
      </c>
      <c r="H9">
        <v>1</v>
      </c>
      <c r="I9">
        <f t="shared" si="0"/>
        <v>10</v>
      </c>
      <c r="J9">
        <f t="shared" si="1"/>
        <v>16.8</v>
      </c>
      <c r="K9" t="str">
        <f t="shared" si="2"/>
        <v>EMPTY</v>
      </c>
      <c r="L9">
        <f t="shared" si="3"/>
        <v>16.8</v>
      </c>
      <c r="M9" t="str">
        <f t="shared" si="4"/>
        <v>DIGIKEY</v>
      </c>
      <c r="P9" t="s">
        <v>88</v>
      </c>
      <c r="Q9" s="3">
        <v>1.85</v>
      </c>
      <c r="T9" s="3" t="s">
        <v>94</v>
      </c>
    </row>
    <row r="10" spans="1:20" x14ac:dyDescent="0.3">
      <c r="A10" t="s">
        <v>38</v>
      </c>
      <c r="B10" t="s">
        <v>39</v>
      </c>
      <c r="C10" t="s">
        <v>39</v>
      </c>
      <c r="D10" t="s">
        <v>78</v>
      </c>
      <c r="E10">
        <v>0.49519999999999997</v>
      </c>
      <c r="F10">
        <v>6.7500000000000004E-2</v>
      </c>
      <c r="G10" t="s">
        <v>20</v>
      </c>
      <c r="H10">
        <v>11</v>
      </c>
      <c r="I10">
        <f>H10*10+2</f>
        <v>112</v>
      </c>
      <c r="J10">
        <f t="shared" si="1"/>
        <v>55.462399999999995</v>
      </c>
      <c r="K10">
        <f t="shared" si="2"/>
        <v>11.600000000000001</v>
      </c>
      <c r="L10">
        <f t="shared" si="3"/>
        <v>11.600000000000001</v>
      </c>
      <c r="M10" t="str">
        <f t="shared" si="4"/>
        <v>JLC</v>
      </c>
      <c r="P10" t="s">
        <v>89</v>
      </c>
      <c r="Q10" s="3">
        <v>0.57999999999999996</v>
      </c>
      <c r="T10" s="3" t="s">
        <v>94</v>
      </c>
    </row>
    <row r="11" spans="1:20" x14ac:dyDescent="0.3">
      <c r="A11" t="s">
        <v>40</v>
      </c>
      <c r="B11" t="s">
        <v>41</v>
      </c>
      <c r="C11" t="s">
        <v>41</v>
      </c>
      <c r="D11" t="s">
        <v>79</v>
      </c>
      <c r="E11">
        <v>0.60599999999999998</v>
      </c>
      <c r="F11">
        <v>0.24965999999999999</v>
      </c>
      <c r="G11" t="s">
        <v>20</v>
      </c>
      <c r="H11">
        <v>1</v>
      </c>
      <c r="I11">
        <f>H11*10+2</f>
        <v>12</v>
      </c>
      <c r="J11">
        <f t="shared" si="1"/>
        <v>7.2720000000000002</v>
      </c>
      <c r="K11">
        <f t="shared" si="2"/>
        <v>7.03592</v>
      </c>
      <c r="L11">
        <f t="shared" si="3"/>
        <v>7.03592</v>
      </c>
      <c r="M11" t="str">
        <f t="shared" si="4"/>
        <v>JLC</v>
      </c>
      <c r="Q11" s="3"/>
      <c r="T11" s="3"/>
    </row>
    <row r="12" spans="1:20" x14ac:dyDescent="0.3">
      <c r="A12" t="s">
        <v>42</v>
      </c>
      <c r="B12" t="s">
        <v>43</v>
      </c>
      <c r="C12" t="s">
        <v>43</v>
      </c>
      <c r="D12" t="s">
        <v>80</v>
      </c>
      <c r="E12">
        <v>0.26900000000000002</v>
      </c>
      <c r="F12">
        <v>3.95E-2</v>
      </c>
      <c r="G12" t="s">
        <v>20</v>
      </c>
      <c r="H12">
        <v>1</v>
      </c>
      <c r="I12">
        <f t="shared" si="0"/>
        <v>10</v>
      </c>
      <c r="J12">
        <f t="shared" si="1"/>
        <v>2.6900000000000004</v>
      </c>
      <c r="K12">
        <f t="shared" si="2"/>
        <v>4.4350000000000005</v>
      </c>
      <c r="L12">
        <f t="shared" si="3"/>
        <v>2.6900000000000004</v>
      </c>
      <c r="M12" t="str">
        <f t="shared" si="4"/>
        <v>DIGIKEY</v>
      </c>
      <c r="P12" t="s">
        <v>82</v>
      </c>
      <c r="Q12" s="3">
        <v>74.34</v>
      </c>
      <c r="T12" s="3">
        <v>45</v>
      </c>
    </row>
    <row r="13" spans="1:20" x14ac:dyDescent="0.3">
      <c r="A13" t="s">
        <v>44</v>
      </c>
      <c r="B13" t="s">
        <v>45</v>
      </c>
      <c r="C13" t="s">
        <v>46</v>
      </c>
      <c r="D13" t="s">
        <v>47</v>
      </c>
      <c r="E13">
        <v>4.2000000000000003E-2</v>
      </c>
      <c r="F13">
        <v>1.6500000000000001E-2</v>
      </c>
      <c r="G13" t="s">
        <v>20</v>
      </c>
      <c r="H13">
        <v>1</v>
      </c>
      <c r="I13">
        <f t="shared" si="0"/>
        <v>10</v>
      </c>
      <c r="J13">
        <f t="shared" si="1"/>
        <v>0.42000000000000004</v>
      </c>
      <c r="K13">
        <f t="shared" si="2"/>
        <v>4.2050000000000001</v>
      </c>
      <c r="L13">
        <f t="shared" si="3"/>
        <v>0.42000000000000004</v>
      </c>
      <c r="M13" t="str">
        <f t="shared" si="4"/>
        <v>DIGIKEY</v>
      </c>
      <c r="P13" t="s">
        <v>90</v>
      </c>
      <c r="Q13" s="3">
        <f>SUM(Q4:Q12)</f>
        <v>216.57000000000002</v>
      </c>
      <c r="T13" s="3">
        <f>SUM(T4:T12)</f>
        <v>78.59</v>
      </c>
    </row>
    <row r="14" spans="1:20" x14ac:dyDescent="0.3">
      <c r="A14" t="s">
        <v>48</v>
      </c>
      <c r="B14" t="s">
        <v>49</v>
      </c>
      <c r="C14" t="s">
        <v>50</v>
      </c>
      <c r="D14" t="s">
        <v>51</v>
      </c>
      <c r="E14">
        <v>1.7569999999999999</v>
      </c>
      <c r="F14">
        <v>0.63256000000000001</v>
      </c>
      <c r="G14" t="s">
        <v>20</v>
      </c>
      <c r="H14">
        <v>1</v>
      </c>
      <c r="I14">
        <f t="shared" si="0"/>
        <v>10</v>
      </c>
      <c r="J14">
        <f t="shared" si="1"/>
        <v>17.57</v>
      </c>
      <c r="K14">
        <f t="shared" si="2"/>
        <v>10.365600000000001</v>
      </c>
      <c r="L14">
        <f t="shared" si="3"/>
        <v>10.365600000000001</v>
      </c>
      <c r="M14" t="str">
        <f t="shared" si="4"/>
        <v>JLC</v>
      </c>
      <c r="P14" t="s">
        <v>96</v>
      </c>
      <c r="Q14" s="3">
        <f>0.12*Q13</f>
        <v>25.988400000000002</v>
      </c>
      <c r="T14" s="3">
        <f>0.17*T13</f>
        <v>13.360300000000002</v>
      </c>
    </row>
    <row r="15" spans="1:20" x14ac:dyDescent="0.3">
      <c r="A15" t="s">
        <v>52</v>
      </c>
      <c r="B15" t="s">
        <v>53</v>
      </c>
      <c r="C15" t="s">
        <v>54</v>
      </c>
      <c r="D15" t="s">
        <v>55</v>
      </c>
      <c r="E15">
        <v>1.0969</v>
      </c>
      <c r="F15">
        <v>0.55779999999999996</v>
      </c>
      <c r="G15" t="s">
        <v>20</v>
      </c>
      <c r="H15">
        <v>2</v>
      </c>
      <c r="I15">
        <f t="shared" si="0"/>
        <v>20</v>
      </c>
      <c r="J15">
        <f t="shared" si="1"/>
        <v>21.937999999999999</v>
      </c>
      <c r="K15">
        <f t="shared" si="2"/>
        <v>15.195999999999998</v>
      </c>
      <c r="L15">
        <f t="shared" si="3"/>
        <v>15.195999999999998</v>
      </c>
      <c r="M15" t="str">
        <f t="shared" si="4"/>
        <v>JLC</v>
      </c>
      <c r="P15" t="s">
        <v>97</v>
      </c>
      <c r="Q15" s="3">
        <v>17.5</v>
      </c>
      <c r="T15" s="3"/>
    </row>
    <row r="16" spans="1:20" x14ac:dyDescent="0.3">
      <c r="A16" t="s">
        <v>56</v>
      </c>
      <c r="B16" t="s">
        <v>57</v>
      </c>
      <c r="C16" t="s">
        <v>58</v>
      </c>
      <c r="D16" t="s">
        <v>59</v>
      </c>
      <c r="E16">
        <v>2.3E-2</v>
      </c>
      <c r="F16">
        <v>1.2149999999999999E-3</v>
      </c>
      <c r="G16" t="s">
        <v>15</v>
      </c>
      <c r="H16">
        <v>2</v>
      </c>
      <c r="I16">
        <f t="shared" si="0"/>
        <v>20</v>
      </c>
      <c r="J16">
        <f t="shared" si="1"/>
        <v>0.45999999999999996</v>
      </c>
      <c r="K16">
        <f t="shared" si="2"/>
        <v>2.4299999999999999E-2</v>
      </c>
      <c r="L16">
        <f t="shared" si="3"/>
        <v>2.4299999999999999E-2</v>
      </c>
      <c r="M16" t="str">
        <f t="shared" si="4"/>
        <v>JLC</v>
      </c>
      <c r="P16" t="s">
        <v>73</v>
      </c>
      <c r="Q16" s="3">
        <f>SUM(Q13:Q15)</f>
        <v>260.05840000000001</v>
      </c>
      <c r="T16" s="3">
        <f>T13+T14</f>
        <v>91.950299999999999</v>
      </c>
    </row>
    <row r="17" spans="1:20" x14ac:dyDescent="0.3">
      <c r="A17" t="s">
        <v>60</v>
      </c>
      <c r="B17" t="s">
        <v>61</v>
      </c>
      <c r="C17" t="s">
        <v>58</v>
      </c>
      <c r="D17" t="s">
        <v>62</v>
      </c>
      <c r="E17">
        <v>2.3E-2</v>
      </c>
      <c r="F17">
        <v>1.5E-3</v>
      </c>
      <c r="G17" t="s">
        <v>20</v>
      </c>
      <c r="H17">
        <v>1</v>
      </c>
      <c r="I17">
        <f t="shared" si="0"/>
        <v>10</v>
      </c>
      <c r="J17">
        <f t="shared" si="1"/>
        <v>0.22999999999999998</v>
      </c>
      <c r="K17">
        <f t="shared" si="2"/>
        <v>4.0549999999999997</v>
      </c>
      <c r="L17">
        <f t="shared" si="3"/>
        <v>0.22999999999999998</v>
      </c>
      <c r="M17" t="str">
        <f t="shared" si="4"/>
        <v>DIGIKEY</v>
      </c>
      <c r="Q17" s="3"/>
      <c r="T17" s="3"/>
    </row>
    <row r="18" spans="1:20" x14ac:dyDescent="0.3">
      <c r="A18" t="s">
        <v>63</v>
      </c>
      <c r="B18" t="s">
        <v>64</v>
      </c>
      <c r="C18" t="s">
        <v>58</v>
      </c>
      <c r="D18" t="s">
        <v>65</v>
      </c>
      <c r="E18">
        <v>2.3E-2</v>
      </c>
      <c r="F18">
        <v>8.9999999999999998E-4</v>
      </c>
      <c r="G18" t="s">
        <v>20</v>
      </c>
      <c r="H18">
        <v>1</v>
      </c>
      <c r="I18">
        <f t="shared" si="0"/>
        <v>10</v>
      </c>
      <c r="J18">
        <f t="shared" si="1"/>
        <v>0.22999999999999998</v>
      </c>
      <c r="K18">
        <f t="shared" si="2"/>
        <v>4.0490000000000004</v>
      </c>
      <c r="L18">
        <f t="shared" si="3"/>
        <v>0.22999999999999998</v>
      </c>
      <c r="M18" t="str">
        <f t="shared" si="4"/>
        <v>DIGIKEY</v>
      </c>
      <c r="Q18" s="3">
        <f>Q16+N22</f>
        <v>293.74840000000006</v>
      </c>
      <c r="T18" s="3">
        <f>T16+J22</f>
        <v>313.38469999999995</v>
      </c>
    </row>
    <row r="19" spans="1:20" x14ac:dyDescent="0.3">
      <c r="A19" t="s">
        <v>66</v>
      </c>
      <c r="B19" t="s">
        <v>67</v>
      </c>
      <c r="C19" t="s">
        <v>68</v>
      </c>
      <c r="E19">
        <v>1.3320000000000001</v>
      </c>
      <c r="H19">
        <v>1</v>
      </c>
      <c r="I19">
        <f t="shared" si="0"/>
        <v>10</v>
      </c>
      <c r="J19">
        <f t="shared" si="1"/>
        <v>13.32</v>
      </c>
      <c r="K19" t="str">
        <f t="shared" si="2"/>
        <v>EMPTY</v>
      </c>
      <c r="L19">
        <f t="shared" si="3"/>
        <v>13.32</v>
      </c>
      <c r="M19" t="str">
        <f t="shared" si="4"/>
        <v>DIGIKEY</v>
      </c>
      <c r="P19" t="s">
        <v>92</v>
      </c>
      <c r="Q19" s="3">
        <f>Q18/10</f>
        <v>29.374840000000006</v>
      </c>
      <c r="T19" s="3">
        <f>T18/10</f>
        <v>31.338469999999994</v>
      </c>
    </row>
    <row r="20" spans="1:20" x14ac:dyDescent="0.3">
      <c r="A20" t="s">
        <v>69</v>
      </c>
      <c r="B20" t="s">
        <v>70</v>
      </c>
      <c r="C20" t="s">
        <v>71</v>
      </c>
      <c r="D20" t="s">
        <v>72</v>
      </c>
      <c r="E20">
        <v>4.67</v>
      </c>
      <c r="F20">
        <v>1.24895</v>
      </c>
      <c r="G20" t="s">
        <v>20</v>
      </c>
      <c r="H20">
        <v>1</v>
      </c>
      <c r="I20">
        <f t="shared" si="0"/>
        <v>10</v>
      </c>
      <c r="J20">
        <f t="shared" si="1"/>
        <v>46.7</v>
      </c>
      <c r="K20">
        <f t="shared" si="2"/>
        <v>16.529499999999999</v>
      </c>
      <c r="L20">
        <f t="shared" si="3"/>
        <v>16.529499999999999</v>
      </c>
      <c r="M20" t="str">
        <f t="shared" si="4"/>
        <v>JLC</v>
      </c>
    </row>
    <row r="21" spans="1:20" x14ac:dyDescent="0.3">
      <c r="M21">
        <f>COUNTIF(M2:M20,"JLC")</f>
        <v>13</v>
      </c>
    </row>
    <row r="22" spans="1:20" x14ac:dyDescent="0.3">
      <c r="J22">
        <f>SUM(J2:J20)</f>
        <v>221.43439999999998</v>
      </c>
      <c r="K22" t="s">
        <v>73</v>
      </c>
      <c r="L22">
        <f>SUM(L2:L20)</f>
        <v>128.49380000000002</v>
      </c>
      <c r="M22" s="2">
        <f>SUMIF(M2:M20,"JLC",L2:L20)</f>
        <v>94.803799999999995</v>
      </c>
      <c r="N22">
        <f>L22-M22</f>
        <v>33.690000000000026</v>
      </c>
      <c r="Q22" t="s">
        <v>95</v>
      </c>
    </row>
    <row r="23" spans="1:20" x14ac:dyDescent="0.3">
      <c r="K23" t="s">
        <v>74</v>
      </c>
      <c r="L23">
        <v>33.590000000000003</v>
      </c>
    </row>
    <row r="24" spans="1:20" x14ac:dyDescent="0.3">
      <c r="D24" t="s">
        <v>98</v>
      </c>
      <c r="E24">
        <v>1.3497425000000001</v>
      </c>
    </row>
    <row r="25" spans="1:20" x14ac:dyDescent="0.3">
      <c r="P25">
        <f>30.95/8</f>
        <v>3.8687499999999999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Midplate BOM Jan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bryant1h@student.ubc.ca</cp:lastModifiedBy>
  <dcterms:created xsi:type="dcterms:W3CDTF">2024-01-16T04:00:34Z</dcterms:created>
  <dcterms:modified xsi:type="dcterms:W3CDTF">2024-01-17T04:22:33Z</dcterms:modified>
</cp:coreProperties>
</file>