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 Bots\Electrical\PowerBoard\"/>
    </mc:Choice>
  </mc:AlternateContent>
  <xr:revisionPtr revIDLastSave="0" documentId="13_ncr:1_{5E962606-B303-4983-8A86-39C560A3E3C8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POWE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8" i="1"/>
  <c r="S9" i="1"/>
  <c r="S10" i="1"/>
  <c r="S11" i="1"/>
  <c r="S12" i="1"/>
  <c r="S13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5" i="1"/>
  <c r="S56" i="1"/>
  <c r="S57" i="1"/>
  <c r="S59" i="1"/>
  <c r="S60" i="1"/>
  <c r="S61" i="1"/>
  <c r="S64" i="1"/>
  <c r="S65" i="1"/>
  <c r="S67" i="1"/>
  <c r="O3" i="1"/>
  <c r="O4" i="1"/>
  <c r="O5" i="1"/>
  <c r="O6" i="1"/>
  <c r="O8" i="1"/>
  <c r="O9" i="1"/>
  <c r="O10" i="1"/>
  <c r="O11" i="1"/>
  <c r="O12" i="1"/>
  <c r="O13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9" i="1"/>
  <c r="O60" i="1"/>
  <c r="O61" i="1"/>
  <c r="O64" i="1"/>
  <c r="O65" i="1"/>
  <c r="O67" i="1"/>
  <c r="O2" i="1"/>
  <c r="T2" i="1"/>
  <c r="T3" i="1"/>
  <c r="T4" i="1"/>
  <c r="T5" i="1"/>
  <c r="T6" i="1"/>
  <c r="T8" i="1"/>
  <c r="T9" i="1"/>
  <c r="T10" i="1"/>
  <c r="T11" i="1"/>
  <c r="T12" i="1"/>
  <c r="T13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4" i="1"/>
  <c r="T65" i="1"/>
  <c r="T67" i="1"/>
  <c r="R3" i="1"/>
  <c r="R4" i="1"/>
  <c r="R5" i="1"/>
  <c r="R6" i="1"/>
  <c r="R8" i="1"/>
  <c r="R9" i="1"/>
  <c r="R10" i="1"/>
  <c r="R11" i="1"/>
  <c r="R12" i="1"/>
  <c r="R13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5" i="1"/>
  <c r="R56" i="1"/>
  <c r="R57" i="1"/>
  <c r="R59" i="1"/>
  <c r="R60" i="1"/>
  <c r="R61" i="1"/>
  <c r="R64" i="1"/>
  <c r="R65" i="1"/>
  <c r="R67" i="1"/>
  <c r="R2" i="1"/>
  <c r="Q67" i="1"/>
  <c r="M67" i="1"/>
  <c r="Q2" i="1"/>
  <c r="V67" i="1" l="1"/>
  <c r="W67" i="1"/>
  <c r="P67" i="1" s="1"/>
  <c r="M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  <c r="W22" i="1"/>
  <c r="W25" i="1"/>
  <c r="W26" i="1"/>
  <c r="W27" i="1"/>
  <c r="W28" i="1"/>
  <c r="W37" i="1"/>
  <c r="W39" i="1"/>
  <c r="W40" i="1"/>
  <c r="W55" i="1"/>
  <c r="W62" i="1"/>
  <c r="R66" i="1" l="1"/>
  <c r="T66" i="1" s="1"/>
  <c r="O66" i="1"/>
  <c r="S66" i="1" s="1"/>
  <c r="R63" i="1"/>
  <c r="T63" i="1" s="1"/>
  <c r="O63" i="1"/>
  <c r="S63" i="1" s="1"/>
  <c r="O62" i="1"/>
  <c r="S62" i="1" s="1"/>
  <c r="V62" i="1" s="1"/>
  <c r="R62" i="1"/>
  <c r="O58" i="1"/>
  <c r="S58" i="1" s="1"/>
  <c r="R58" i="1"/>
  <c r="R54" i="1"/>
  <c r="O54" i="1"/>
  <c r="S54" i="1" s="1"/>
  <c r="O31" i="1"/>
  <c r="S31" i="1" s="1"/>
  <c r="R31" i="1"/>
  <c r="T31" i="1" s="1"/>
  <c r="O27" i="1"/>
  <c r="S27" i="1" s="1"/>
  <c r="V27" i="1" s="1"/>
  <c r="R27" i="1"/>
  <c r="O15" i="1"/>
  <c r="S15" i="1" s="1"/>
  <c r="R15" i="1"/>
  <c r="T15" i="1" s="1"/>
  <c r="R14" i="1"/>
  <c r="T14" i="1" s="1"/>
  <c r="O14" i="1"/>
  <c r="S14" i="1" s="1"/>
  <c r="O7" i="1"/>
  <c r="S7" i="1" s="1"/>
  <c r="R7" i="1"/>
  <c r="T7" i="1" s="1"/>
  <c r="Q11" i="1"/>
  <c r="Q61" i="1"/>
  <c r="Q60" i="1"/>
  <c r="Q59" i="1"/>
  <c r="Q47" i="1"/>
  <c r="Q34" i="1"/>
  <c r="Q22" i="1"/>
  <c r="V22" i="1"/>
  <c r="Q10" i="1"/>
  <c r="V58" i="1"/>
  <c r="Q58" i="1"/>
  <c r="Q46" i="1"/>
  <c r="Q33" i="1"/>
  <c r="Q21" i="1"/>
  <c r="Q9" i="1"/>
  <c r="Q12" i="1"/>
  <c r="Q57" i="1"/>
  <c r="Q20" i="1"/>
  <c r="V56" i="1"/>
  <c r="Q56" i="1"/>
  <c r="Q44" i="1"/>
  <c r="Q31" i="1"/>
  <c r="Q19" i="1"/>
  <c r="Q7" i="1"/>
  <c r="Q32" i="1"/>
  <c r="P55" i="1"/>
  <c r="Q55" i="1"/>
  <c r="Q43" i="1"/>
  <c r="Q30" i="1"/>
  <c r="Q18" i="1"/>
  <c r="Q6" i="1"/>
  <c r="Q37" i="1"/>
  <c r="P37" i="1"/>
  <c r="Q8" i="1"/>
  <c r="Q66" i="1"/>
  <c r="V54" i="1"/>
  <c r="Q54" i="1"/>
  <c r="V42" i="1"/>
  <c r="Q42" i="1"/>
  <c r="Q17" i="1"/>
  <c r="Q5" i="1"/>
  <c r="Q45" i="1"/>
  <c r="Q65" i="1"/>
  <c r="Q53" i="1"/>
  <c r="V41" i="1"/>
  <c r="Q41" i="1"/>
  <c r="V28" i="1"/>
  <c r="Q28" i="1"/>
  <c r="Q16" i="1"/>
  <c r="V4" i="1"/>
  <c r="Q4" i="1"/>
  <c r="Q49" i="1"/>
  <c r="Q48" i="1"/>
  <c r="Q64" i="1"/>
  <c r="Q52" i="1"/>
  <c r="V40" i="1"/>
  <c r="Q40" i="1"/>
  <c r="Q27" i="1"/>
  <c r="Q15" i="1"/>
  <c r="Q3" i="1"/>
  <c r="Q24" i="1"/>
  <c r="Q23" i="1"/>
  <c r="Q63" i="1"/>
  <c r="Q51" i="1"/>
  <c r="V39" i="1"/>
  <c r="Q39" i="1"/>
  <c r="V26" i="1"/>
  <c r="Q26" i="1"/>
  <c r="Q14" i="1"/>
  <c r="Q36" i="1"/>
  <c r="Q62" i="1"/>
  <c r="Q50" i="1"/>
  <c r="Q38" i="1"/>
  <c r="V25" i="1"/>
  <c r="Q25" i="1"/>
  <c r="Q13" i="1"/>
  <c r="Q35" i="1"/>
  <c r="Q29" i="1"/>
  <c r="W11" i="1"/>
  <c r="P11" i="1" s="1"/>
  <c r="W23" i="1"/>
  <c r="P23" i="1" s="1"/>
  <c r="W59" i="1"/>
  <c r="P59" i="1" s="1"/>
  <c r="W44" i="1"/>
  <c r="P44" i="1" s="1"/>
  <c r="W58" i="1"/>
  <c r="P58" i="1" s="1"/>
  <c r="W56" i="1"/>
  <c r="P56" i="1" s="1"/>
  <c r="W54" i="1"/>
  <c r="W42" i="1"/>
  <c r="W41" i="1"/>
  <c r="W4" i="1"/>
  <c r="P4" i="1" s="1"/>
  <c r="V37" i="1" l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V45" i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V74" i="1" l="1"/>
  <c r="P12" i="1"/>
  <c r="P15" i="1"/>
  <c r="X69" i="1"/>
  <c r="P57" i="1"/>
  <c r="V2" i="1"/>
  <c r="V70" i="1" s="1"/>
  <c r="W2" i="1"/>
  <c r="P2" i="1" s="1"/>
  <c r="X66" i="1" l="1"/>
  <c r="X70" i="1"/>
  <c r="W70" i="1"/>
  <c r="X75" i="1"/>
  <c r="W69" i="1"/>
  <c r="AB53" i="1" l="1"/>
  <c r="AA58" i="1" s="1"/>
  <c r="AA59" i="1" s="1"/>
  <c r="AA61" i="1" s="1"/>
  <c r="AA63" i="1" s="1"/>
  <c r="AA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  <author>tc={BFA47708-E4CD-44EB-84B5-D1417A4FFC41}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  <comment ref="F61" authorId="6" shapeId="0" xr:uid="{BFA47708-E4CD-44EB-84B5-D1417A4FFC41}">
      <text>
        <t>[Threaded comment]
Your version of Excel allows you to read this threaded comment; however, any edits to it will get removed if the file is opened in a newer version of Excel. Learn more: https://go.microsoft.com/fwlink/?linkid=870924
Comment:
    Alt from winbond elec is cheap and basic part</t>
      </text>
    </comment>
  </commentList>
</comments>
</file>

<file path=xl/sharedStrings.xml><?xml version="1.0" encoding="utf-8"?>
<sst xmlns="http://schemas.openxmlformats.org/spreadsheetml/2006/main" count="475" uniqueCount="339">
  <si>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</si>
  <si>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</si>
  <si>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</si>
  <si>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</si>
  <si>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</si>
  <si>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</si>
  <si>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</si>
  <si>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</si>
  <si>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</si>
  <si>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</si>
  <si>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</si>
  <si>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</si>
  <si>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</si>
  <si>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</si>
  <si>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</si>
  <si>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</si>
  <si>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</si>
  <si>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</si>
  <si>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</si>
  <si>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</si>
  <si>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</si>
  <si>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</si>
  <si>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</si>
  <si>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</si>
  <si>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</si>
  <si>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</si>
  <si>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</si>
  <si>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</si>
  <si>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</si>
  <si>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</si>
  <si>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</si>
  <si>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</si>
  <si>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</si>
  <si>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</si>
  <si>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</si>
  <si>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</si>
  <si>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</si>
  <si>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</si>
  <si>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</si>
  <si>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</si>
  <si>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</si>
  <si>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</si>
  <si>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</si>
  <si>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</si>
  <si>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</si>
  <si>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</si>
  <si>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</si>
  <si>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</si>
  <si>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</si>
  <si>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</si>
  <si>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</si>
  <si>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</si>
  <si>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</si>
  <si>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</si>
  <si>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</si>
  <si>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</si>
  <si>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</si>
  <si>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</si>
  <si>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</si>
  <si>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</si>
  <si>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</si>
  <si>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</si>
  <si>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</si>
  <si>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</si>
  <si>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</si>
  <si>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</si>
  <si>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</si>
  <si>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</si>
  <si>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</si>
  <si>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</si>
  <si>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</si>
  <si>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</si>
  <si>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</si>
  <si>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</si>
  <si>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</si>
  <si>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</si>
  <si>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</si>
  <si>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</si>
  <si>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</si>
  <si>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</si>
  <si>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</si>
  <si>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</si>
  <si>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</si>
  <si>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</si>
  <si>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</si>
  <si>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</si>
  <si>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</si>
  <si>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</si>
  <si>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</si>
  <si>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</si>
  <si>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</si>
  <si>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</si>
  <si>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</si>
  <si>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</si>
  <si>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</si>
  <si>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</si>
  <si>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</si>
  <si>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</si>
  <si>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</si>
  <si>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</si>
  <si>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</si>
  <si>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</si>
  <si>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</si>
  <si>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</si>
  <si>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</si>
  <si>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</si>
  <si>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</si>
  <si>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</si>
  <si>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</si>
  <si>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</si>
  <si>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</si>
  <si>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</si>
  <si>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</si>
  <si>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</si>
  <si>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</si>
  <si>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</si>
  <si>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</si>
  <si>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</si>
  <si>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</si>
  <si>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</si>
  <si>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</si>
  <si>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</si>
  <si>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</si>
  <si>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</si>
  <si>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</si>
  <si>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</si>
  <si>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</si>
  <si>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</si>
  <si>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</si>
  <si>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</si>
  <si>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</si>
  <si>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</si>
  <si>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</si>
  <si>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</si>
  <si>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</si>
  <si>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</si>
  <si>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</si>
  <si>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</si>
  <si>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</si>
  <si>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</si>
  <si>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</si>
  <si>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</si>
  <si>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</si>
  <si>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</si>
  <si>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</si>
  <si>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</si>
  <si>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</si>
  <si>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</si>
  <si>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</si>
  <si>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</si>
  <si>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</si>
  <si>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</si>
  <si>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</si>
  <si>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</si>
  <si>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</si>
  <si>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</si>
  <si>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</si>
  <si>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</si>
  <si>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</si>
  <si>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</si>
  <si>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</si>
  <si>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</si>
  <si>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</si>
  <si>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</si>
  <si>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</si>
  <si>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</si>
  <si>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</si>
  <si>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</si>
  <si>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</si>
  <si>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</si>
  <si>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</si>
  <si>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</si>
  <si>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</si>
  <si>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</si>
  <si>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</si>
  <si>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</si>
  <si>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</si>
  <si>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</si>
  <si>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</si>
  <si>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</si>
  <si>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</si>
  <si>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</si>
  <si>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</si>
  <si>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</si>
  <si>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</si>
  <si>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</si>
  <si>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</si>
  <si>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</si>
  <si>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</si>
  <si>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</si>
  <si>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</si>
  <si>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</si>
  <si>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</si>
  <si>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</si>
  <si>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</si>
  <si>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</si>
  <si>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</si>
  <si>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</si>
  <si>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</si>
  <si>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</si>
  <si>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</si>
  <si>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</si>
  <si>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</si>
  <si>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</si>
  <si>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</si>
  <si>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</si>
  <si>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</si>
  <si>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</si>
  <si>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</si>
  <si>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</si>
  <si>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</si>
  <si>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</si>
  <si>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</si>
  <si>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</si>
  <si>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</si>
  <si>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</si>
  <si>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</si>
  <si>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</si>
  <si>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</si>
  <si>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</si>
  <si>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</si>
  <si>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</si>
  <si>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</si>
  <si>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</si>
  <si>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</si>
  <si>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</si>
  <si>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</si>
  <si>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</si>
  <si>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</si>
  <si>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</si>
  <si>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</si>
  <si>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</si>
  <si>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</si>
  <si>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</si>
  <si>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</si>
  <si>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</si>
  <si>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</si>
  <si>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</si>
  <si>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</si>
  <si>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</si>
  <si>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</si>
  <si>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</si>
  <si>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</si>
  <si>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</si>
  <si>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</si>
  <si>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</si>
  <si>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</si>
  <si>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</si>
  <si>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</si>
  <si>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</si>
  <si>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</si>
  <si>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</si>
  <si>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</si>
  <si>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</si>
  <si>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</si>
  <si>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</si>
  <si>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</si>
  <si>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</si>
  <si>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</si>
  <si>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</si>
  <si>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</si>
  <si>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</si>
  <si>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</si>
  <si>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</si>
  <si>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C97521</t>
  </si>
  <si>
    <t>C61643</t>
  </si>
  <si>
    <t>TOTAL</t>
  </si>
  <si>
    <t>Board Cost</t>
  </si>
  <si>
    <t>PCB</t>
  </si>
  <si>
    <t>setup</t>
  </si>
  <si>
    <t>stencil</t>
  </si>
  <si>
    <t>components</t>
  </si>
  <si>
    <t>extended fee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</si>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</sst>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  <threadedComment ref="F61" dT="2024-01-22T12:15:36.81" personId="{B7E97F6A-A6D9-4526-93D7-E9F61BCAD376}" id="{BFA47708-E4CD-44EB-84B5-D1417A4FFC41}">
    <text>Alt from winbond elec is cheap and basic part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5"/>
  <sheetViews>
    <sheetView tabSelected="1" topLeftCell="K43" zoomScale="101" workbookViewId="0">
      <selection activeCell="R56" sqref="R56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4" max="24" width="17.88671875" customWidth="1"/>
    <col min="27" max="27" width="12.6640625" customWidth="1"/>
    <col min="28" max="28" width="13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318</v>
      </c>
      <c r="H1" t="s">
        <v>319</v>
      </c>
      <c r="I1" t="s">
        <v>202</v>
      </c>
      <c r="J1" t="s">
        <v>281</v>
      </c>
      <c r="K1" t="s">
        <v>255</v>
      </c>
      <c r="L1" t="s">
        <v>201</v>
      </c>
      <c r="M1" t="s">
        <v>256</v>
      </c>
      <c r="N1" t="s">
        <v>253</v>
      </c>
      <c r="O1" t="s">
        <v>288</v>
      </c>
      <c r="P1" t="s">
        <v>323</v>
      </c>
      <c r="Q1" t="s">
        <v>321</v>
      </c>
      <c r="R1" t="s">
        <v>289</v>
      </c>
      <c r="S1" t="s">
        <v>250</v>
      </c>
      <c r="T1" t="s">
        <v>251</v>
      </c>
      <c r="U1" t="s">
        <v>285</v>
      </c>
      <c r="V1" t="s">
        <v>252</v>
      </c>
    </row>
    <row r="2" spans="1:24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290</v>
      </c>
      <c r="H2">
        <v>1.4710000000000001</v>
      </c>
      <c r="I2">
        <v>1.0630500000000001</v>
      </c>
      <c r="L2">
        <v>2</v>
      </c>
      <c r="M2">
        <f>L2-K2</f>
        <v>2</v>
      </c>
      <c r="O2">
        <f>M2*5</f>
        <v>10</v>
      </c>
      <c r="P2">
        <f>IF(W2="DIGIKEY",O2,0)</f>
        <v>10</v>
      </c>
      <c r="Q2">
        <f>IFN2*8</f>
        <v>0</v>
      </c>
      <c r="R2">
        <f>M2*5</f>
        <v>10</v>
      </c>
      <c r="S2">
        <f t="shared" ref="S2:S65" si="0">IF(O2&gt;10,H2*O2,G2*O2)</f>
        <v>19.7</v>
      </c>
      <c r="T2">
        <f t="shared" ref="T2:T65" si="1">IF(ISBLANK(D2),"EMPTY",(I2*R2+IF(D2="yes",4.04,0)))</f>
        <v>14.670500000000001</v>
      </c>
      <c r="U2" t="s">
        <v>286</v>
      </c>
      <c r="V2">
        <f t="shared" ref="V2:V33" si="2">IF(T2="EMPTY",S2,IF(J2="Bottom",S2,IF(U2="DIGIKEY",S2,IF(U2="JLC",T2,IF(T2&lt;S2+0.2,T2,S2)))))</f>
        <v>19.7</v>
      </c>
      <c r="W2" t="str">
        <f t="shared" ref="W2:W33" si="3">IF(T2="EMPTY","DIGIKEY",IF(J2="Bottom","DIGIKEY",IF(U2="DIGIKEY",U2,IF(U2="JLC",U2,IF(T2&lt;S2+0.2,"JLC","DIGIKEY")))))</f>
        <v>DIGIKEY</v>
      </c>
    </row>
    <row r="3" spans="1:24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291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ref="O3:O66" si="5">M3*5</f>
        <v>15</v>
      </c>
      <c r="P3">
        <f t="shared" ref="P3:P66" si="6">IF(W3="DIGIKEY",O3,0)</f>
        <v>0</v>
      </c>
      <c r="Q3">
        <f t="shared" ref="Q3:Q66" si="7">M3*8</f>
        <v>24</v>
      </c>
      <c r="R3">
        <f t="shared" ref="R3:R66" si="8">M3*5</f>
        <v>15</v>
      </c>
      <c r="S3">
        <f t="shared" si="0"/>
        <v>5.07</v>
      </c>
      <c r="T3">
        <f t="shared" si="1"/>
        <v>0.96750000000000003</v>
      </c>
      <c r="V3">
        <f t="shared" si="2"/>
        <v>0.96750000000000003</v>
      </c>
      <c r="W3" t="str">
        <f t="shared" si="3"/>
        <v>JLC</v>
      </c>
    </row>
    <row r="4" spans="1:24" s="4" customFormat="1" x14ac:dyDescent="0.3">
      <c r="A4" s="4" t="s">
        <v>287</v>
      </c>
      <c r="B4" s="4" t="s">
        <v>14</v>
      </c>
      <c r="C4" s="4" t="s">
        <v>15</v>
      </c>
      <c r="E4" s="4" t="s">
        <v>16</v>
      </c>
      <c r="G4" t="s">
        <v>292</v>
      </c>
      <c r="H4" s="4">
        <v>7.53</v>
      </c>
      <c r="L4" s="4">
        <v>2</v>
      </c>
      <c r="M4" s="4">
        <f t="shared" si="4"/>
        <v>2</v>
      </c>
      <c r="N4" s="4">
        <v>8</v>
      </c>
      <c r="O4">
        <f t="shared" si="5"/>
        <v>10</v>
      </c>
      <c r="P4">
        <f t="shared" si="6"/>
        <v>10</v>
      </c>
      <c r="Q4">
        <f t="shared" si="7"/>
        <v>16</v>
      </c>
      <c r="R4">
        <f t="shared" si="8"/>
        <v>10</v>
      </c>
      <c r="S4">
        <f t="shared" si="0"/>
        <v>87.6</v>
      </c>
      <c r="T4" t="str">
        <f t="shared" si="1"/>
        <v>EMPTY</v>
      </c>
      <c r="U4" t="s">
        <v>286</v>
      </c>
      <c r="V4">
        <f t="shared" si="2"/>
        <v>87.6</v>
      </c>
      <c r="W4" t="str">
        <f t="shared" si="3"/>
        <v>DIGIKEY</v>
      </c>
      <c r="X4" s="4" t="s">
        <v>331</v>
      </c>
    </row>
    <row r="5" spans="1:24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293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5"/>
        <v>5</v>
      </c>
      <c r="P5">
        <f t="shared" si="6"/>
        <v>5</v>
      </c>
      <c r="Q5">
        <f t="shared" si="7"/>
        <v>8</v>
      </c>
      <c r="R5">
        <f t="shared" si="8"/>
        <v>5</v>
      </c>
      <c r="S5">
        <f t="shared" si="0"/>
        <v>0.70000000000000007</v>
      </c>
      <c r="T5">
        <f t="shared" si="1"/>
        <v>1.2999999999999999E-2</v>
      </c>
      <c r="U5" t="s">
        <v>286</v>
      </c>
      <c r="V5">
        <f t="shared" si="2"/>
        <v>0.70000000000000007</v>
      </c>
      <c r="W5" t="str">
        <f t="shared" si="3"/>
        <v>DIGIKEY</v>
      </c>
    </row>
    <row r="6" spans="1:24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293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5"/>
        <v>75</v>
      </c>
      <c r="P6">
        <f t="shared" si="6"/>
        <v>0</v>
      </c>
      <c r="Q6">
        <f t="shared" si="7"/>
        <v>120</v>
      </c>
      <c r="R6">
        <f t="shared" si="8"/>
        <v>75</v>
      </c>
      <c r="S6">
        <f t="shared" si="0"/>
        <v>2.4449999999999998</v>
      </c>
      <c r="T6">
        <f t="shared" si="1"/>
        <v>0.1575</v>
      </c>
      <c r="V6">
        <f t="shared" si="2"/>
        <v>0.1575</v>
      </c>
      <c r="W6" t="str">
        <f t="shared" si="3"/>
        <v>JLC</v>
      </c>
    </row>
    <row r="7" spans="1:24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294</v>
      </c>
      <c r="H7" s="4">
        <v>0.156</v>
      </c>
      <c r="I7" s="4">
        <v>3.9600000000000003E-2</v>
      </c>
      <c r="K7" s="4">
        <v>2</v>
      </c>
      <c r="L7" s="4">
        <v>2</v>
      </c>
      <c r="M7" s="4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0"/>
        <v>0</v>
      </c>
      <c r="T7">
        <f t="shared" si="1"/>
        <v>4.04</v>
      </c>
      <c r="U7" t="s">
        <v>286</v>
      </c>
      <c r="V7">
        <f t="shared" si="2"/>
        <v>0</v>
      </c>
      <c r="W7" t="str">
        <f t="shared" si="3"/>
        <v>DIGIKEY</v>
      </c>
    </row>
    <row r="8" spans="1:24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295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5"/>
        <v>20</v>
      </c>
      <c r="P8">
        <f t="shared" si="6"/>
        <v>0</v>
      </c>
      <c r="Q8">
        <f t="shared" si="7"/>
        <v>32</v>
      </c>
      <c r="R8">
        <f t="shared" si="8"/>
        <v>20</v>
      </c>
      <c r="S8">
        <f t="shared" si="0"/>
        <v>6.34</v>
      </c>
      <c r="T8">
        <f t="shared" si="1"/>
        <v>1.29</v>
      </c>
      <c r="V8">
        <f t="shared" si="2"/>
        <v>1.29</v>
      </c>
      <c r="W8" t="str">
        <f t="shared" si="3"/>
        <v>JLC</v>
      </c>
    </row>
    <row r="9" spans="1:24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296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5"/>
        <v>15</v>
      </c>
      <c r="P9">
        <f t="shared" si="6"/>
        <v>0</v>
      </c>
      <c r="Q9">
        <f t="shared" si="7"/>
        <v>24</v>
      </c>
      <c r="R9">
        <f t="shared" si="8"/>
        <v>15</v>
      </c>
      <c r="S9">
        <f t="shared" si="0"/>
        <v>1.98</v>
      </c>
      <c r="T9">
        <f t="shared" si="1"/>
        <v>6.9000000000000006E-2</v>
      </c>
      <c r="V9">
        <f t="shared" si="2"/>
        <v>6.9000000000000006E-2</v>
      </c>
      <c r="W9" t="str">
        <f t="shared" si="3"/>
        <v>JLC</v>
      </c>
    </row>
    <row r="10" spans="1:24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293</v>
      </c>
      <c r="H10">
        <v>4.7E-2</v>
      </c>
      <c r="I10">
        <v>2.7000000000000001E-3</v>
      </c>
      <c r="L10">
        <v>2</v>
      </c>
      <c r="M10">
        <f t="shared" si="4"/>
        <v>2</v>
      </c>
      <c r="O10">
        <f t="shared" si="5"/>
        <v>10</v>
      </c>
      <c r="P10">
        <f t="shared" si="6"/>
        <v>0</v>
      </c>
      <c r="Q10">
        <f t="shared" si="7"/>
        <v>16</v>
      </c>
      <c r="R10">
        <f t="shared" si="8"/>
        <v>10</v>
      </c>
      <c r="S10">
        <f t="shared" si="0"/>
        <v>1.4000000000000001</v>
      </c>
      <c r="T10">
        <f t="shared" si="1"/>
        <v>2.7000000000000003E-2</v>
      </c>
      <c r="V10">
        <f t="shared" si="2"/>
        <v>2.7000000000000003E-2</v>
      </c>
      <c r="W10" t="str">
        <f t="shared" si="3"/>
        <v>JLC</v>
      </c>
    </row>
    <row r="11" spans="1:24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293</v>
      </c>
      <c r="H11">
        <v>6.4000000000000001E-2</v>
      </c>
      <c r="I11">
        <v>1.03E-2</v>
      </c>
      <c r="J11" t="s">
        <v>282</v>
      </c>
      <c r="L11">
        <v>1</v>
      </c>
      <c r="M11">
        <f t="shared" si="4"/>
        <v>1</v>
      </c>
      <c r="O11">
        <f t="shared" si="5"/>
        <v>5</v>
      </c>
      <c r="P11">
        <f t="shared" si="6"/>
        <v>5</v>
      </c>
      <c r="Q11">
        <f t="shared" si="7"/>
        <v>8</v>
      </c>
      <c r="R11">
        <f t="shared" si="8"/>
        <v>5</v>
      </c>
      <c r="S11">
        <f t="shared" si="0"/>
        <v>0.70000000000000007</v>
      </c>
      <c r="T11">
        <f t="shared" si="1"/>
        <v>5.1500000000000004E-2</v>
      </c>
      <c r="V11">
        <f t="shared" si="2"/>
        <v>0.70000000000000007</v>
      </c>
      <c r="W11" t="str">
        <f t="shared" si="3"/>
        <v>DIGIKEY</v>
      </c>
    </row>
    <row r="12" spans="1:24" x14ac:dyDescent="0.3">
      <c r="A12" t="s">
        <v>40</v>
      </c>
      <c r="B12" t="s">
        <v>41</v>
      </c>
      <c r="C12" t="s">
        <v>42</v>
      </c>
      <c r="D12" t="s">
        <v>8</v>
      </c>
      <c r="E12" t="s">
        <v>330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4"/>
        <v>1</v>
      </c>
      <c r="O12">
        <f t="shared" si="5"/>
        <v>5</v>
      </c>
      <c r="P12">
        <f t="shared" si="6"/>
        <v>5</v>
      </c>
      <c r="Q12">
        <f t="shared" si="7"/>
        <v>8</v>
      </c>
      <c r="R12">
        <f t="shared" si="8"/>
        <v>5</v>
      </c>
      <c r="S12">
        <f t="shared" si="0"/>
        <v>3.05</v>
      </c>
      <c r="T12">
        <f t="shared" si="1"/>
        <v>5.8514999999999997</v>
      </c>
      <c r="V12">
        <f t="shared" si="2"/>
        <v>3.05</v>
      </c>
      <c r="W12" t="str">
        <f t="shared" si="3"/>
        <v>DIGIKEY</v>
      </c>
    </row>
    <row r="13" spans="1:24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293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5"/>
        <v>10</v>
      </c>
      <c r="P13">
        <f t="shared" si="6"/>
        <v>0</v>
      </c>
      <c r="Q13">
        <f t="shared" si="7"/>
        <v>16</v>
      </c>
      <c r="R13">
        <f t="shared" si="8"/>
        <v>10</v>
      </c>
      <c r="S13">
        <f t="shared" si="0"/>
        <v>1.4000000000000001</v>
      </c>
      <c r="T13">
        <f t="shared" si="1"/>
        <v>5.1999999999999998E-2</v>
      </c>
      <c r="V13">
        <f t="shared" si="2"/>
        <v>5.1999999999999998E-2</v>
      </c>
      <c r="W13" t="str">
        <f t="shared" si="3"/>
        <v>JLC</v>
      </c>
    </row>
    <row r="14" spans="1:24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282</v>
      </c>
      <c r="K14">
        <v>2</v>
      </c>
      <c r="L14">
        <v>2</v>
      </c>
      <c r="M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0"/>
        <v>0</v>
      </c>
      <c r="T14">
        <f t="shared" si="1"/>
        <v>4.04</v>
      </c>
      <c r="V14">
        <f t="shared" si="2"/>
        <v>0</v>
      </c>
      <c r="W14" t="str">
        <f t="shared" si="3"/>
        <v>DIGIKEY</v>
      </c>
    </row>
    <row r="15" spans="1:24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280</v>
      </c>
      <c r="G15" t="s">
        <v>297</v>
      </c>
      <c r="H15">
        <v>0.623</v>
      </c>
      <c r="I15">
        <v>6.5600000000000006E-2</v>
      </c>
      <c r="K15">
        <v>2</v>
      </c>
      <c r="L15">
        <v>2</v>
      </c>
      <c r="M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0"/>
        <v>0</v>
      </c>
      <c r="T15">
        <f t="shared" si="1"/>
        <v>4.04</v>
      </c>
      <c r="U15" t="s">
        <v>286</v>
      </c>
      <c r="V15">
        <f t="shared" si="2"/>
        <v>0</v>
      </c>
      <c r="W15" t="str">
        <f t="shared" si="3"/>
        <v>DIGIKEY</v>
      </c>
    </row>
    <row r="16" spans="1:24" x14ac:dyDescent="0.3">
      <c r="A16" t="s">
        <v>51</v>
      </c>
      <c r="B16" t="s">
        <v>52</v>
      </c>
      <c r="C16" t="s">
        <v>53</v>
      </c>
      <c r="D16" t="s">
        <v>8</v>
      </c>
      <c r="E16" t="s">
        <v>54</v>
      </c>
      <c r="F16" t="s">
        <v>238</v>
      </c>
      <c r="G16" t="s">
        <v>298</v>
      </c>
      <c r="H16">
        <v>0.53</v>
      </c>
      <c r="I16">
        <v>0.1038</v>
      </c>
      <c r="L16">
        <v>1</v>
      </c>
      <c r="M16">
        <f t="shared" si="4"/>
        <v>1</v>
      </c>
      <c r="O16">
        <f t="shared" si="5"/>
        <v>5</v>
      </c>
      <c r="P16">
        <f t="shared" si="6"/>
        <v>5</v>
      </c>
      <c r="Q16">
        <f t="shared" si="7"/>
        <v>8</v>
      </c>
      <c r="R16">
        <f t="shared" si="8"/>
        <v>5</v>
      </c>
      <c r="S16">
        <f t="shared" si="0"/>
        <v>3.4000000000000004</v>
      </c>
      <c r="T16">
        <f t="shared" si="1"/>
        <v>4.5590000000000002</v>
      </c>
      <c r="V16">
        <f t="shared" si="2"/>
        <v>3.4000000000000004</v>
      </c>
      <c r="W16" t="str">
        <f t="shared" si="3"/>
        <v>DIGIKEY</v>
      </c>
    </row>
    <row r="17" spans="1:25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5"/>
        <v>5</v>
      </c>
      <c r="P17">
        <f t="shared" si="6"/>
        <v>0</v>
      </c>
      <c r="Q17">
        <f t="shared" si="7"/>
        <v>8</v>
      </c>
      <c r="R17">
        <f t="shared" si="8"/>
        <v>5</v>
      </c>
      <c r="S17">
        <f t="shared" si="0"/>
        <v>1.9500000000000002</v>
      </c>
      <c r="T17">
        <f t="shared" si="1"/>
        <v>6.1000000000000006E-2</v>
      </c>
      <c r="V17">
        <f t="shared" si="2"/>
        <v>6.1000000000000006E-2</v>
      </c>
      <c r="W17" t="str">
        <f t="shared" si="3"/>
        <v>JLC</v>
      </c>
    </row>
    <row r="18" spans="1:25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298</v>
      </c>
      <c r="H18">
        <v>0.47399999999999998</v>
      </c>
      <c r="I18">
        <v>8.3299999999999999E-2</v>
      </c>
      <c r="L18">
        <v>1</v>
      </c>
      <c r="M18">
        <f t="shared" si="4"/>
        <v>1</v>
      </c>
      <c r="O18">
        <f t="shared" si="5"/>
        <v>5</v>
      </c>
      <c r="P18">
        <f t="shared" si="6"/>
        <v>0</v>
      </c>
      <c r="Q18">
        <f t="shared" si="7"/>
        <v>8</v>
      </c>
      <c r="R18">
        <f t="shared" si="8"/>
        <v>5</v>
      </c>
      <c r="S18">
        <f t="shared" si="0"/>
        <v>3.4000000000000004</v>
      </c>
      <c r="T18">
        <f t="shared" si="1"/>
        <v>4.4565000000000001</v>
      </c>
      <c r="U18" t="s">
        <v>320</v>
      </c>
      <c r="V18">
        <f t="shared" si="2"/>
        <v>4.4565000000000001</v>
      </c>
      <c r="W18" t="str">
        <f t="shared" si="3"/>
        <v>JLC</v>
      </c>
    </row>
    <row r="19" spans="1:25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5"/>
        <v>15</v>
      </c>
      <c r="P19">
        <f t="shared" si="6"/>
        <v>0</v>
      </c>
      <c r="Q19">
        <f t="shared" si="7"/>
        <v>24</v>
      </c>
      <c r="R19">
        <f t="shared" si="8"/>
        <v>15</v>
      </c>
      <c r="S19">
        <f t="shared" si="0"/>
        <v>3.2399999999999998</v>
      </c>
      <c r="T19">
        <f t="shared" si="1"/>
        <v>0.1905</v>
      </c>
      <c r="V19">
        <f t="shared" si="2"/>
        <v>0.1905</v>
      </c>
      <c r="W19" t="str">
        <f t="shared" si="3"/>
        <v>JLC</v>
      </c>
    </row>
    <row r="20" spans="1:25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5"/>
        <v>5</v>
      </c>
      <c r="P20">
        <f t="shared" si="6"/>
        <v>0</v>
      </c>
      <c r="Q20">
        <f t="shared" si="7"/>
        <v>8</v>
      </c>
      <c r="R20">
        <f t="shared" si="8"/>
        <v>5</v>
      </c>
      <c r="S20">
        <f t="shared" si="0"/>
        <v>1.9500000000000002</v>
      </c>
      <c r="T20">
        <f t="shared" si="1"/>
        <v>4.7999999999999994E-2</v>
      </c>
      <c r="V20">
        <f t="shared" si="2"/>
        <v>4.7999999999999994E-2</v>
      </c>
      <c r="W20" t="str">
        <f t="shared" si="3"/>
        <v>JLC</v>
      </c>
    </row>
    <row r="21" spans="1:25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5"/>
        <v>10</v>
      </c>
      <c r="P21">
        <f t="shared" si="6"/>
        <v>0</v>
      </c>
      <c r="Q21">
        <f t="shared" si="7"/>
        <v>16</v>
      </c>
      <c r="R21">
        <f t="shared" si="8"/>
        <v>10</v>
      </c>
      <c r="S21">
        <f t="shared" si="0"/>
        <v>3.9000000000000004</v>
      </c>
      <c r="T21">
        <f t="shared" si="1"/>
        <v>0.19500000000000001</v>
      </c>
      <c r="V21">
        <f t="shared" si="2"/>
        <v>0.19500000000000001</v>
      </c>
      <c r="W21" t="str">
        <f t="shared" si="3"/>
        <v>JLC</v>
      </c>
    </row>
    <row r="22" spans="1:25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299</v>
      </c>
      <c r="H22">
        <v>0.436</v>
      </c>
      <c r="I22">
        <v>0.63</v>
      </c>
      <c r="J22" t="s">
        <v>282</v>
      </c>
      <c r="L22">
        <v>1</v>
      </c>
      <c r="M22">
        <f t="shared" si="4"/>
        <v>1</v>
      </c>
      <c r="O22">
        <f t="shared" si="5"/>
        <v>5</v>
      </c>
      <c r="P22">
        <f t="shared" si="6"/>
        <v>5</v>
      </c>
      <c r="Q22">
        <f t="shared" si="7"/>
        <v>8</v>
      </c>
      <c r="R22">
        <f t="shared" si="8"/>
        <v>5</v>
      </c>
      <c r="S22">
        <f t="shared" si="0"/>
        <v>3.05</v>
      </c>
      <c r="T22" t="str">
        <f t="shared" si="1"/>
        <v>EMPTY</v>
      </c>
      <c r="V22">
        <f t="shared" si="2"/>
        <v>3.05</v>
      </c>
      <c r="W22" t="str">
        <f t="shared" si="3"/>
        <v>DIGIKEY</v>
      </c>
    </row>
    <row r="23" spans="1:25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282</v>
      </c>
      <c r="L23">
        <v>1</v>
      </c>
      <c r="M23">
        <f t="shared" si="4"/>
        <v>1</v>
      </c>
      <c r="O23">
        <f t="shared" si="5"/>
        <v>5</v>
      </c>
      <c r="P23">
        <f t="shared" si="6"/>
        <v>5</v>
      </c>
      <c r="Q23">
        <f t="shared" si="7"/>
        <v>8</v>
      </c>
      <c r="R23">
        <f t="shared" si="8"/>
        <v>5</v>
      </c>
      <c r="S23">
        <f t="shared" si="0"/>
        <v>0.85000000000000009</v>
      </c>
      <c r="T23">
        <f t="shared" si="1"/>
        <v>0.51900000000000002</v>
      </c>
      <c r="V23">
        <f t="shared" si="2"/>
        <v>0.85000000000000009</v>
      </c>
      <c r="W23" t="str">
        <f t="shared" si="3"/>
        <v>DIGIKEY</v>
      </c>
    </row>
    <row r="24" spans="1:25" x14ac:dyDescent="0.3">
      <c r="A24" t="s">
        <v>75</v>
      </c>
      <c r="B24" t="s">
        <v>76</v>
      </c>
      <c r="C24" t="s">
        <v>77</v>
      </c>
      <c r="D24" t="s">
        <v>8</v>
      </c>
      <c r="E24" t="s">
        <v>76</v>
      </c>
      <c r="F24" t="s">
        <v>231</v>
      </c>
      <c r="G24" s="5">
        <v>1.54</v>
      </c>
      <c r="H24">
        <v>1.4</v>
      </c>
      <c r="I24">
        <v>9.9199999999999997E-2</v>
      </c>
      <c r="L24">
        <v>1</v>
      </c>
      <c r="M24">
        <f t="shared" si="4"/>
        <v>1</v>
      </c>
      <c r="O24">
        <f t="shared" si="5"/>
        <v>5</v>
      </c>
      <c r="P24">
        <f t="shared" si="6"/>
        <v>5</v>
      </c>
      <c r="Q24">
        <f t="shared" si="7"/>
        <v>8</v>
      </c>
      <c r="R24">
        <f t="shared" si="8"/>
        <v>5</v>
      </c>
      <c r="S24">
        <f t="shared" si="0"/>
        <v>7.7</v>
      </c>
      <c r="T24">
        <f t="shared" si="1"/>
        <v>4.5359999999999996</v>
      </c>
      <c r="U24" t="s">
        <v>286</v>
      </c>
      <c r="V24">
        <f t="shared" si="2"/>
        <v>7.7</v>
      </c>
      <c r="W24" t="str">
        <f t="shared" si="3"/>
        <v>DIGIKEY</v>
      </c>
    </row>
    <row r="25" spans="1:25" x14ac:dyDescent="0.3">
      <c r="A25" t="s">
        <v>78</v>
      </c>
      <c r="B25" t="s">
        <v>79</v>
      </c>
      <c r="C25" t="s">
        <v>80</v>
      </c>
      <c r="E25" t="s">
        <v>81</v>
      </c>
      <c r="G25" t="s">
        <v>300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0"/>
        <v>0</v>
      </c>
      <c r="T25" t="str">
        <f t="shared" si="1"/>
        <v>EMPTY</v>
      </c>
      <c r="V25">
        <f t="shared" si="2"/>
        <v>0</v>
      </c>
      <c r="W25" t="str">
        <f t="shared" si="3"/>
        <v>DIGIKEY</v>
      </c>
    </row>
    <row r="26" spans="1:25" x14ac:dyDescent="0.3">
      <c r="A26" t="s">
        <v>82</v>
      </c>
      <c r="B26" t="s">
        <v>83</v>
      </c>
      <c r="C26" t="s">
        <v>84</v>
      </c>
      <c r="E26" t="s">
        <v>85</v>
      </c>
      <c r="G26" t="s">
        <v>301</v>
      </c>
      <c r="H26">
        <v>1.3140000000000001</v>
      </c>
      <c r="I26">
        <v>1.61</v>
      </c>
      <c r="L26">
        <v>1</v>
      </c>
      <c r="M26">
        <f t="shared" si="4"/>
        <v>1</v>
      </c>
      <c r="O26">
        <f t="shared" si="5"/>
        <v>5</v>
      </c>
      <c r="P26">
        <f t="shared" si="6"/>
        <v>5</v>
      </c>
      <c r="Q26">
        <f t="shared" si="7"/>
        <v>8</v>
      </c>
      <c r="R26">
        <f t="shared" si="8"/>
        <v>5</v>
      </c>
      <c r="S26">
        <f t="shared" si="0"/>
        <v>7.8000000000000007</v>
      </c>
      <c r="T26" t="str">
        <f t="shared" si="1"/>
        <v>EMPTY</v>
      </c>
      <c r="V26">
        <f t="shared" si="2"/>
        <v>7.8000000000000007</v>
      </c>
      <c r="W26" t="str">
        <f t="shared" si="3"/>
        <v>DIGIKEY</v>
      </c>
    </row>
    <row r="27" spans="1:25" x14ac:dyDescent="0.3">
      <c r="A27" t="s">
        <v>86</v>
      </c>
      <c r="B27" t="s">
        <v>87</v>
      </c>
      <c r="C27" t="s">
        <v>88</v>
      </c>
      <c r="E27" t="s">
        <v>89</v>
      </c>
      <c r="G27" t="s">
        <v>302</v>
      </c>
      <c r="H27">
        <v>0.60599999999999998</v>
      </c>
      <c r="I27">
        <v>0.31</v>
      </c>
      <c r="K27">
        <v>1</v>
      </c>
      <c r="L27">
        <v>1</v>
      </c>
      <c r="M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0"/>
        <v>0</v>
      </c>
      <c r="T27" t="str">
        <f t="shared" si="1"/>
        <v>EMPTY</v>
      </c>
      <c r="V27">
        <f t="shared" si="2"/>
        <v>0</v>
      </c>
      <c r="W27" t="str">
        <f t="shared" si="3"/>
        <v>DIGIKEY</v>
      </c>
    </row>
    <row r="28" spans="1:25" x14ac:dyDescent="0.3">
      <c r="A28" t="s">
        <v>90</v>
      </c>
      <c r="B28" t="s">
        <v>91</v>
      </c>
      <c r="C28" t="s">
        <v>92</v>
      </c>
      <c r="E28" t="s">
        <v>257</v>
      </c>
      <c r="G28" t="s">
        <v>303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0"/>
        <v>0</v>
      </c>
      <c r="T28" t="str">
        <f t="shared" si="1"/>
        <v>EMPTY</v>
      </c>
      <c r="V28">
        <f t="shared" si="2"/>
        <v>0</v>
      </c>
      <c r="W28" t="str">
        <f t="shared" si="3"/>
        <v>DIGIKEY</v>
      </c>
    </row>
    <row r="29" spans="1:25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5"/>
        <v>10</v>
      </c>
      <c r="P29">
        <f t="shared" si="6"/>
        <v>0</v>
      </c>
      <c r="Q29">
        <f t="shared" si="7"/>
        <v>16</v>
      </c>
      <c r="R29">
        <f t="shared" si="8"/>
        <v>10</v>
      </c>
      <c r="S29">
        <f t="shared" si="0"/>
        <v>5</v>
      </c>
      <c r="T29">
        <f t="shared" si="1"/>
        <v>0.128</v>
      </c>
      <c r="V29">
        <f t="shared" si="2"/>
        <v>0.128</v>
      </c>
      <c r="W29" t="str">
        <f t="shared" si="3"/>
        <v>JLC</v>
      </c>
    </row>
    <row r="30" spans="1:25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304</v>
      </c>
      <c r="H30">
        <v>1.17</v>
      </c>
      <c r="I30">
        <v>0.46500000000000002</v>
      </c>
      <c r="L30">
        <v>1</v>
      </c>
      <c r="M30">
        <f t="shared" si="4"/>
        <v>1</v>
      </c>
      <c r="O30">
        <f t="shared" si="5"/>
        <v>5</v>
      </c>
      <c r="P30">
        <f t="shared" si="6"/>
        <v>5</v>
      </c>
      <c r="Q30">
        <f t="shared" si="7"/>
        <v>8</v>
      </c>
      <c r="R30">
        <f t="shared" si="8"/>
        <v>5</v>
      </c>
      <c r="S30">
        <f t="shared" si="0"/>
        <v>7.1999999999999993</v>
      </c>
      <c r="T30">
        <f t="shared" si="1"/>
        <v>6.3650000000000002</v>
      </c>
      <c r="U30" t="s">
        <v>286</v>
      </c>
      <c r="V30">
        <f t="shared" si="2"/>
        <v>7.1999999999999993</v>
      </c>
      <c r="W30" t="str">
        <f t="shared" si="3"/>
        <v>DIGIKEY</v>
      </c>
    </row>
    <row r="31" spans="1:25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305</v>
      </c>
      <c r="H31">
        <v>6.22</v>
      </c>
      <c r="I31">
        <v>4.0393999999999997</v>
      </c>
      <c r="K31">
        <v>2</v>
      </c>
      <c r="L31">
        <v>2</v>
      </c>
      <c r="M31">
        <f t="shared" si="4"/>
        <v>0</v>
      </c>
      <c r="N31">
        <v>8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0"/>
        <v>0</v>
      </c>
      <c r="T31">
        <f t="shared" si="1"/>
        <v>4.04</v>
      </c>
      <c r="U31" t="s">
        <v>286</v>
      </c>
      <c r="V31">
        <f t="shared" si="2"/>
        <v>0</v>
      </c>
      <c r="W31" t="str">
        <f t="shared" si="3"/>
        <v>DIGIKEY</v>
      </c>
      <c r="X31" t="s">
        <v>331</v>
      </c>
      <c r="Y31" t="s">
        <v>333</v>
      </c>
    </row>
    <row r="32" spans="1:25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306</v>
      </c>
      <c r="H32">
        <v>0.65</v>
      </c>
      <c r="J32" t="s">
        <v>282</v>
      </c>
      <c r="L32">
        <v>1</v>
      </c>
      <c r="M32">
        <f t="shared" si="4"/>
        <v>1</v>
      </c>
      <c r="O32">
        <f t="shared" si="5"/>
        <v>5</v>
      </c>
      <c r="P32">
        <f t="shared" si="6"/>
        <v>5</v>
      </c>
      <c r="Q32">
        <f t="shared" si="7"/>
        <v>8</v>
      </c>
      <c r="R32">
        <f t="shared" si="8"/>
        <v>5</v>
      </c>
      <c r="S32">
        <f t="shared" si="0"/>
        <v>3.25</v>
      </c>
      <c r="T32" t="str">
        <f t="shared" si="1"/>
        <v>EMPTY</v>
      </c>
      <c r="V32">
        <f t="shared" si="2"/>
        <v>3.25</v>
      </c>
      <c r="W32" t="str">
        <f t="shared" si="3"/>
        <v>DIGIKEY</v>
      </c>
    </row>
    <row r="33" spans="1:23" x14ac:dyDescent="0.3">
      <c r="A33" t="s">
        <v>103</v>
      </c>
      <c r="B33" t="s">
        <v>104</v>
      </c>
      <c r="C33" t="s">
        <v>97</v>
      </c>
      <c r="E33" t="s">
        <v>104</v>
      </c>
      <c r="G33" t="s">
        <v>307</v>
      </c>
      <c r="H33">
        <v>0.65300000000000002</v>
      </c>
      <c r="J33" t="s">
        <v>282</v>
      </c>
      <c r="L33">
        <v>1</v>
      </c>
      <c r="M33">
        <f t="shared" si="4"/>
        <v>1</v>
      </c>
      <c r="O33">
        <f t="shared" si="5"/>
        <v>5</v>
      </c>
      <c r="P33">
        <f t="shared" si="6"/>
        <v>5</v>
      </c>
      <c r="Q33">
        <f t="shared" si="7"/>
        <v>8</v>
      </c>
      <c r="R33">
        <f t="shared" si="8"/>
        <v>5</v>
      </c>
      <c r="S33">
        <f t="shared" si="0"/>
        <v>3.8</v>
      </c>
      <c r="T33" t="str">
        <f t="shared" si="1"/>
        <v>EMPTY</v>
      </c>
      <c r="V33">
        <f t="shared" si="2"/>
        <v>3.8</v>
      </c>
      <c r="W33" t="str">
        <f t="shared" si="3"/>
        <v>DIGIKEY</v>
      </c>
    </row>
    <row r="34" spans="1:23" x14ac:dyDescent="0.3">
      <c r="A34" t="s">
        <v>283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5"/>
        <v>25</v>
      </c>
      <c r="P34">
        <f t="shared" si="6"/>
        <v>0</v>
      </c>
      <c r="Q34">
        <f t="shared" si="7"/>
        <v>40</v>
      </c>
      <c r="R34">
        <f t="shared" si="8"/>
        <v>25</v>
      </c>
      <c r="S34">
        <f t="shared" si="0"/>
        <v>0.57499999999999996</v>
      </c>
      <c r="T34">
        <f t="shared" si="1"/>
        <v>2.2499999999999999E-2</v>
      </c>
      <c r="V34">
        <f t="shared" ref="V34:V65" si="9">IF(T34="EMPTY",S34,IF(J34="Bottom",S34,IF(U34="DIGIKEY",S34,IF(U34="JLC",T34,IF(T34&lt;S34+0.2,T34,S34)))))</f>
        <v>2.2499999999999999E-2</v>
      </c>
      <c r="W34" t="str">
        <f t="shared" ref="W34:W66" si="10">IF(T34="EMPTY","DIGIKEY",IF(J34="Bottom","DIGIKEY",IF(U34="DIGIKEY",U34,IF(U34="JLC",U34,IF(T34&lt;S34+0.2,"JLC","DIGIKEY")))))</f>
        <v>JLC</v>
      </c>
    </row>
    <row r="35" spans="1:23" x14ac:dyDescent="0.3">
      <c r="A35" t="s">
        <v>284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282</v>
      </c>
      <c r="L35">
        <v>1</v>
      </c>
      <c r="M35">
        <f t="shared" si="4"/>
        <v>1</v>
      </c>
      <c r="O35">
        <f t="shared" si="5"/>
        <v>5</v>
      </c>
      <c r="P35">
        <f t="shared" si="6"/>
        <v>5</v>
      </c>
      <c r="Q35">
        <f t="shared" si="7"/>
        <v>8</v>
      </c>
      <c r="R35">
        <f t="shared" si="8"/>
        <v>5</v>
      </c>
      <c r="S35">
        <f t="shared" si="0"/>
        <v>0.75</v>
      </c>
      <c r="T35">
        <f t="shared" si="1"/>
        <v>4.4999999999999997E-3</v>
      </c>
      <c r="V35">
        <f t="shared" si="9"/>
        <v>0.75</v>
      </c>
      <c r="W35" t="str">
        <f t="shared" si="10"/>
        <v>DIGIKEY</v>
      </c>
    </row>
    <row r="36" spans="1:23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5"/>
        <v>45</v>
      </c>
      <c r="P36">
        <f t="shared" si="6"/>
        <v>0</v>
      </c>
      <c r="Q36">
        <f t="shared" si="7"/>
        <v>72</v>
      </c>
      <c r="R36">
        <f t="shared" si="8"/>
        <v>45</v>
      </c>
      <c r="S36">
        <f t="shared" si="0"/>
        <v>1.0349999999999999</v>
      </c>
      <c r="T36">
        <f t="shared" si="1"/>
        <v>3.6000000000000004E-2</v>
      </c>
      <c r="V36">
        <f t="shared" si="9"/>
        <v>3.6000000000000004E-2</v>
      </c>
      <c r="W36" t="str">
        <f t="shared" si="10"/>
        <v>JLC</v>
      </c>
    </row>
    <row r="37" spans="1:23" x14ac:dyDescent="0.3">
      <c r="A37" t="s">
        <v>112</v>
      </c>
      <c r="B37" t="s">
        <v>113</v>
      </c>
      <c r="C37" t="s">
        <v>107</v>
      </c>
      <c r="E37" t="s">
        <v>324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4"/>
        <v>1</v>
      </c>
      <c r="O37">
        <f t="shared" si="5"/>
        <v>5</v>
      </c>
      <c r="P37">
        <f t="shared" si="6"/>
        <v>5</v>
      </c>
      <c r="Q37">
        <f t="shared" si="7"/>
        <v>8</v>
      </c>
      <c r="R37">
        <f t="shared" si="8"/>
        <v>5</v>
      </c>
      <c r="S37">
        <f t="shared" si="0"/>
        <v>0.75</v>
      </c>
      <c r="T37" t="str">
        <f t="shared" si="1"/>
        <v>EMPTY</v>
      </c>
      <c r="V37">
        <f t="shared" si="9"/>
        <v>0.75</v>
      </c>
      <c r="W37" t="str">
        <f t="shared" si="10"/>
        <v>DIGIKEY</v>
      </c>
    </row>
    <row r="38" spans="1:23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5"/>
        <v>10</v>
      </c>
      <c r="P38">
        <f t="shared" si="6"/>
        <v>0</v>
      </c>
      <c r="Q38">
        <f t="shared" si="7"/>
        <v>16</v>
      </c>
      <c r="R38">
        <f t="shared" si="8"/>
        <v>10</v>
      </c>
      <c r="S38">
        <f t="shared" si="0"/>
        <v>1.5</v>
      </c>
      <c r="T38">
        <f t="shared" si="1"/>
        <v>0.01</v>
      </c>
      <c r="V38">
        <f t="shared" si="9"/>
        <v>0.01</v>
      </c>
      <c r="W38" t="str">
        <f t="shared" si="10"/>
        <v>JLC</v>
      </c>
    </row>
    <row r="39" spans="1:23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4"/>
        <v>1</v>
      </c>
      <c r="O39">
        <f t="shared" si="5"/>
        <v>5</v>
      </c>
      <c r="P39">
        <f t="shared" si="6"/>
        <v>5</v>
      </c>
      <c r="Q39">
        <f t="shared" si="7"/>
        <v>8</v>
      </c>
      <c r="R39">
        <f t="shared" si="8"/>
        <v>5</v>
      </c>
      <c r="S39">
        <f t="shared" si="0"/>
        <v>0.75</v>
      </c>
      <c r="T39" t="str">
        <f t="shared" si="1"/>
        <v>EMPTY</v>
      </c>
      <c r="V39">
        <f t="shared" si="9"/>
        <v>0.75</v>
      </c>
      <c r="W39" t="str">
        <f t="shared" si="10"/>
        <v>DIGIKEY</v>
      </c>
    </row>
    <row r="40" spans="1:23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4"/>
        <v>1</v>
      </c>
      <c r="O40">
        <f t="shared" si="5"/>
        <v>5</v>
      </c>
      <c r="P40">
        <f t="shared" si="6"/>
        <v>5</v>
      </c>
      <c r="Q40">
        <f t="shared" si="7"/>
        <v>8</v>
      </c>
      <c r="R40">
        <f t="shared" si="8"/>
        <v>5</v>
      </c>
      <c r="S40">
        <f t="shared" si="0"/>
        <v>0.75</v>
      </c>
      <c r="T40" t="str">
        <f t="shared" si="1"/>
        <v>EMPTY</v>
      </c>
      <c r="V40">
        <f t="shared" si="9"/>
        <v>0.75</v>
      </c>
      <c r="W40" t="str">
        <f t="shared" si="10"/>
        <v>DIGIKEY</v>
      </c>
    </row>
    <row r="41" spans="1:23" x14ac:dyDescent="0.3">
      <c r="A41" t="s">
        <v>123</v>
      </c>
      <c r="B41" t="s">
        <v>124</v>
      </c>
      <c r="C41" t="s">
        <v>125</v>
      </c>
      <c r="E41" t="s">
        <v>325</v>
      </c>
      <c r="F41" t="s">
        <v>221</v>
      </c>
      <c r="G41" t="s">
        <v>308</v>
      </c>
      <c r="H41">
        <v>0.70499999999999996</v>
      </c>
      <c r="I41">
        <v>6.9500000000000006E-2</v>
      </c>
      <c r="L41">
        <v>1</v>
      </c>
      <c r="M41">
        <f t="shared" si="4"/>
        <v>1</v>
      </c>
      <c r="O41">
        <f t="shared" si="5"/>
        <v>5</v>
      </c>
      <c r="P41">
        <f t="shared" si="6"/>
        <v>5</v>
      </c>
      <c r="Q41">
        <f t="shared" si="7"/>
        <v>8</v>
      </c>
      <c r="R41">
        <f t="shared" si="8"/>
        <v>5</v>
      </c>
      <c r="S41">
        <f t="shared" si="0"/>
        <v>6.05</v>
      </c>
      <c r="T41" t="str">
        <f t="shared" si="1"/>
        <v>EMPTY</v>
      </c>
      <c r="V41">
        <f t="shared" si="9"/>
        <v>6.05</v>
      </c>
      <c r="W41" t="str">
        <f t="shared" si="10"/>
        <v>DIGIKEY</v>
      </c>
    </row>
    <row r="42" spans="1:23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L42">
        <v>2</v>
      </c>
      <c r="M42">
        <f t="shared" si="4"/>
        <v>2</v>
      </c>
      <c r="O42">
        <f t="shared" si="5"/>
        <v>10</v>
      </c>
      <c r="P42">
        <f t="shared" si="6"/>
        <v>10</v>
      </c>
      <c r="Q42">
        <f t="shared" si="7"/>
        <v>16</v>
      </c>
      <c r="R42">
        <f t="shared" si="8"/>
        <v>10</v>
      </c>
      <c r="S42">
        <f t="shared" si="0"/>
        <v>1.5</v>
      </c>
      <c r="T42" t="str">
        <f t="shared" si="1"/>
        <v>EMPTY</v>
      </c>
      <c r="V42">
        <f t="shared" si="9"/>
        <v>1.5</v>
      </c>
      <c r="W42" t="str">
        <f t="shared" si="10"/>
        <v>DIGIKEY</v>
      </c>
    </row>
    <row r="43" spans="1:23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5"/>
        <v>20</v>
      </c>
      <c r="P43">
        <f t="shared" si="6"/>
        <v>0</v>
      </c>
      <c r="Q43">
        <f t="shared" si="7"/>
        <v>32</v>
      </c>
      <c r="R43">
        <f t="shared" si="8"/>
        <v>20</v>
      </c>
      <c r="S43">
        <f t="shared" si="0"/>
        <v>0.45999999999999996</v>
      </c>
      <c r="T43">
        <f t="shared" si="1"/>
        <v>1.7999999999999999E-2</v>
      </c>
      <c r="V43">
        <f t="shared" si="9"/>
        <v>1.7999999999999999E-2</v>
      </c>
      <c r="W43" t="str">
        <f t="shared" si="10"/>
        <v>JLC</v>
      </c>
    </row>
    <row r="44" spans="1:23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5"/>
        <v>10</v>
      </c>
      <c r="P44">
        <f t="shared" si="6"/>
        <v>0</v>
      </c>
      <c r="Q44">
        <f t="shared" si="7"/>
        <v>16</v>
      </c>
      <c r="R44">
        <f t="shared" si="8"/>
        <v>10</v>
      </c>
      <c r="S44">
        <f t="shared" si="0"/>
        <v>1.5</v>
      </c>
      <c r="T44">
        <f t="shared" si="1"/>
        <v>7.0000000000000001E-3</v>
      </c>
      <c r="V44">
        <f t="shared" si="9"/>
        <v>7.0000000000000001E-3</v>
      </c>
      <c r="W44" t="str">
        <f t="shared" si="10"/>
        <v>JLC</v>
      </c>
    </row>
    <row r="45" spans="1:23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5"/>
        <v>10</v>
      </c>
      <c r="P45">
        <f t="shared" si="6"/>
        <v>0</v>
      </c>
      <c r="Q45">
        <f t="shared" si="7"/>
        <v>16</v>
      </c>
      <c r="R45">
        <f t="shared" si="8"/>
        <v>10</v>
      </c>
      <c r="S45">
        <f t="shared" si="0"/>
        <v>1.5</v>
      </c>
      <c r="T45">
        <f t="shared" si="1"/>
        <v>8.9999999999999993E-3</v>
      </c>
      <c r="V45">
        <f t="shared" si="9"/>
        <v>8.9999999999999993E-3</v>
      </c>
      <c r="W45" t="str">
        <f t="shared" si="10"/>
        <v>JLC</v>
      </c>
    </row>
    <row r="46" spans="1:23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326</v>
      </c>
      <c r="G46" s="5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5"/>
        <v>5</v>
      </c>
      <c r="P46">
        <f t="shared" si="6"/>
        <v>0</v>
      </c>
      <c r="Q46">
        <f t="shared" si="7"/>
        <v>8</v>
      </c>
      <c r="R46">
        <f t="shared" si="8"/>
        <v>5</v>
      </c>
      <c r="S46">
        <f t="shared" si="0"/>
        <v>0.75</v>
      </c>
      <c r="T46">
        <f t="shared" si="1"/>
        <v>4.4999999999999997E-3</v>
      </c>
      <c r="V46">
        <f t="shared" si="9"/>
        <v>4.4999999999999997E-3</v>
      </c>
      <c r="W46" t="str">
        <f t="shared" si="10"/>
        <v>JLC</v>
      </c>
    </row>
    <row r="47" spans="1:23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5"/>
        <v>10</v>
      </c>
      <c r="P47">
        <f t="shared" si="6"/>
        <v>0</v>
      </c>
      <c r="Q47">
        <f t="shared" si="7"/>
        <v>16</v>
      </c>
      <c r="R47">
        <f t="shared" si="8"/>
        <v>10</v>
      </c>
      <c r="S47">
        <f t="shared" si="0"/>
        <v>1.5</v>
      </c>
      <c r="T47">
        <f t="shared" si="1"/>
        <v>8.9999999999999993E-3</v>
      </c>
      <c r="V47">
        <f t="shared" si="9"/>
        <v>8.9999999999999993E-3</v>
      </c>
      <c r="W47" t="str">
        <f t="shared" si="10"/>
        <v>JLC</v>
      </c>
    </row>
    <row r="48" spans="1:23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282</v>
      </c>
      <c r="L48">
        <v>2</v>
      </c>
      <c r="M48">
        <f t="shared" si="4"/>
        <v>2</v>
      </c>
      <c r="O48">
        <f t="shared" si="5"/>
        <v>10</v>
      </c>
      <c r="P48">
        <f t="shared" si="6"/>
        <v>10</v>
      </c>
      <c r="Q48">
        <f t="shared" si="7"/>
        <v>16</v>
      </c>
      <c r="R48">
        <f t="shared" si="8"/>
        <v>10</v>
      </c>
      <c r="S48">
        <f t="shared" si="0"/>
        <v>1.5</v>
      </c>
      <c r="T48">
        <f t="shared" si="1"/>
        <v>0.01</v>
      </c>
      <c r="V48">
        <f t="shared" si="9"/>
        <v>1.5</v>
      </c>
      <c r="W48" t="str">
        <f t="shared" si="10"/>
        <v>DIGIKEY</v>
      </c>
    </row>
    <row r="49" spans="1:30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282</v>
      </c>
      <c r="L49">
        <v>1</v>
      </c>
      <c r="M49">
        <f t="shared" si="4"/>
        <v>1</v>
      </c>
      <c r="O49">
        <f t="shared" si="5"/>
        <v>5</v>
      </c>
      <c r="P49">
        <f t="shared" si="6"/>
        <v>5</v>
      </c>
      <c r="Q49">
        <f t="shared" si="7"/>
        <v>8</v>
      </c>
      <c r="R49">
        <f t="shared" si="8"/>
        <v>5</v>
      </c>
      <c r="S49">
        <f t="shared" si="0"/>
        <v>0.75</v>
      </c>
      <c r="T49">
        <f t="shared" si="1"/>
        <v>4.4999999999999997E-3</v>
      </c>
      <c r="V49">
        <f t="shared" si="9"/>
        <v>0.75</v>
      </c>
      <c r="W49" t="str">
        <f t="shared" si="10"/>
        <v>DIGIKEY</v>
      </c>
      <c r="Z49" t="s">
        <v>268</v>
      </c>
      <c r="AA49" s="3">
        <v>62.04</v>
      </c>
      <c r="AD49" s="3"/>
    </row>
    <row r="50" spans="1:30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282</v>
      </c>
      <c r="L50">
        <v>2</v>
      </c>
      <c r="M50">
        <f t="shared" si="4"/>
        <v>2</v>
      </c>
      <c r="O50">
        <f t="shared" si="5"/>
        <v>10</v>
      </c>
      <c r="P50">
        <f t="shared" si="6"/>
        <v>10</v>
      </c>
      <c r="Q50">
        <f t="shared" si="7"/>
        <v>16</v>
      </c>
      <c r="R50">
        <f t="shared" si="8"/>
        <v>10</v>
      </c>
      <c r="S50">
        <f t="shared" si="0"/>
        <v>1.5</v>
      </c>
      <c r="T50">
        <f t="shared" si="1"/>
        <v>1.2999999999999999E-2</v>
      </c>
      <c r="V50">
        <f t="shared" si="9"/>
        <v>1.5</v>
      </c>
      <c r="W50" t="str">
        <f t="shared" si="10"/>
        <v>DIGIKEY</v>
      </c>
      <c r="Z50" t="s">
        <v>269</v>
      </c>
      <c r="AA50" s="3">
        <v>33.700000000000003</v>
      </c>
      <c r="AD50" s="3"/>
    </row>
    <row r="51" spans="1:30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5"/>
        <v>5</v>
      </c>
      <c r="P51">
        <f t="shared" si="6"/>
        <v>0</v>
      </c>
      <c r="Q51">
        <f t="shared" si="7"/>
        <v>8</v>
      </c>
      <c r="R51">
        <f t="shared" si="8"/>
        <v>5</v>
      </c>
      <c r="S51">
        <f t="shared" si="0"/>
        <v>0.75</v>
      </c>
      <c r="T51">
        <f t="shared" si="1"/>
        <v>5.0000000000000001E-3</v>
      </c>
      <c r="V51">
        <f t="shared" si="9"/>
        <v>5.0000000000000001E-3</v>
      </c>
      <c r="W51" t="str">
        <f t="shared" si="10"/>
        <v>JLC</v>
      </c>
      <c r="Z51" t="s">
        <v>270</v>
      </c>
      <c r="AA51" s="3">
        <v>10.59</v>
      </c>
      <c r="AD51" s="3"/>
    </row>
    <row r="52" spans="1:30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5"/>
        <v>10</v>
      </c>
      <c r="P52">
        <f t="shared" si="6"/>
        <v>0</v>
      </c>
      <c r="Q52">
        <f t="shared" si="7"/>
        <v>16</v>
      </c>
      <c r="R52">
        <f t="shared" si="8"/>
        <v>10</v>
      </c>
      <c r="S52">
        <f t="shared" si="0"/>
        <v>1.5</v>
      </c>
      <c r="T52">
        <f t="shared" si="1"/>
        <v>8.9999999999999993E-3</v>
      </c>
      <c r="V52">
        <f t="shared" si="9"/>
        <v>8.9999999999999993E-3</v>
      </c>
      <c r="W52" t="str">
        <f t="shared" si="10"/>
        <v>JLC</v>
      </c>
      <c r="Z52" t="s">
        <v>271</v>
      </c>
      <c r="AA52" s="3">
        <v>81.3</v>
      </c>
      <c r="AB52" s="2"/>
      <c r="AD52" s="3"/>
    </row>
    <row r="53" spans="1:30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5"/>
        <v>15</v>
      </c>
      <c r="P53">
        <f t="shared" si="6"/>
        <v>0</v>
      </c>
      <c r="Q53">
        <f t="shared" si="7"/>
        <v>24</v>
      </c>
      <c r="R53">
        <f t="shared" si="8"/>
        <v>15</v>
      </c>
      <c r="S53">
        <f t="shared" si="0"/>
        <v>0.34499999999999997</v>
      </c>
      <c r="T53">
        <f t="shared" si="1"/>
        <v>1.35E-2</v>
      </c>
      <c r="V53">
        <f t="shared" si="9"/>
        <v>1.35E-2</v>
      </c>
      <c r="W53" t="str">
        <f t="shared" si="10"/>
        <v>JLC</v>
      </c>
      <c r="Z53" t="s">
        <v>272</v>
      </c>
      <c r="AA53" s="3">
        <v>52.52</v>
      </c>
      <c r="AB53" s="6">
        <f>W70</f>
        <v>20.877440000000004</v>
      </c>
      <c r="AD53" s="3"/>
    </row>
    <row r="54" spans="1:30" x14ac:dyDescent="0.3">
      <c r="A54" t="s">
        <v>160</v>
      </c>
      <c r="B54" t="s">
        <v>161</v>
      </c>
      <c r="C54" t="s">
        <v>162</v>
      </c>
      <c r="E54" t="s">
        <v>163</v>
      </c>
      <c r="G54" t="s">
        <v>309</v>
      </c>
      <c r="H54">
        <v>4.0670000000000002</v>
      </c>
      <c r="J54" t="s">
        <v>282</v>
      </c>
      <c r="L54">
        <v>2</v>
      </c>
      <c r="M54">
        <f t="shared" si="4"/>
        <v>2</v>
      </c>
      <c r="N54">
        <v>10</v>
      </c>
      <c r="O54">
        <f t="shared" si="5"/>
        <v>10</v>
      </c>
      <c r="P54">
        <f t="shared" si="6"/>
        <v>10</v>
      </c>
      <c r="Q54">
        <f t="shared" si="7"/>
        <v>16</v>
      </c>
      <c r="R54">
        <f t="shared" si="8"/>
        <v>10</v>
      </c>
      <c r="S54">
        <f t="shared" si="0"/>
        <v>48</v>
      </c>
      <c r="T54" t="str">
        <f t="shared" si="1"/>
        <v>EMPTY</v>
      </c>
      <c r="V54">
        <f t="shared" si="9"/>
        <v>48</v>
      </c>
      <c r="W54" t="str">
        <f t="shared" si="10"/>
        <v>DIGIKEY</v>
      </c>
      <c r="X54" t="s">
        <v>332</v>
      </c>
      <c r="Z54" t="s">
        <v>273</v>
      </c>
      <c r="AA54" s="3">
        <v>6.82</v>
      </c>
      <c r="AD54" s="3"/>
    </row>
    <row r="55" spans="1:30" x14ac:dyDescent="0.3">
      <c r="A55" t="s">
        <v>164</v>
      </c>
      <c r="B55" t="s">
        <v>165</v>
      </c>
      <c r="C55" t="s">
        <v>166</v>
      </c>
      <c r="E55" t="s">
        <v>167</v>
      </c>
      <c r="G55" t="s">
        <v>310</v>
      </c>
      <c r="H55">
        <v>0.83</v>
      </c>
      <c r="J55" t="s">
        <v>282</v>
      </c>
      <c r="L55">
        <v>1</v>
      </c>
      <c r="M55">
        <f t="shared" si="4"/>
        <v>1</v>
      </c>
      <c r="O55">
        <f t="shared" si="5"/>
        <v>5</v>
      </c>
      <c r="P55">
        <f t="shared" si="6"/>
        <v>5</v>
      </c>
      <c r="Q55">
        <f t="shared" si="7"/>
        <v>8</v>
      </c>
      <c r="R55">
        <f t="shared" si="8"/>
        <v>5</v>
      </c>
      <c r="S55">
        <f t="shared" si="0"/>
        <v>7</v>
      </c>
      <c r="T55" t="str">
        <f t="shared" si="1"/>
        <v>EMPTY</v>
      </c>
      <c r="V55">
        <f t="shared" si="9"/>
        <v>7</v>
      </c>
      <c r="W55" t="str">
        <f t="shared" si="10"/>
        <v>DIGIKEY</v>
      </c>
      <c r="Z55" t="s">
        <v>274</v>
      </c>
      <c r="AA55" s="3">
        <v>0.57999999999999996</v>
      </c>
      <c r="AD55" s="3"/>
    </row>
    <row r="56" spans="1:30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5"/>
        <v>5</v>
      </c>
      <c r="P56">
        <f t="shared" si="6"/>
        <v>5</v>
      </c>
      <c r="Q56">
        <f t="shared" si="7"/>
        <v>8</v>
      </c>
      <c r="R56">
        <f t="shared" si="8"/>
        <v>5</v>
      </c>
      <c r="S56">
        <f t="shared" si="0"/>
        <v>66.75</v>
      </c>
      <c r="T56" t="str">
        <f t="shared" si="1"/>
        <v>EMPTY</v>
      </c>
      <c r="V56">
        <f t="shared" si="9"/>
        <v>66.75</v>
      </c>
      <c r="W56" t="str">
        <f t="shared" si="10"/>
        <v>DIGIKEY</v>
      </c>
      <c r="X56" t="s">
        <v>332</v>
      </c>
      <c r="Z56" t="s">
        <v>328</v>
      </c>
      <c r="AA56" s="3">
        <v>0.65</v>
      </c>
      <c r="AD56" s="3"/>
    </row>
    <row r="57" spans="1:30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5"/>
        <v>5</v>
      </c>
      <c r="P57">
        <f t="shared" si="6"/>
        <v>0</v>
      </c>
      <c r="Q57">
        <f t="shared" si="7"/>
        <v>8</v>
      </c>
      <c r="R57">
        <f t="shared" si="8"/>
        <v>5</v>
      </c>
      <c r="S57">
        <f t="shared" si="0"/>
        <v>5.3000000000000007</v>
      </c>
      <c r="T57">
        <f t="shared" si="1"/>
        <v>8.5250000000000004</v>
      </c>
      <c r="U57" t="s">
        <v>320</v>
      </c>
      <c r="V57">
        <f t="shared" si="9"/>
        <v>8.5250000000000004</v>
      </c>
      <c r="W57" t="str">
        <f t="shared" si="10"/>
        <v>JLC</v>
      </c>
      <c r="Z57" t="s">
        <v>275</v>
      </c>
      <c r="AA57" s="3">
        <v>60.96</v>
      </c>
      <c r="AD57" s="3"/>
    </row>
    <row r="58" spans="1:30" x14ac:dyDescent="0.3">
      <c r="A58" t="s">
        <v>176</v>
      </c>
      <c r="B58" t="s">
        <v>177</v>
      </c>
      <c r="C58" t="s">
        <v>178</v>
      </c>
      <c r="E58" t="s">
        <v>177</v>
      </c>
      <c r="G58" t="s">
        <v>311</v>
      </c>
      <c r="H58">
        <v>2.34</v>
      </c>
      <c r="K58">
        <v>1</v>
      </c>
      <c r="L58">
        <v>1</v>
      </c>
      <c r="M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S58">
        <f t="shared" si="0"/>
        <v>0</v>
      </c>
      <c r="T58" t="str">
        <f t="shared" si="1"/>
        <v>EMPTY</v>
      </c>
      <c r="V58">
        <f t="shared" si="9"/>
        <v>0</v>
      </c>
      <c r="W58" t="str">
        <f t="shared" si="10"/>
        <v>DIGIKEY</v>
      </c>
      <c r="Z58" t="s">
        <v>276</v>
      </c>
      <c r="AA58" s="3">
        <f>SUM(AA49:AA51)+AB53+SUM(AA54:AA57)</f>
        <v>196.21744000000001</v>
      </c>
      <c r="AD58" s="3"/>
    </row>
    <row r="59" spans="1:30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312</v>
      </c>
      <c r="H59">
        <v>0.45600000000000002</v>
      </c>
      <c r="I59">
        <v>0.1439</v>
      </c>
      <c r="L59">
        <v>1</v>
      </c>
      <c r="M59">
        <f t="shared" si="4"/>
        <v>1</v>
      </c>
      <c r="O59">
        <f t="shared" si="5"/>
        <v>5</v>
      </c>
      <c r="P59">
        <f t="shared" si="6"/>
        <v>5</v>
      </c>
      <c r="Q59">
        <f t="shared" si="7"/>
        <v>8</v>
      </c>
      <c r="R59">
        <f t="shared" si="8"/>
        <v>5</v>
      </c>
      <c r="S59">
        <f t="shared" si="0"/>
        <v>2.8000000000000003</v>
      </c>
      <c r="T59">
        <f t="shared" si="1"/>
        <v>4.7595000000000001</v>
      </c>
      <c r="V59">
        <f t="shared" si="9"/>
        <v>2.8000000000000003</v>
      </c>
      <c r="W59" t="str">
        <f t="shared" si="10"/>
        <v>DIGIKEY</v>
      </c>
      <c r="Z59" t="s">
        <v>277</v>
      </c>
      <c r="AA59" s="3">
        <f>0.12*AA58</f>
        <v>23.5460928</v>
      </c>
      <c r="AD59" s="3"/>
    </row>
    <row r="60" spans="1:30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313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5"/>
        <v>5</v>
      </c>
      <c r="P60">
        <f t="shared" si="6"/>
        <v>5</v>
      </c>
      <c r="Q60">
        <f t="shared" si="7"/>
        <v>8</v>
      </c>
      <c r="R60">
        <f t="shared" si="8"/>
        <v>5</v>
      </c>
      <c r="S60">
        <f t="shared" si="0"/>
        <v>74.7</v>
      </c>
      <c r="T60">
        <f t="shared" si="1"/>
        <v>82.690000000000012</v>
      </c>
      <c r="V60">
        <f t="shared" si="9"/>
        <v>74.7</v>
      </c>
      <c r="W60" t="str">
        <f t="shared" si="10"/>
        <v>DIGIKEY</v>
      </c>
      <c r="X60" t="s">
        <v>332</v>
      </c>
      <c r="Z60" t="s">
        <v>278</v>
      </c>
      <c r="AA60" s="3">
        <v>17.5</v>
      </c>
      <c r="AD60" s="3"/>
    </row>
    <row r="61" spans="1:30" x14ac:dyDescent="0.3">
      <c r="A61" t="s">
        <v>185</v>
      </c>
      <c r="B61" t="s">
        <v>186</v>
      </c>
      <c r="C61" t="s">
        <v>178</v>
      </c>
      <c r="D61" t="s">
        <v>12</v>
      </c>
      <c r="E61" t="s">
        <v>186</v>
      </c>
      <c r="F61" t="s">
        <v>264</v>
      </c>
      <c r="G61" t="s">
        <v>314</v>
      </c>
      <c r="H61">
        <v>2.31</v>
      </c>
      <c r="I61">
        <v>0.498</v>
      </c>
      <c r="L61">
        <v>1</v>
      </c>
      <c r="M61">
        <f t="shared" si="4"/>
        <v>1</v>
      </c>
      <c r="O61">
        <f t="shared" si="5"/>
        <v>5</v>
      </c>
      <c r="P61">
        <f t="shared" si="6"/>
        <v>5</v>
      </c>
      <c r="Q61">
        <f t="shared" si="7"/>
        <v>8</v>
      </c>
      <c r="R61">
        <f t="shared" si="8"/>
        <v>5</v>
      </c>
      <c r="S61">
        <f t="shared" si="0"/>
        <v>12.7</v>
      </c>
      <c r="T61">
        <f t="shared" si="1"/>
        <v>2.4900000000000002</v>
      </c>
      <c r="U61" t="s">
        <v>286</v>
      </c>
      <c r="V61">
        <f t="shared" si="9"/>
        <v>12.7</v>
      </c>
      <c r="W61" t="str">
        <f t="shared" si="10"/>
        <v>DIGIKEY</v>
      </c>
      <c r="Z61" t="s">
        <v>266</v>
      </c>
      <c r="AA61" s="3">
        <f>SUM(AA58:AA60)</f>
        <v>237.26353280000001</v>
      </c>
      <c r="AD61" s="3"/>
    </row>
    <row r="62" spans="1:30" x14ac:dyDescent="0.3">
      <c r="A62" t="s">
        <v>187</v>
      </c>
      <c r="B62" t="s">
        <v>188</v>
      </c>
      <c r="C62" t="s">
        <v>178</v>
      </c>
      <c r="E62" t="s">
        <v>188</v>
      </c>
      <c r="F62" t="s">
        <v>265</v>
      </c>
      <c r="G62" s="5">
        <v>4.82</v>
      </c>
      <c r="H62">
        <v>4.3250000000000002</v>
      </c>
      <c r="I62">
        <v>1.0455000000000001</v>
      </c>
      <c r="K62">
        <v>1</v>
      </c>
      <c r="L62">
        <v>1</v>
      </c>
      <c r="M62">
        <f t="shared" si="4"/>
        <v>0</v>
      </c>
      <c r="N62">
        <v>10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S62">
        <f t="shared" si="0"/>
        <v>0</v>
      </c>
      <c r="T62" t="str">
        <f t="shared" si="1"/>
        <v>EMPTY</v>
      </c>
      <c r="V62">
        <f t="shared" si="9"/>
        <v>0</v>
      </c>
      <c r="W62" t="str">
        <f t="shared" si="10"/>
        <v>DIGIKEY</v>
      </c>
      <c r="X62" t="s">
        <v>334</v>
      </c>
      <c r="AA62" s="3"/>
      <c r="AD62" s="3"/>
    </row>
    <row r="63" spans="1:30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315</v>
      </c>
      <c r="H63">
        <v>4.03</v>
      </c>
      <c r="I63">
        <v>1.2541</v>
      </c>
      <c r="K63">
        <v>1</v>
      </c>
      <c r="L63">
        <v>1</v>
      </c>
      <c r="M63">
        <f t="shared" si="4"/>
        <v>0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0"/>
        <v>0</v>
      </c>
      <c r="T63">
        <f t="shared" si="1"/>
        <v>4.04</v>
      </c>
      <c r="U63" t="s">
        <v>286</v>
      </c>
      <c r="V63">
        <f t="shared" si="9"/>
        <v>0</v>
      </c>
      <c r="W63" t="str">
        <f t="shared" si="10"/>
        <v>DIGIKEY</v>
      </c>
      <c r="AA63" s="3">
        <f>AA61+X70</f>
        <v>665.43953280000005</v>
      </c>
      <c r="AD63" s="3"/>
    </row>
    <row r="64" spans="1:30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300</v>
      </c>
      <c r="H64">
        <v>0.28699999999999998</v>
      </c>
      <c r="I64">
        <v>0.1118</v>
      </c>
      <c r="L64">
        <v>2</v>
      </c>
      <c r="M64">
        <f t="shared" si="4"/>
        <v>2</v>
      </c>
      <c r="O64">
        <f t="shared" si="5"/>
        <v>10</v>
      </c>
      <c r="P64">
        <f t="shared" si="6"/>
        <v>10</v>
      </c>
      <c r="Q64">
        <f t="shared" si="7"/>
        <v>16</v>
      </c>
      <c r="R64">
        <f t="shared" si="8"/>
        <v>10</v>
      </c>
      <c r="S64">
        <f t="shared" si="0"/>
        <v>3</v>
      </c>
      <c r="T64">
        <f t="shared" si="1"/>
        <v>5.1579999999999995</v>
      </c>
      <c r="V64">
        <f t="shared" si="9"/>
        <v>3</v>
      </c>
      <c r="W64" t="str">
        <f t="shared" si="10"/>
        <v>DIGIKEY</v>
      </c>
      <c r="Z64" t="s">
        <v>279</v>
      </c>
      <c r="AA64" s="3">
        <f>AA63/10</f>
        <v>66.543953280000011</v>
      </c>
      <c r="AD64" s="3"/>
    </row>
    <row r="65" spans="1:24" x14ac:dyDescent="0.3">
      <c r="A65" t="s">
        <v>196</v>
      </c>
      <c r="B65" t="s">
        <v>197</v>
      </c>
      <c r="C65" t="s">
        <v>198</v>
      </c>
      <c r="D65" t="s">
        <v>8</v>
      </c>
      <c r="E65" t="s">
        <v>197</v>
      </c>
      <c r="F65" t="s">
        <v>206</v>
      </c>
      <c r="G65" t="s">
        <v>316</v>
      </c>
      <c r="H65">
        <v>0.70499999999999996</v>
      </c>
      <c r="I65">
        <v>0.76160000000000005</v>
      </c>
      <c r="L65">
        <v>1</v>
      </c>
      <c r="M65">
        <f t="shared" si="4"/>
        <v>1</v>
      </c>
      <c r="O65">
        <f t="shared" si="5"/>
        <v>5</v>
      </c>
      <c r="P65">
        <f t="shared" si="6"/>
        <v>5</v>
      </c>
      <c r="Q65">
        <f t="shared" si="7"/>
        <v>8</v>
      </c>
      <c r="R65">
        <f t="shared" si="8"/>
        <v>5</v>
      </c>
      <c r="S65">
        <f t="shared" si="0"/>
        <v>4.25</v>
      </c>
      <c r="T65">
        <f t="shared" si="1"/>
        <v>7.8480000000000008</v>
      </c>
      <c r="U65" t="s">
        <v>286</v>
      </c>
      <c r="V65">
        <f t="shared" si="9"/>
        <v>4.25</v>
      </c>
      <c r="W65" t="str">
        <f t="shared" si="10"/>
        <v>DIGIKEY</v>
      </c>
    </row>
    <row r="66" spans="1:24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317</v>
      </c>
      <c r="H66">
        <v>0.71499999999999997</v>
      </c>
      <c r="I66">
        <v>0.22789999999999999</v>
      </c>
      <c r="K66">
        <v>1</v>
      </c>
      <c r="L66">
        <v>1</v>
      </c>
      <c r="M66">
        <f t="shared" ref="M66:M67" si="11">L66-K66</f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>IF(O66&gt;10,H66*O66,G66*O66)</f>
        <v>0</v>
      </c>
      <c r="T66">
        <f t="shared" ref="T66" si="12">IF(ISBLANK(D66),"EMPTY",(I66*R66+IF(D66="yes",4.04,0)))</f>
        <v>4.04</v>
      </c>
      <c r="U66" t="s">
        <v>286</v>
      </c>
      <c r="V66">
        <f t="shared" ref="V66" si="13">IF(T66="EMPTY",S66,IF(J66="Bottom",S66,IF(U66="DIGIKEY",S66,IF(U66="JLC",T66,IF(T66&lt;S66+0.2,T66,S66)))))</f>
        <v>0</v>
      </c>
      <c r="W66" t="str">
        <f t="shared" si="10"/>
        <v>DIGIKEY</v>
      </c>
      <c r="X66">
        <f>COUNTIF(W2:W66,"DIGIKEY")-5</f>
        <v>36</v>
      </c>
    </row>
    <row r="67" spans="1:24" x14ac:dyDescent="0.3">
      <c r="A67" t="s">
        <v>335</v>
      </c>
      <c r="B67" t="s">
        <v>337</v>
      </c>
      <c r="C67" t="s">
        <v>338</v>
      </c>
      <c r="D67" t="s">
        <v>8</v>
      </c>
      <c r="E67" t="s">
        <v>337</v>
      </c>
      <c r="F67" t="s">
        <v>336</v>
      </c>
      <c r="G67">
        <v>0.45</v>
      </c>
      <c r="H67">
        <v>0.312</v>
      </c>
      <c r="I67">
        <v>8.2500000000000004E-2</v>
      </c>
      <c r="L67">
        <v>3</v>
      </c>
      <c r="M67">
        <f t="shared" si="11"/>
        <v>3</v>
      </c>
      <c r="O67">
        <f t="shared" ref="O67" si="14">M67*5</f>
        <v>15</v>
      </c>
      <c r="P67">
        <f t="shared" ref="P67" si="15">IF(W67="DIGIKEY",O67,0)</f>
        <v>15</v>
      </c>
      <c r="Q67">
        <f t="shared" ref="Q67" si="16">M67*8</f>
        <v>24</v>
      </c>
      <c r="R67">
        <f t="shared" ref="R67" si="17">M67*5</f>
        <v>15</v>
      </c>
      <c r="S67">
        <f>IF(O67&gt;10,H67*O67,G67*O67)</f>
        <v>4.68</v>
      </c>
      <c r="T67">
        <f>IF(ISBLANK(D67),"EMPTY",(I67*R67+IF(D67="yes",4.04,0)))</f>
        <v>5.2774999999999999</v>
      </c>
      <c r="V67">
        <f t="shared" ref="V67" si="18">IF(T67="EMPTY",S67,IF(J67="Bottom",S67,IF(U67="DIGIKEY",S67,IF(U67="JLC",T67,IF(T67&lt;S67+0.2,T67,S67)))))</f>
        <v>4.68</v>
      </c>
      <c r="W67" t="str">
        <f t="shared" ref="W67" si="19">IF(T67="EMPTY","DIGIKEY",IF(J67="Bottom","DIGIKEY",IF(U67="DIGIKEY",U67,IF(U67="JLC",U67,IF(T67&lt;S67+0.2,"JLC","DIGIKEY")))))</f>
        <v>DIGIKEY</v>
      </c>
    </row>
    <row r="69" spans="1:24" x14ac:dyDescent="0.3">
      <c r="W69">
        <f>COUNTIF(W2:W66,"JLC")</f>
        <v>24</v>
      </c>
      <c r="X69">
        <f>SUMIF(W2:W66,"DIGIKEY",Q2:Q66)</f>
        <v>280</v>
      </c>
    </row>
    <row r="70" spans="1:24" x14ac:dyDescent="0.3">
      <c r="T70" t="s">
        <v>266</v>
      </c>
      <c r="V70">
        <f>SUM(V2:V66)</f>
        <v>398.61049999999994</v>
      </c>
      <c r="W70" s="7">
        <f>SUMIF(W2:W66,"JLC",V2:V66)*1.28</f>
        <v>20.877440000000004</v>
      </c>
      <c r="X70">
        <f>SUMIF(W2:W66,"DIGIKEY",V2:V66)*1.12</f>
        <v>428.17600000000004</v>
      </c>
    </row>
    <row r="71" spans="1:24" x14ac:dyDescent="0.3">
      <c r="T71" t="s">
        <v>267</v>
      </c>
      <c r="W71" t="s">
        <v>320</v>
      </c>
      <c r="X71" t="s">
        <v>327</v>
      </c>
    </row>
    <row r="73" spans="1:24" x14ac:dyDescent="0.3">
      <c r="W73" t="s">
        <v>329</v>
      </c>
    </row>
    <row r="74" spans="1:24" x14ac:dyDescent="0.3">
      <c r="V74">
        <f>V60+V56+V31++V4</f>
        <v>229.04999999999998</v>
      </c>
      <c r="X74" t="s">
        <v>322</v>
      </c>
    </row>
    <row r="75" spans="1:24" x14ac:dyDescent="0.3">
      <c r="X75">
        <f>X69/8</f>
        <v>35</v>
      </c>
    </row>
  </sheetData>
  <phoneticPr fontId="18" type="noConversion"/>
  <conditionalFormatting sqref="S2:T67">
    <cfRule type="expression" dxfId="0" priority="1">
      <formula>AND(T2-S2&lt;3,T2&gt;S2)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2024-01-27T08:57:09Z</dcterms:modified>
</cp:coreProperties>
</file>