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7216E980-37B3-433F-A3B9-BB413714E1CC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POWER_BOARD" sheetId="1" r:id="rId1"/>
    <sheet name="POWER_BOARD (TDP COST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0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V25" i="2" s="1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V27" i="2" s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2" i="2"/>
  <c r="S2" i="2" s="1"/>
  <c r="M67" i="2"/>
  <c r="R67" i="2" s="1"/>
  <c r="T67" i="2" s="1"/>
  <c r="R66" i="2"/>
  <c r="T66" i="2" s="1"/>
  <c r="W66" i="2" s="1"/>
  <c r="P66" i="2" s="1"/>
  <c r="Q66" i="2"/>
  <c r="M66" i="2"/>
  <c r="M65" i="2"/>
  <c r="R65" i="2" s="1"/>
  <c r="T65" i="2" s="1"/>
  <c r="R64" i="2"/>
  <c r="T64" i="2" s="1"/>
  <c r="Q64" i="2"/>
  <c r="M64" i="2"/>
  <c r="M63" i="2"/>
  <c r="T62" i="2"/>
  <c r="W62" i="2" s="1"/>
  <c r="M62" i="2"/>
  <c r="R62" i="2" s="1"/>
  <c r="R61" i="2"/>
  <c r="T61" i="2" s="1"/>
  <c r="W61" i="2" s="1"/>
  <c r="P61" i="2" s="1"/>
  <c r="Q61" i="2"/>
  <c r="M61" i="2"/>
  <c r="M60" i="2"/>
  <c r="R60" i="2" s="1"/>
  <c r="T60" i="2" s="1"/>
  <c r="AC59" i="2"/>
  <c r="AC60" i="2" s="1"/>
  <c r="R59" i="2"/>
  <c r="T59" i="2" s="1"/>
  <c r="Q59" i="2"/>
  <c r="M59" i="2"/>
  <c r="W58" i="2"/>
  <c r="T58" i="2"/>
  <c r="M58" i="2"/>
  <c r="Q57" i="2"/>
  <c r="M57" i="2"/>
  <c r="R57" i="2" s="1"/>
  <c r="T57" i="2" s="1"/>
  <c r="T56" i="2"/>
  <c r="W56" i="2" s="1"/>
  <c r="M56" i="2"/>
  <c r="T55" i="2"/>
  <c r="W55" i="2" s="1"/>
  <c r="R55" i="2"/>
  <c r="Q55" i="2"/>
  <c r="M55" i="2"/>
  <c r="W54" i="2"/>
  <c r="T54" i="2"/>
  <c r="M54" i="2"/>
  <c r="Q53" i="2"/>
  <c r="M53" i="2"/>
  <c r="R53" i="2" s="1"/>
  <c r="T53" i="2" s="1"/>
  <c r="M52" i="2"/>
  <c r="R51" i="2"/>
  <c r="T51" i="2" s="1"/>
  <c r="Q51" i="2"/>
  <c r="M51" i="2"/>
  <c r="M50" i="2"/>
  <c r="Q49" i="2"/>
  <c r="M49" i="2"/>
  <c r="R49" i="2" s="1"/>
  <c r="T49" i="2" s="1"/>
  <c r="M48" i="2"/>
  <c r="R47" i="2"/>
  <c r="T47" i="2" s="1"/>
  <c r="Q47" i="2"/>
  <c r="M47" i="2"/>
  <c r="M46" i="2"/>
  <c r="Q45" i="2"/>
  <c r="M45" i="2"/>
  <c r="R45" i="2" s="1"/>
  <c r="T45" i="2" s="1"/>
  <c r="M44" i="2"/>
  <c r="AD43" i="2"/>
  <c r="T43" i="2"/>
  <c r="R43" i="2"/>
  <c r="M43" i="2"/>
  <c r="Q43" i="2" s="1"/>
  <c r="W42" i="2"/>
  <c r="T42" i="2"/>
  <c r="R42" i="2"/>
  <c r="Q42" i="2"/>
  <c r="V42" i="2"/>
  <c r="M42" i="2"/>
  <c r="T41" i="2"/>
  <c r="M41" i="2"/>
  <c r="W40" i="2"/>
  <c r="T40" i="2"/>
  <c r="R40" i="2"/>
  <c r="Q40" i="2"/>
  <c r="V40" i="2"/>
  <c r="M40" i="2"/>
  <c r="T39" i="2"/>
  <c r="M39" i="2"/>
  <c r="R39" i="2" s="1"/>
  <c r="R38" i="2"/>
  <c r="T38" i="2" s="1"/>
  <c r="W38" i="2" s="1"/>
  <c r="P38" i="2" s="1"/>
  <c r="Q38" i="2"/>
  <c r="M38" i="2"/>
  <c r="T37" i="2"/>
  <c r="R37" i="2"/>
  <c r="M37" i="2"/>
  <c r="R36" i="2"/>
  <c r="T36" i="2" s="1"/>
  <c r="W36" i="2" s="1"/>
  <c r="P36" i="2" s="1"/>
  <c r="Q36" i="2"/>
  <c r="M36" i="2"/>
  <c r="R35" i="2"/>
  <c r="T35" i="2" s="1"/>
  <c r="M35" i="2"/>
  <c r="R34" i="2"/>
  <c r="T34" i="2" s="1"/>
  <c r="Q34" i="2"/>
  <c r="V34" i="2"/>
  <c r="M34" i="2"/>
  <c r="T33" i="2"/>
  <c r="M33" i="2"/>
  <c r="W32" i="2"/>
  <c r="T32" i="2"/>
  <c r="R32" i="2"/>
  <c r="Q32" i="2"/>
  <c r="V32" i="2"/>
  <c r="M32" i="2"/>
  <c r="R31" i="2"/>
  <c r="T31" i="2" s="1"/>
  <c r="M31" i="2"/>
  <c r="Q31" i="2" s="1"/>
  <c r="R30" i="2"/>
  <c r="T30" i="2" s="1"/>
  <c r="Q30" i="2"/>
  <c r="W30" i="2"/>
  <c r="P30" i="2" s="1"/>
  <c r="M30" i="2"/>
  <c r="M29" i="2"/>
  <c r="W28" i="2"/>
  <c r="T28" i="2"/>
  <c r="R28" i="2"/>
  <c r="Q28" i="2"/>
  <c r="M28" i="2"/>
  <c r="V28" i="2" s="1"/>
  <c r="T27" i="2"/>
  <c r="W27" i="2" s="1"/>
  <c r="M27" i="2"/>
  <c r="R27" i="2" s="1"/>
  <c r="W26" i="2"/>
  <c r="T26" i="2"/>
  <c r="R26" i="2"/>
  <c r="Q26" i="2"/>
  <c r="M26" i="2"/>
  <c r="T25" i="2"/>
  <c r="W25" i="2" s="1"/>
  <c r="M25" i="2"/>
  <c r="R24" i="2"/>
  <c r="T24" i="2" s="1"/>
  <c r="V24" i="2" s="1"/>
  <c r="Q24" i="2"/>
  <c r="M24" i="2"/>
  <c r="M23" i="2"/>
  <c r="R23" i="2" s="1"/>
  <c r="T23" i="2" s="1"/>
  <c r="W22" i="2"/>
  <c r="T22" i="2"/>
  <c r="R22" i="2"/>
  <c r="Q22" i="2"/>
  <c r="M22" i="2"/>
  <c r="M21" i="2"/>
  <c r="W20" i="2"/>
  <c r="P20" i="2" s="1"/>
  <c r="R20" i="2"/>
  <c r="T20" i="2" s="1"/>
  <c r="Q20" i="2"/>
  <c r="M20" i="2"/>
  <c r="T19" i="2"/>
  <c r="M19" i="2"/>
  <c r="R19" i="2" s="1"/>
  <c r="R18" i="2"/>
  <c r="T18" i="2" s="1"/>
  <c r="V18" i="2" s="1"/>
  <c r="Q18" i="2"/>
  <c r="M18" i="2"/>
  <c r="M17" i="2"/>
  <c r="R16" i="2"/>
  <c r="T16" i="2" s="1"/>
  <c r="Q16" i="2"/>
  <c r="M16" i="2"/>
  <c r="T15" i="2"/>
  <c r="W15" i="2" s="1"/>
  <c r="P15" i="2" s="1"/>
  <c r="M15" i="2"/>
  <c r="R15" i="2" s="1"/>
  <c r="R14" i="2"/>
  <c r="T14" i="2" s="1"/>
  <c r="Q14" i="2"/>
  <c r="M14" i="2"/>
  <c r="M13" i="2"/>
  <c r="R12" i="2"/>
  <c r="T12" i="2" s="1"/>
  <c r="Q12" i="2"/>
  <c r="M12" i="2"/>
  <c r="W12" i="2" s="1"/>
  <c r="P12" i="2" s="1"/>
  <c r="T11" i="2"/>
  <c r="W11" i="2" s="1"/>
  <c r="P11" i="2" s="1"/>
  <c r="M11" i="2"/>
  <c r="R11" i="2" s="1"/>
  <c r="W10" i="2"/>
  <c r="P10" i="2" s="1"/>
  <c r="R10" i="2"/>
  <c r="T10" i="2" s="1"/>
  <c r="Q10" i="2"/>
  <c r="M10" i="2"/>
  <c r="M9" i="2"/>
  <c r="R8" i="2"/>
  <c r="T8" i="2" s="1"/>
  <c r="Q8" i="2"/>
  <c r="M8" i="2"/>
  <c r="M7" i="2"/>
  <c r="R7" i="2" s="1"/>
  <c r="T7" i="2" s="1"/>
  <c r="R6" i="2"/>
  <c r="T6" i="2" s="1"/>
  <c r="Q6" i="2"/>
  <c r="M6" i="2"/>
  <c r="M5" i="2"/>
  <c r="W4" i="2"/>
  <c r="T4" i="2"/>
  <c r="R4" i="2"/>
  <c r="Q4" i="2"/>
  <c r="M4" i="2"/>
  <c r="V4" i="2" s="1"/>
  <c r="M3" i="2"/>
  <c r="R3" i="2" s="1"/>
  <c r="T3" i="2" s="1"/>
  <c r="W2" i="2"/>
  <c r="P2" i="2" s="1"/>
  <c r="R2" i="2"/>
  <c r="T2" i="2" s="1"/>
  <c r="V2" i="2" s="1"/>
  <c r="Q2" i="2"/>
  <c r="M2" i="2"/>
  <c r="AC59" i="1"/>
  <c r="AD43" i="1"/>
  <c r="N31" i="1"/>
  <c r="M67" i="1"/>
  <c r="O67" i="1" s="1"/>
  <c r="S67" i="1" s="1"/>
  <c r="Q2" i="1"/>
  <c r="V14" i="2" l="1"/>
  <c r="P26" i="2"/>
  <c r="P55" i="2"/>
  <c r="V22" i="2"/>
  <c r="P40" i="2"/>
  <c r="V8" i="2"/>
  <c r="P28" i="2"/>
  <c r="P22" i="2"/>
  <c r="P4" i="2"/>
  <c r="V16" i="2"/>
  <c r="V26" i="2"/>
  <c r="V10" i="2"/>
  <c r="P32" i="2"/>
  <c r="V6" i="2"/>
  <c r="V30" i="2"/>
  <c r="W7" i="2"/>
  <c r="P7" i="2" s="1"/>
  <c r="V7" i="2"/>
  <c r="W31" i="2"/>
  <c r="W60" i="2"/>
  <c r="P60" i="2" s="1"/>
  <c r="V60" i="2"/>
  <c r="V65" i="2"/>
  <c r="W65" i="2"/>
  <c r="P65" i="2" s="1"/>
  <c r="W23" i="2"/>
  <c r="P23" i="2" s="1"/>
  <c r="V23" i="2"/>
  <c r="W35" i="2"/>
  <c r="P35" i="2" s="1"/>
  <c r="W3" i="2"/>
  <c r="P3" i="2" s="1"/>
  <c r="V3" i="2"/>
  <c r="W8" i="2"/>
  <c r="P8" i="2" s="1"/>
  <c r="Q46" i="2"/>
  <c r="R46" i="2"/>
  <c r="T46" i="2" s="1"/>
  <c r="R9" i="2"/>
  <c r="T9" i="2" s="1"/>
  <c r="Q9" i="2"/>
  <c r="V15" i="2"/>
  <c r="W24" i="2"/>
  <c r="P24" i="2" s="1"/>
  <c r="Q33" i="2"/>
  <c r="V33" i="2"/>
  <c r="V61" i="2"/>
  <c r="W6" i="2"/>
  <c r="P6" i="2" s="1"/>
  <c r="V20" i="2"/>
  <c r="R25" i="2"/>
  <c r="Q25" i="2"/>
  <c r="R29" i="2"/>
  <c r="T29" i="2" s="1"/>
  <c r="Q29" i="2"/>
  <c r="R33" i="2"/>
  <c r="W51" i="2"/>
  <c r="P51" i="2" s="1"/>
  <c r="V51" i="2"/>
  <c r="W47" i="2"/>
  <c r="P47" i="2" s="1"/>
  <c r="V47" i="2"/>
  <c r="W41" i="2"/>
  <c r="P56" i="2"/>
  <c r="Q63" i="2"/>
  <c r="R63" i="2"/>
  <c r="T63" i="2" s="1"/>
  <c r="V11" i="2"/>
  <c r="W18" i="2"/>
  <c r="P18" i="2" s="1"/>
  <c r="W16" i="2"/>
  <c r="P16" i="2" s="1"/>
  <c r="P27" i="2"/>
  <c r="V36" i="2"/>
  <c r="V56" i="2"/>
  <c r="V66" i="2"/>
  <c r="W59" i="2"/>
  <c r="P59" i="2" s="1"/>
  <c r="V59" i="2"/>
  <c r="R41" i="2"/>
  <c r="Q41" i="2"/>
  <c r="V41" i="2"/>
  <c r="Q39" i="2"/>
  <c r="V39" i="2"/>
  <c r="R17" i="2"/>
  <c r="T17" i="2" s="1"/>
  <c r="Q17" i="2"/>
  <c r="W57" i="2"/>
  <c r="P57" i="2" s="1"/>
  <c r="V57" i="2"/>
  <c r="W33" i="2"/>
  <c r="P33" i="2" s="1"/>
  <c r="R5" i="2"/>
  <c r="T5" i="2" s="1"/>
  <c r="Q5" i="2"/>
  <c r="R21" i="2"/>
  <c r="T21" i="2" s="1"/>
  <c r="Q21" i="2"/>
  <c r="V38" i="2"/>
  <c r="V12" i="2"/>
  <c r="W14" i="2"/>
  <c r="P14" i="2" s="1"/>
  <c r="W34" i="2"/>
  <c r="P34" i="2" s="1"/>
  <c r="Q37" i="2"/>
  <c r="V37" i="2"/>
  <c r="W39" i="2"/>
  <c r="P39" i="2" s="1"/>
  <c r="P42" i="2"/>
  <c r="W49" i="2"/>
  <c r="Q54" i="2"/>
  <c r="R54" i="2"/>
  <c r="W67" i="2"/>
  <c r="P25" i="2"/>
  <c r="W19" i="2"/>
  <c r="P19" i="2" s="1"/>
  <c r="V54" i="2"/>
  <c r="P54" i="2"/>
  <c r="R58" i="2"/>
  <c r="Q58" i="2"/>
  <c r="W64" i="2"/>
  <c r="P64" i="2" s="1"/>
  <c r="V64" i="2"/>
  <c r="R13" i="2"/>
  <c r="T13" i="2" s="1"/>
  <c r="Q13" i="2"/>
  <c r="V19" i="2"/>
  <c r="Q35" i="2"/>
  <c r="V35" i="2"/>
  <c r="W37" i="2"/>
  <c r="R50" i="2"/>
  <c r="T50" i="2" s="1"/>
  <c r="Q50" i="2"/>
  <c r="V31" i="2"/>
  <c r="W43" i="2"/>
  <c r="P43" i="2" s="1"/>
  <c r="Q44" i="2"/>
  <c r="Q48" i="2"/>
  <c r="Q52" i="2"/>
  <c r="Q56" i="2"/>
  <c r="Q3" i="2"/>
  <c r="Q7" i="2"/>
  <c r="Q11" i="2"/>
  <c r="Q15" i="2"/>
  <c r="Q19" i="2"/>
  <c r="Q23" i="2"/>
  <c r="Q27" i="2"/>
  <c r="R44" i="2"/>
  <c r="T44" i="2" s="1"/>
  <c r="R48" i="2"/>
  <c r="T48" i="2" s="1"/>
  <c r="R52" i="2"/>
  <c r="T52" i="2" s="1"/>
  <c r="R56" i="2"/>
  <c r="Q60" i="2"/>
  <c r="Q65" i="2"/>
  <c r="AC62" i="2"/>
  <c r="V62" i="2"/>
  <c r="W45" i="2"/>
  <c r="P45" i="2" s="1"/>
  <c r="V49" i="2"/>
  <c r="W53" i="2"/>
  <c r="P53" i="2" s="1"/>
  <c r="V55" i="2"/>
  <c r="V67" i="2"/>
  <c r="Q62" i="2"/>
  <c r="Q67" i="2"/>
  <c r="R67" i="1"/>
  <c r="T67" i="1"/>
  <c r="V67" i="1" s="1"/>
  <c r="Q67" i="1"/>
  <c r="M35" i="1"/>
  <c r="R35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2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P37" i="2" l="1"/>
  <c r="P41" i="2"/>
  <c r="W44" i="2"/>
  <c r="P44" i="2" s="1"/>
  <c r="V44" i="2"/>
  <c r="W5" i="2"/>
  <c r="V5" i="2"/>
  <c r="W29" i="2"/>
  <c r="P29" i="2" s="1"/>
  <c r="V29" i="2"/>
  <c r="V58" i="2"/>
  <c r="P58" i="2"/>
  <c r="W13" i="2"/>
  <c r="P13" i="2" s="1"/>
  <c r="V13" i="2"/>
  <c r="V53" i="2"/>
  <c r="W9" i="2"/>
  <c r="P9" i="2" s="1"/>
  <c r="V9" i="2"/>
  <c r="P67" i="2"/>
  <c r="W17" i="2"/>
  <c r="P17" i="2" s="1"/>
  <c r="V17" i="2"/>
  <c r="V46" i="2"/>
  <c r="W46" i="2"/>
  <c r="P46" i="2" s="1"/>
  <c r="V74" i="2"/>
  <c r="V63" i="2"/>
  <c r="W63" i="2"/>
  <c r="P63" i="2" s="1"/>
  <c r="V43" i="2"/>
  <c r="V50" i="2"/>
  <c r="W50" i="2"/>
  <c r="P50" i="2" s="1"/>
  <c r="P62" i="2"/>
  <c r="W48" i="2"/>
  <c r="P48" i="2" s="1"/>
  <c r="V48" i="2"/>
  <c r="V45" i="2"/>
  <c r="P31" i="2"/>
  <c r="P49" i="2"/>
  <c r="W21" i="2"/>
  <c r="P21" i="2" s="1"/>
  <c r="V21" i="2"/>
  <c r="W52" i="2"/>
  <c r="P52" i="2" s="1"/>
  <c r="V52" i="2"/>
  <c r="R58" i="1"/>
  <c r="O58" i="1"/>
  <c r="R2" i="1"/>
  <c r="T2" i="1" s="1"/>
  <c r="O2" i="1"/>
  <c r="S2" i="1" s="1"/>
  <c r="W67" i="1"/>
  <c r="P67" i="1" s="1"/>
  <c r="Q11" i="1"/>
  <c r="O11" i="1"/>
  <c r="S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S22" i="1" s="1"/>
  <c r="Q10" i="1"/>
  <c r="O10" i="1"/>
  <c r="S10" i="1" s="1"/>
  <c r="S58" i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S56" i="1" s="1"/>
  <c r="Q56" i="1"/>
  <c r="Q44" i="1"/>
  <c r="O44" i="1"/>
  <c r="S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55" i="1"/>
  <c r="S55" i="1" s="1"/>
  <c r="Q55" i="1"/>
  <c r="O43" i="1"/>
  <c r="S43" i="1" s="1"/>
  <c r="Q43" i="1"/>
  <c r="O30" i="1"/>
  <c r="S30" i="1" s="1"/>
  <c r="Q30" i="1"/>
  <c r="Q18" i="1"/>
  <c r="O18" i="1"/>
  <c r="S18" i="1" s="1"/>
  <c r="O6" i="1"/>
  <c r="S6" i="1" s="1"/>
  <c r="Q6" i="1"/>
  <c r="Q37" i="1"/>
  <c r="O37" i="1"/>
  <c r="S37" i="1" s="1"/>
  <c r="O8" i="1"/>
  <c r="S8" i="1" s="1"/>
  <c r="Q8" i="1"/>
  <c r="O66" i="1"/>
  <c r="S66" i="1" s="1"/>
  <c r="Q66" i="1"/>
  <c r="O54" i="1"/>
  <c r="S54" i="1" s="1"/>
  <c r="Q54" i="1"/>
  <c r="O42" i="1"/>
  <c r="S42" i="1" s="1"/>
  <c r="Q42" i="1"/>
  <c r="O17" i="1"/>
  <c r="S17" i="1" s="1"/>
  <c r="Q17" i="1"/>
  <c r="O5" i="1"/>
  <c r="S5" i="1" s="1"/>
  <c r="Q5" i="1"/>
  <c r="O45" i="1"/>
  <c r="S45" i="1" s="1"/>
  <c r="Q45" i="1"/>
  <c r="O65" i="1"/>
  <c r="S65" i="1" s="1"/>
  <c r="Q65" i="1"/>
  <c r="O53" i="1"/>
  <c r="S53" i="1" s="1"/>
  <c r="Q53" i="1"/>
  <c r="O41" i="1"/>
  <c r="S41" i="1" s="1"/>
  <c r="Q41" i="1"/>
  <c r="O28" i="1"/>
  <c r="S28" i="1" s="1"/>
  <c r="Q28" i="1"/>
  <c r="O16" i="1"/>
  <c r="S16" i="1" s="1"/>
  <c r="Q16" i="1"/>
  <c r="O4" i="1"/>
  <c r="S4" i="1" s="1"/>
  <c r="Q4" i="1"/>
  <c r="Q49" i="1"/>
  <c r="O49" i="1"/>
  <c r="S49" i="1" s="1"/>
  <c r="Q48" i="1"/>
  <c r="O48" i="1"/>
  <c r="S48" i="1" s="1"/>
  <c r="O64" i="1"/>
  <c r="S64" i="1" s="1"/>
  <c r="Q64" i="1"/>
  <c r="O52" i="1"/>
  <c r="S52" i="1" s="1"/>
  <c r="Q52" i="1"/>
  <c r="O40" i="1"/>
  <c r="S40" i="1" s="1"/>
  <c r="Q40" i="1"/>
  <c r="O27" i="1"/>
  <c r="S27" i="1" s="1"/>
  <c r="Q27" i="1"/>
  <c r="O15" i="1"/>
  <c r="S15" i="1" s="1"/>
  <c r="Q15" i="1"/>
  <c r="O3" i="1"/>
  <c r="S3" i="1" s="1"/>
  <c r="Q3" i="1"/>
  <c r="Q24" i="1"/>
  <c r="O24" i="1"/>
  <c r="S24" i="1" s="1"/>
  <c r="Q23" i="1"/>
  <c r="O23" i="1"/>
  <c r="S23" i="1" s="1"/>
  <c r="O63" i="1"/>
  <c r="S63" i="1" s="1"/>
  <c r="Q63" i="1"/>
  <c r="O51" i="1"/>
  <c r="S51" i="1" s="1"/>
  <c r="Q51" i="1"/>
  <c r="O39" i="1"/>
  <c r="S39" i="1" s="1"/>
  <c r="Q39" i="1"/>
  <c r="O26" i="1"/>
  <c r="S26" i="1" s="1"/>
  <c r="Q26" i="1"/>
  <c r="O14" i="1"/>
  <c r="S14" i="1" s="1"/>
  <c r="Q14" i="1"/>
  <c r="Q36" i="1"/>
  <c r="O36" i="1"/>
  <c r="S36" i="1" s="1"/>
  <c r="Q62" i="1"/>
  <c r="O62" i="1"/>
  <c r="S62" i="1" s="1"/>
  <c r="Q50" i="1"/>
  <c r="O50" i="1"/>
  <c r="S50" i="1" s="1"/>
  <c r="Q38" i="1"/>
  <c r="O38" i="1"/>
  <c r="S38" i="1" s="1"/>
  <c r="O25" i="1"/>
  <c r="S25" i="1" s="1"/>
  <c r="Q25" i="1"/>
  <c r="O13" i="1"/>
  <c r="S13" i="1" s="1"/>
  <c r="Q13" i="1"/>
  <c r="O35" i="1"/>
  <c r="S35" i="1" s="1"/>
  <c r="Q35" i="1"/>
  <c r="Q29" i="1"/>
  <c r="O29" i="1"/>
  <c r="S29" i="1" s="1"/>
  <c r="T65" i="1"/>
  <c r="T60" i="1"/>
  <c r="T11" i="1"/>
  <c r="W11" i="1" s="1"/>
  <c r="P11" i="1" s="1"/>
  <c r="T47" i="1"/>
  <c r="T46" i="1"/>
  <c r="T21" i="1"/>
  <c r="T12" i="1"/>
  <c r="T57" i="1"/>
  <c r="T45" i="1"/>
  <c r="V45" i="1" s="1"/>
  <c r="T20" i="1"/>
  <c r="T23" i="1"/>
  <c r="W23" i="1" s="1"/>
  <c r="T59" i="1"/>
  <c r="T10" i="1"/>
  <c r="T44" i="1"/>
  <c r="W44" i="1" s="1"/>
  <c r="P44" i="1" s="1"/>
  <c r="T31" i="1"/>
  <c r="T19" i="1"/>
  <c r="T7" i="1"/>
  <c r="T43" i="1"/>
  <c r="T30" i="1"/>
  <c r="T18" i="1"/>
  <c r="T6" i="1"/>
  <c r="T29" i="1"/>
  <c r="T17" i="1"/>
  <c r="T5" i="1"/>
  <c r="T48" i="1"/>
  <c r="T34" i="1"/>
  <c r="T16" i="1"/>
  <c r="T64" i="1"/>
  <c r="T52" i="1"/>
  <c r="T15" i="1"/>
  <c r="T24" i="1"/>
  <c r="T63" i="1"/>
  <c r="T51" i="1"/>
  <c r="T49" i="1"/>
  <c r="T36" i="1"/>
  <c r="T50" i="1"/>
  <c r="T38" i="1"/>
  <c r="T13" i="1"/>
  <c r="T35" i="1"/>
  <c r="W58" i="1"/>
  <c r="W56" i="1"/>
  <c r="W54" i="1"/>
  <c r="W42" i="1"/>
  <c r="W41" i="1"/>
  <c r="W4" i="1"/>
  <c r="T9" i="1"/>
  <c r="T8" i="1"/>
  <c r="T3" i="1"/>
  <c r="T66" i="1"/>
  <c r="T53" i="1"/>
  <c r="T33" i="1"/>
  <c r="T61" i="1"/>
  <c r="T32" i="1"/>
  <c r="T14" i="1"/>
  <c r="V70" i="2" l="1"/>
  <c r="P5" i="2"/>
  <c r="W69" i="2"/>
  <c r="W70" i="2"/>
  <c r="Z66" i="2"/>
  <c r="Z69" i="2"/>
  <c r="Z75" i="2" s="1"/>
  <c r="W59" i="1"/>
  <c r="P59" i="1" s="1"/>
  <c r="P58" i="1"/>
  <c r="P4" i="1"/>
  <c r="V27" i="1"/>
  <c r="V4" i="1"/>
  <c r="P55" i="1"/>
  <c r="V62" i="1"/>
  <c r="P37" i="1"/>
  <c r="V56" i="1"/>
  <c r="V40" i="1"/>
  <c r="V28" i="1"/>
  <c r="V58" i="1"/>
  <c r="V42" i="1"/>
  <c r="V41" i="1"/>
  <c r="P56" i="1"/>
  <c r="V25" i="1"/>
  <c r="V54" i="1"/>
  <c r="V22" i="1"/>
  <c r="V26" i="1"/>
  <c r="P23" i="1"/>
  <c r="V39" i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AC64" i="2" l="1"/>
  <c r="AC65" i="2" s="1"/>
  <c r="V74" i="1"/>
  <c r="P12" i="1"/>
  <c r="P15" i="1"/>
  <c r="P57" i="1"/>
  <c r="V2" i="1"/>
  <c r="V70" i="1" s="1"/>
  <c r="W2" i="1"/>
  <c r="Z70" i="1" s="1"/>
  <c r="AA70" i="1" s="1"/>
  <c r="W70" i="1" l="1"/>
  <c r="P2" i="1"/>
  <c r="Z66" i="1"/>
  <c r="Z69" i="1"/>
  <c r="Z75" i="1" s="1"/>
  <c r="W69" i="1"/>
  <c r="AC60" i="1" l="1"/>
  <c r="AC62" i="1" s="1"/>
  <c r="AC64" i="1" s="1"/>
  <c r="A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tc={DA525272-F786-445E-89F2-CFB58963D0AF}</author>
    <author>tc={362ACF92-6FB7-4C53-9A9A-C8F578ECB5DB}</author>
    <author>tc={D2AF7201-6637-47CA-BBE4-86D3FF6814B6}</author>
    <author>tc={F6DDD2F5-4CC1-4A55-A9EA-3EAF395D5878}</author>
    <author>tc={9F4BCB6C-22AD-4B33-BDB9-F57E0E7EA078}</author>
    <author>tc={79D777D5-6279-46D9-8788-D2501E3CACF7}</author>
  </authors>
  <commentList>
    <comment ref="E14" authorId="0" shapeId="0" xr:uid="{DA525272-F786-445E-89F2-CFB58963D0AF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362ACF92-6FB7-4C53-9A9A-C8F578ECB5DB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D2AF7201-6637-47CA-BBE4-86D3FF6814B6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F6DDD2F5-4CC1-4A55-A9EA-3EAF395D58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F4BCB6C-22AD-4B33-BDB9-F57E0E7EA0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79D777D5-6279-46D9-8788-D2501E3CACF7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sharedStrings.xml><?xml version="1.0" encoding="utf-8"?>
<sst xmlns="http://schemas.openxmlformats.org/spreadsheetml/2006/main" count="1070" uniqueCount="346">
  <si>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</si>
  <si>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</si>
  <si>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</si>
  <si>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</si>
  <si>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</si>
  <si>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</si>
  <si>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</si>
  <si>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</si>
  <si>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</si>
  <si>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</si>
  <si>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</si>
  <si>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</si>
  <si>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</si>
  <si>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</si>
  <si>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</si>
  <si>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</si>
  <si>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</si>
  <si>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</si>
  <si>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</si>
  <si>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</si>
  <si>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</si>
  <si>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</si>
  <si>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</si>
  <si>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</si>
  <si>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</si>
  <si>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</si>
  <si>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</si>
  <si>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</si>
  <si>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</si>
  <si>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</si>
  <si>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</si>
  <si>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</si>
  <si>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</si>
  <si>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</si>
  <si>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</si>
  <si>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</si>
  <si>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</si>
  <si>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</si>
  <si>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</si>
  <si>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</si>
  <si>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</si>
  <si>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</si>
  <si>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</si>
  <si>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</si>
  <si>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</si>
  <si>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</si>
  <si>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</si>
  <si>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</si>
  <si>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</si>
  <si>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</si>
  <si>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</si>
  <si>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</si>
  <si>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</si>
  <si>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</si>
  <si>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</si>
  <si>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</si>
  <si>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</si>
  <si>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</si>
  <si>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</si>
  <si>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</si>
  <si>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</si>
  <si>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</si>
  <si>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</si>
  <si>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</si>
  <si>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</si>
  <si>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</si>
  <si>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</si>
  <si>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</si>
  <si>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</si>
  <si>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</si>
  <si>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</si>
  <si>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</si>
  <si>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</si>
  <si>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</si>
  <si>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</si>
  <si>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</si>
  <si>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</si>
  <si>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</si>
  <si>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</si>
  <si>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</si>
  <si>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</si>
  <si>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</si>
  <si>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</si>
  <si>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</si>
  <si>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</si>
  <si>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</si>
  <si>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</si>
  <si>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</si>
  <si>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</si>
  <si>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</si>
  <si>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</si>
  <si>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</si>
  <si>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</si>
  <si>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</si>
  <si>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</si>
  <si>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</si>
  <si>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</si>
  <si>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</si>
  <si>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</si>
  <si>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</si>
  <si>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</si>
  <si>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</si>
  <si>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</si>
  <si>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</si>
  <si>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</si>
  <si>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</si>
  <si>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</si>
  <si>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</si>
  <si>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</si>
  <si>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</si>
  <si>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</si>
  <si>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</si>
  <si>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</si>
  <si>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</si>
  <si>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</si>
  <si>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</si>
  <si>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</si>
  <si>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</si>
  <si>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</si>
  <si>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</si>
  <si>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</si>
  <si>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</si>
  <si>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</si>
  <si>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</si>
  <si>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</si>
  <si>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</si>
  <si>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</si>
  <si>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</si>
  <si>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</si>
  <si>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</si>
  <si>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</si>
  <si>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</si>
  <si>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</si>
  <si>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</si>
  <si>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</si>
  <si>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</si>
  <si>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</si>
  <si>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</si>
  <si>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</si>
  <si>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</si>
  <si>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</si>
  <si>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</si>
  <si>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</si>
  <si>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</si>
  <si>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</si>
  <si>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</si>
  <si>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</si>
  <si>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</si>
  <si>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</si>
  <si>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</si>
  <si>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</si>
  <si>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</si>
  <si>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</si>
  <si>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</si>
  <si>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</si>
  <si>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</si>
  <si>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</si>
  <si>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</si>
  <si>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</si>
  <si>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</si>
  <si>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</si>
  <si>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</si>
  <si>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</si>
  <si>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</si>
  <si>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</si>
  <si>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</si>
  <si>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</si>
  <si>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</si>
  <si>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</si>
  <si>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</si>
  <si>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</si>
  <si>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</si>
  <si>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</si>
  <si>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</si>
  <si>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</si>
  <si>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</si>
  <si>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</si>
  <si>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</si>
  <si>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</si>
  <si>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</si>
  <si>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</si>
  <si>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</si>
  <si>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</si>
  <si>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</si>
  <si>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</si>
  <si>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</si>
  <si>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</si>
  <si>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</si>
  <si>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</si>
  <si>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</si>
  <si>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</si>
  <si>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</si>
  <si>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</si>
  <si>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</si>
  <si>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</si>
  <si>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</si>
  <si>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</si>
  <si>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</si>
  <si>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</si>
  <si>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</si>
  <si>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</si>
  <si>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</si>
  <si>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</si>
  <si>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</si>
  <si>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</si>
  <si>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</si>
  <si>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</si>
  <si>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</si>
  <si>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</si>
  <si>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</si>
  <si>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</si>
  <si>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</si>
  <si>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</si>
  <si>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</si>
  <si>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</si>
  <si>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</si>
  <si>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</si>
  <si>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</si>
  <si>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</si>
  <si>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</si>
  <si>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</si>
  <si>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</si>
  <si>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</si>
  <si>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</si>
  <si>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</si>
  <si>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</si>
  <si>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</si>
  <si>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</si>
  <si>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</si>
  <si>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</si>
  <si>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</si>
  <si>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</si>
  <si>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</si>
  <si>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</si>
  <si>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</si>
  <si>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</si>
  <si>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</si>
  <si>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</si>
  <si>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</si>
  <si>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</si>
  <si>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</si>
  <si>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</si>
  <si>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</si>
  <si>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</si>
  <si>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</si>
  <si>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</si>
  <si>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</si>
  <si>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</si>
  <si>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</si>
  <si>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</si>
  <si>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</si>
  <si>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</si>
  <si>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</si>
  <si>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</si>
  <si>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</si>
  <si>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</si>
  <si>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</si>
  <si>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</si>
  <si>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</si>
  <si>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</si>
  <si>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</si>
  <si>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</si>
  <si>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</si>
  <si>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</si>
  <si>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</si>
  <si>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</si>
  <si>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</si>
  <si>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</si>
  <si>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</si>
  <si>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</si>
  <si>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</si>
  <si>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</si>
  <si>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</si>
  <si>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</si>
  <si>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</si>
  <si>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</si>
  <si>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</si>
  <si>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</si>
  <si>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</si>
  <si>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</si>
  <si>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</si>
  <si>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</si>
  <si>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</si>
  <si>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</si>
  <si>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</si>
  <si>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</si>
  <si>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</si>
  <si>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</si>
  <si>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</si>
  <si>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</si>
  <si>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</si>
  <si>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</si>
  <si>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</si>
  <si>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</si>
  <si>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</si>
  <si>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</si>
  <si>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</si>
  <si>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</si>
  <si>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</si>
  <si>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</si>
  <si>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</si>
  <si>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</si>
  <si>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</si>
  <si>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</si>
  <si>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</si>
  <si>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</si>
  <si>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</si>
  <si>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</si>
  <si>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</si>
  <si>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</si>
  <si>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</si>
  <si>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</si>
  <si>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</si>
  <si>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</si>
  <si>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</si>
  <si>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</si>
  <si>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</si>
  <si>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</si>
  <si>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</si>
  <si>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</si>
  <si>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</si>
  <si>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</si>
  <si>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</si>
  <si>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</si>
  <si>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</si>
  <si>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</si>
  <si>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</si>
  <si>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</si>
  <si>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</si>
  <si>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</si>
  <si>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</si>
  <si>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</si>
  <si>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</si>
  <si>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</si>
  <si>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</si>
  <si>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</si>
  <si>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</si>
  <si>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Ordered?</t>
  </si>
  <si>
    <t>C2456211</t>
  </si>
  <si>
    <t>Eng Fee</t>
  </si>
  <si>
    <t>Colour</t>
  </si>
  <si>
    <t>Board</t>
  </si>
  <si>
    <t>Confirm</t>
  </si>
  <si>
    <t>PCBA</t>
  </si>
  <si>
    <t>feeders</t>
  </si>
  <si>
    <t>&lt;- feeders loading fee 2.02 per component for standard (if we choose black it has to be standard not economic)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</si>
</sst>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left"/>
    </xf>
    <xf numFmtId="44" fontId="0" fillId="36" borderId="0" xfId="42" applyFon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DA525272-F786-445E-89F2-CFB58963D0AF}">
    <text>SMC diode solutions is cheaper</text>
  </threadedComment>
  <threadedComment ref="F14" dT="2024-01-22T21:23:08.17" personId="{B7E97F6A-A6D9-4526-93D7-E9F61BCAD376}" id="{362ACF92-6FB7-4C53-9A9A-C8F578ECB5DB}">
    <text>JLC alt cheaper</text>
  </threadedComment>
  <threadedComment ref="F15" dT="2024-01-22T21:24:47.83" personId="{B7E97F6A-A6D9-4526-93D7-E9F61BCAD376}" id="{D2AF7201-6637-47CA-BBE4-86D3FF6814B6}">
    <text>JLC alt cheaper</text>
  </threadedComment>
  <threadedComment ref="H17" dT="2024-01-22T11:28:15.15" personId="{B7E97F6A-A6D9-4526-93D7-E9F61BCAD376}" id="{F6DDD2F5-4CC1-4A55-A9EA-3EAF395D5878}">
    <text>These are estimates</text>
  </threadedComment>
  <threadedComment ref="E29" dT="2024-01-22T11:39:19.85" personId="{B7E97F6A-A6D9-4526-93D7-E9F61BCAD376}" id="{9F4BCB6C-22AD-4B33-BDB9-F57E0E7EA078}">
    <text>Alternative from good ark</text>
  </threadedComment>
  <threadedComment ref="E56" dT="2024-01-22T12:09:12.98" personId="{B7E97F6A-A6D9-4526-93D7-E9F61BCAD376}" id="{79D777D5-6279-46D9-8788-D2501E3CACF7}">
    <text>Mouser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topLeftCell="O43" zoomScale="101" workbookViewId="0">
      <selection activeCell="R54" sqref="R54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1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33" si="2">IF(T2="EMPTY",S2,IF(J2="Bottom",S2,IF(U2="DIGIKEY",S2,IF(U2="JLC",T2,IF(T2&lt;S2+0.2,T2,S2)))))</f>
        <v>25.301000000000002</v>
      </c>
      <c r="W2" t="str">
        <f t="shared" ref="W2:W33" si="3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si="0"/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1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2"/>
        <v>1.9350000000000001</v>
      </c>
      <c r="W3" t="str">
        <f t="shared" si="3"/>
        <v>JLC</v>
      </c>
      <c r="X3">
        <v>0</v>
      </c>
    </row>
    <row r="4" spans="1:26" s="4" customFormat="1" x14ac:dyDescent="0.3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4"/>
        <v>2</v>
      </c>
      <c r="N4" s="4">
        <v>8</v>
      </c>
      <c r="O4">
        <f t="shared" si="0"/>
        <v>8</v>
      </c>
      <c r="P4">
        <f t="shared" si="5"/>
        <v>8</v>
      </c>
      <c r="Q4">
        <f t="shared" si="6"/>
        <v>16</v>
      </c>
      <c r="R4">
        <f t="shared" si="7"/>
        <v>20</v>
      </c>
      <c r="S4">
        <f t="shared" si="1"/>
        <v>70.08</v>
      </c>
      <c r="T4" s="4" t="str">
        <f t="shared" si="8"/>
        <v>EMPTY</v>
      </c>
      <c r="U4" t="s">
        <v>284</v>
      </c>
      <c r="V4">
        <f t="shared" si="2"/>
        <v>70.08</v>
      </c>
      <c r="W4" t="str">
        <f t="shared" si="3"/>
        <v>DIGIKEY</v>
      </c>
      <c r="X4">
        <v>0</v>
      </c>
      <c r="Y4"/>
      <c r="Z4" s="4" t="s">
        <v>329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0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1"/>
        <v>0.37</v>
      </c>
      <c r="T5">
        <f t="shared" si="8"/>
        <v>2.5999999999999999E-2</v>
      </c>
      <c r="U5" t="s">
        <v>318</v>
      </c>
      <c r="V5">
        <f t="shared" si="2"/>
        <v>2.5999999999999999E-2</v>
      </c>
      <c r="W5" t="str">
        <f t="shared" si="3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0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1"/>
        <v>4.8899999999999997</v>
      </c>
      <c r="T6">
        <f t="shared" si="8"/>
        <v>0.315</v>
      </c>
      <c r="U6" t="s">
        <v>318</v>
      </c>
      <c r="V6">
        <f t="shared" si="2"/>
        <v>0.315</v>
      </c>
      <c r="W6" t="str">
        <f t="shared" si="3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4"/>
        <v>1</v>
      </c>
      <c r="O7">
        <f t="shared" si="0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>IF(O7&gt;=10,H7*O7,G7*O7)</f>
        <v>1.56</v>
      </c>
      <c r="T7" s="4">
        <f t="shared" si="8"/>
        <v>4.4359999999999999</v>
      </c>
      <c r="U7" t="s">
        <v>284</v>
      </c>
      <c r="V7">
        <f t="shared" si="2"/>
        <v>1.56</v>
      </c>
      <c r="W7" t="str">
        <f t="shared" si="3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0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1"/>
        <v>12.68</v>
      </c>
      <c r="T8">
        <f t="shared" si="8"/>
        <v>2.58</v>
      </c>
      <c r="U8" t="s">
        <v>318</v>
      </c>
      <c r="V8">
        <f t="shared" si="2"/>
        <v>2.58</v>
      </c>
      <c r="W8" t="str">
        <f t="shared" si="3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0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1"/>
        <v>3.96</v>
      </c>
      <c r="T9">
        <f t="shared" si="8"/>
        <v>0.13800000000000001</v>
      </c>
      <c r="U9" t="s">
        <v>318</v>
      </c>
      <c r="V9">
        <f t="shared" si="2"/>
        <v>0.13800000000000001</v>
      </c>
      <c r="W9" t="str">
        <f t="shared" si="3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4"/>
        <v>2</v>
      </c>
      <c r="O10">
        <f t="shared" si="0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1"/>
        <v>0.94</v>
      </c>
      <c r="T10">
        <f t="shared" si="8"/>
        <v>5.4000000000000006E-2</v>
      </c>
      <c r="U10" t="s">
        <v>318</v>
      </c>
      <c r="V10">
        <f t="shared" si="2"/>
        <v>5.4000000000000006E-2</v>
      </c>
      <c r="W10" t="str">
        <f t="shared" si="3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4"/>
        <v>1</v>
      </c>
      <c r="O11">
        <f t="shared" si="0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1"/>
        <v>0.64</v>
      </c>
      <c r="T11">
        <f t="shared" si="8"/>
        <v>0.10300000000000001</v>
      </c>
      <c r="U11" t="s">
        <v>284</v>
      </c>
      <c r="V11">
        <f t="shared" si="2"/>
        <v>0.64</v>
      </c>
      <c r="W11" t="str">
        <f t="shared" si="3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4"/>
        <v>1</v>
      </c>
      <c r="N12">
        <v>5</v>
      </c>
      <c r="O12">
        <f t="shared" si="0"/>
        <v>3</v>
      </c>
      <c r="P12">
        <f t="shared" si="5"/>
        <v>3</v>
      </c>
      <c r="Q12">
        <f t="shared" si="6"/>
        <v>8</v>
      </c>
      <c r="R12">
        <f t="shared" si="7"/>
        <v>10</v>
      </c>
      <c r="S12">
        <f t="shared" si="1"/>
        <v>1.83</v>
      </c>
      <c r="T12">
        <f t="shared" si="8"/>
        <v>7.6630000000000003</v>
      </c>
      <c r="U12" t="s">
        <v>284</v>
      </c>
      <c r="V12">
        <f t="shared" si="2"/>
        <v>1.83</v>
      </c>
      <c r="W12" t="str">
        <f t="shared" si="3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0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1"/>
        <v>1.1600000000000001</v>
      </c>
      <c r="T13">
        <f t="shared" si="8"/>
        <v>0.104</v>
      </c>
      <c r="U13" t="s">
        <v>318</v>
      </c>
      <c r="V13">
        <f t="shared" si="2"/>
        <v>0.104</v>
      </c>
      <c r="W13" t="str">
        <f t="shared" si="3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4"/>
        <v>1</v>
      </c>
      <c r="O14">
        <f t="shared" si="0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1"/>
        <v>4.96</v>
      </c>
      <c r="T14">
        <f t="shared" si="8"/>
        <v>4.7930000000000001</v>
      </c>
      <c r="U14" t="s">
        <v>284</v>
      </c>
      <c r="V14">
        <f t="shared" si="2"/>
        <v>4.96</v>
      </c>
      <c r="W14" t="str">
        <f t="shared" si="3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4"/>
        <v>1</v>
      </c>
      <c r="O15">
        <f t="shared" si="0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1"/>
        <v>5.92</v>
      </c>
      <c r="T15">
        <f t="shared" si="8"/>
        <v>4.6959999999999997</v>
      </c>
      <c r="U15" t="s">
        <v>284</v>
      </c>
      <c r="V15">
        <f t="shared" si="2"/>
        <v>5.92</v>
      </c>
      <c r="W15" t="str">
        <f t="shared" si="3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4"/>
        <v>1</v>
      </c>
      <c r="O16" s="8">
        <f t="shared" si="0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1"/>
        <v>5.3000000000000007</v>
      </c>
      <c r="T16" s="8">
        <f t="shared" si="8"/>
        <v>5.0780000000000003</v>
      </c>
      <c r="U16" t="s">
        <v>318</v>
      </c>
      <c r="V16" s="8">
        <f t="shared" si="2"/>
        <v>5.0780000000000003</v>
      </c>
      <c r="W16" s="8" t="str">
        <f t="shared" si="3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0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1"/>
        <v>2.16</v>
      </c>
      <c r="T17">
        <f t="shared" si="8"/>
        <v>0.12200000000000001</v>
      </c>
      <c r="U17" t="s">
        <v>318</v>
      </c>
      <c r="V17">
        <f t="shared" si="2"/>
        <v>0.12200000000000001</v>
      </c>
      <c r="W17" t="str">
        <f t="shared" si="3"/>
        <v>JLC</v>
      </c>
      <c r="X17">
        <v>0</v>
      </c>
    </row>
    <row r="18" spans="1:27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296</v>
      </c>
      <c r="H18">
        <v>0.47399999999999998</v>
      </c>
      <c r="I18">
        <v>8.3299999999999999E-2</v>
      </c>
      <c r="L18">
        <v>1</v>
      </c>
      <c r="M18">
        <f t="shared" si="4"/>
        <v>1</v>
      </c>
      <c r="O18">
        <f t="shared" si="0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1"/>
        <v>4.74</v>
      </c>
      <c r="T18">
        <f t="shared" si="8"/>
        <v>4.8730000000000002</v>
      </c>
      <c r="U18" t="s">
        <v>318</v>
      </c>
      <c r="V18">
        <f t="shared" si="2"/>
        <v>4.8730000000000002</v>
      </c>
      <c r="W18" t="str">
        <f t="shared" si="3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0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1"/>
        <v>6.4799999999999995</v>
      </c>
      <c r="T19">
        <f t="shared" si="8"/>
        <v>0.38100000000000001</v>
      </c>
      <c r="U19" t="s">
        <v>318</v>
      </c>
      <c r="V19">
        <f t="shared" si="2"/>
        <v>0.38100000000000001</v>
      </c>
      <c r="W19" t="str">
        <f t="shared" si="3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0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1"/>
        <v>2.0100000000000002</v>
      </c>
      <c r="T20">
        <f t="shared" si="8"/>
        <v>9.5999999999999988E-2</v>
      </c>
      <c r="U20" t="s">
        <v>318</v>
      </c>
      <c r="V20">
        <f t="shared" si="2"/>
        <v>9.5999999999999988E-2</v>
      </c>
      <c r="W20" t="str">
        <f t="shared" si="3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0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1"/>
        <v>4.0200000000000005</v>
      </c>
      <c r="T21">
        <f t="shared" si="8"/>
        <v>0.39</v>
      </c>
      <c r="U21" t="s">
        <v>318</v>
      </c>
      <c r="V21">
        <f t="shared" si="2"/>
        <v>0.39</v>
      </c>
      <c r="W21" t="str">
        <f t="shared" si="3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4"/>
        <v>1</v>
      </c>
      <c r="O22">
        <f t="shared" si="0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1"/>
        <v>4.3600000000000003</v>
      </c>
      <c r="T22" t="str">
        <f t="shared" si="8"/>
        <v>EMPTY</v>
      </c>
      <c r="U22" t="s">
        <v>284</v>
      </c>
      <c r="V22">
        <f t="shared" si="2"/>
        <v>4.3600000000000003</v>
      </c>
      <c r="W22" t="str">
        <f t="shared" si="3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4"/>
        <v>1</v>
      </c>
      <c r="O23">
        <f t="shared" si="0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1"/>
        <v>1.22</v>
      </c>
      <c r="T23">
        <f t="shared" si="8"/>
        <v>1.038</v>
      </c>
      <c r="U23" t="s">
        <v>284</v>
      </c>
      <c r="V23">
        <f t="shared" si="2"/>
        <v>1.22</v>
      </c>
      <c r="W23" t="str">
        <f t="shared" si="3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4"/>
        <v>1</v>
      </c>
      <c r="O24" s="8">
        <f t="shared" si="0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1"/>
        <v>12.32</v>
      </c>
      <c r="T24" s="8">
        <f t="shared" si="8"/>
        <v>5.032</v>
      </c>
      <c r="U24" t="s">
        <v>318</v>
      </c>
      <c r="V24" s="8">
        <f t="shared" si="2"/>
        <v>5.032</v>
      </c>
      <c r="W24" s="8" t="str">
        <f t="shared" si="3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0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1"/>
        <v>0</v>
      </c>
      <c r="T25" t="str">
        <f t="shared" si="8"/>
        <v>EMPTY</v>
      </c>
      <c r="U25" t="s">
        <v>284</v>
      </c>
      <c r="V25">
        <f t="shared" si="2"/>
        <v>0</v>
      </c>
      <c r="W25" t="str">
        <f t="shared" si="3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4"/>
        <v>1</v>
      </c>
      <c r="O26">
        <f t="shared" si="0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1"/>
        <v>12.48</v>
      </c>
      <c r="T26" t="str">
        <f t="shared" si="8"/>
        <v>EMPTY</v>
      </c>
      <c r="U26" t="s">
        <v>284</v>
      </c>
      <c r="V26">
        <f t="shared" si="2"/>
        <v>12.48</v>
      </c>
      <c r="W26" t="str">
        <f t="shared" si="3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4"/>
        <v>1</v>
      </c>
      <c r="O27">
        <f t="shared" si="0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1"/>
        <v>5.68</v>
      </c>
      <c r="T27" t="str">
        <f t="shared" si="8"/>
        <v>EMPTY</v>
      </c>
      <c r="U27" t="s">
        <v>284</v>
      </c>
      <c r="V27">
        <f t="shared" si="2"/>
        <v>5.68</v>
      </c>
      <c r="W27" t="str">
        <f t="shared" si="3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0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1"/>
        <v>0</v>
      </c>
      <c r="T28" t="str">
        <f t="shared" si="8"/>
        <v>EMPTY</v>
      </c>
      <c r="U28" t="s">
        <v>284</v>
      </c>
      <c r="V28">
        <f t="shared" si="2"/>
        <v>0</v>
      </c>
      <c r="W28" t="str">
        <f t="shared" si="3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0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1"/>
        <v>4.5</v>
      </c>
      <c r="T29">
        <f t="shared" si="8"/>
        <v>0.25600000000000001</v>
      </c>
      <c r="U29" t="s">
        <v>318</v>
      </c>
      <c r="V29">
        <f t="shared" si="2"/>
        <v>0.25600000000000001</v>
      </c>
      <c r="W29" t="str">
        <f t="shared" si="3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4"/>
        <v>1</v>
      </c>
      <c r="N30">
        <v>10</v>
      </c>
      <c r="O30">
        <f t="shared" si="0"/>
        <v>0</v>
      </c>
      <c r="P30">
        <f t="shared" si="5"/>
        <v>0</v>
      </c>
      <c r="Q30">
        <f t="shared" si="6"/>
        <v>8</v>
      </c>
      <c r="R30">
        <f t="shared" si="7"/>
        <v>10</v>
      </c>
      <c r="S30">
        <f t="shared" si="1"/>
        <v>0</v>
      </c>
      <c r="T30">
        <f t="shared" si="8"/>
        <v>8.6900000000000013</v>
      </c>
      <c r="U30" s="11" t="s">
        <v>284</v>
      </c>
      <c r="V30">
        <f t="shared" si="2"/>
        <v>0</v>
      </c>
      <c r="W30" t="str">
        <f t="shared" si="3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4"/>
        <v>2</v>
      </c>
      <c r="N31">
        <f>8+8+7+1</f>
        <v>24</v>
      </c>
      <c r="O31">
        <f t="shared" si="0"/>
        <v>0</v>
      </c>
      <c r="P31">
        <f t="shared" si="5"/>
        <v>0</v>
      </c>
      <c r="Q31">
        <f t="shared" si="6"/>
        <v>16</v>
      </c>
      <c r="R31">
        <f t="shared" si="7"/>
        <v>20</v>
      </c>
      <c r="S31">
        <f t="shared" si="1"/>
        <v>0</v>
      </c>
      <c r="T31">
        <f t="shared" si="8"/>
        <v>84.828000000000003</v>
      </c>
      <c r="U31" t="s">
        <v>284</v>
      </c>
      <c r="V31">
        <f t="shared" si="2"/>
        <v>0</v>
      </c>
      <c r="W31" t="str">
        <f t="shared" si="3"/>
        <v>DIGIKEY</v>
      </c>
      <c r="X31">
        <v>0</v>
      </c>
      <c r="Z31" t="s">
        <v>329</v>
      </c>
      <c r="AA31" t="s">
        <v>331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4"/>
        <v>1</v>
      </c>
      <c r="O32">
        <f t="shared" si="0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1"/>
        <v>5.2</v>
      </c>
      <c r="T32" t="str">
        <f t="shared" si="8"/>
        <v>EMPTY</v>
      </c>
      <c r="U32" t="s">
        <v>284</v>
      </c>
      <c r="V32">
        <f t="shared" si="2"/>
        <v>5.2</v>
      </c>
      <c r="W32" t="str">
        <f t="shared" si="3"/>
        <v>DIGIKEY</v>
      </c>
      <c r="X32">
        <v>1</v>
      </c>
      <c r="Y32">
        <v>10</v>
      </c>
    </row>
    <row r="33" spans="1:30" x14ac:dyDescent="0.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4"/>
        <v>1</v>
      </c>
      <c r="N33">
        <v>10</v>
      </c>
      <c r="O33">
        <f t="shared" si="0"/>
        <v>0</v>
      </c>
      <c r="P33">
        <f t="shared" si="5"/>
        <v>0</v>
      </c>
      <c r="Q33">
        <f t="shared" si="6"/>
        <v>8</v>
      </c>
      <c r="R33">
        <f t="shared" si="7"/>
        <v>10</v>
      </c>
      <c r="S33">
        <f t="shared" si="1"/>
        <v>0</v>
      </c>
      <c r="T33" t="str">
        <f>IF(ISBLANK(D33),"EMPTY",(H33*R33+IF(D33="yes",4.04,0)))</f>
        <v>EMPTY</v>
      </c>
      <c r="U33" t="s">
        <v>284</v>
      </c>
      <c r="V33">
        <f t="shared" si="2"/>
        <v>0</v>
      </c>
      <c r="W33" t="str">
        <f t="shared" si="3"/>
        <v>DIGIKEY</v>
      </c>
      <c r="X33">
        <v>0</v>
      </c>
    </row>
    <row r="34" spans="1:30" x14ac:dyDescent="0.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0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1"/>
        <v>1.1499999999999999</v>
      </c>
      <c r="T34">
        <f t="shared" ref="T34:T65" si="9">IF(ISBLANK(D34),"EMPTY",(I34*R34+IF(D34="yes",4.04,0)))</f>
        <v>4.4999999999999998E-2</v>
      </c>
      <c r="U34" t="s">
        <v>318</v>
      </c>
      <c r="V34">
        <f t="shared" ref="V34:V65" si="10">IF(T34="EMPTY",S34,IF(J34="Bottom",S34,IF(U34="DIGIKEY",S34,IF(U34="JLC",T34,IF(T34&lt;S34+0.2,T34,S34)))))</f>
        <v>4.4999999999999998E-2</v>
      </c>
      <c r="W34" t="str">
        <f t="shared" ref="W34:W66" si="11">IF(T34="EMPTY","DIGIKEY",IF(J34="Bottom","DIGIKEY",IF(U34="DIGIKEY",U34,IF(U34="JLC",U34,IF(T34&lt;S34+0.2,"JLC","DIGIKEY")))))</f>
        <v>JLC</v>
      </c>
      <c r="X34">
        <v>0</v>
      </c>
    </row>
    <row r="35" spans="1:30" x14ac:dyDescent="0.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4"/>
        <v>1</v>
      </c>
      <c r="O35">
        <f t="shared" si="0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1"/>
        <v>0.22999999999999998</v>
      </c>
      <c r="T35">
        <f t="shared" si="9"/>
        <v>8.9999999999999993E-3</v>
      </c>
      <c r="U35" t="s">
        <v>284</v>
      </c>
      <c r="V35">
        <f t="shared" si="10"/>
        <v>0.22999999999999998</v>
      </c>
      <c r="W35" t="str">
        <f t="shared" si="11"/>
        <v>DIGIKEY</v>
      </c>
      <c r="X35">
        <v>1</v>
      </c>
      <c r="Y35">
        <v>10</v>
      </c>
    </row>
    <row r="36" spans="1:30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0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1"/>
        <v>2.0699999999999998</v>
      </c>
      <c r="T36">
        <f t="shared" si="9"/>
        <v>7.2000000000000008E-2</v>
      </c>
      <c r="U36" t="s">
        <v>318</v>
      </c>
      <c r="V36">
        <f t="shared" si="10"/>
        <v>7.2000000000000008E-2</v>
      </c>
      <c r="W36" t="str">
        <f t="shared" si="11"/>
        <v>JLC</v>
      </c>
      <c r="X36">
        <v>0</v>
      </c>
    </row>
    <row r="37" spans="1:30" x14ac:dyDescent="0.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4"/>
        <v>1</v>
      </c>
      <c r="O37">
        <f t="shared" si="0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1"/>
        <v>0.22999999999999998</v>
      </c>
      <c r="T37" t="str">
        <f t="shared" si="9"/>
        <v>EMPTY</v>
      </c>
      <c r="U37" t="s">
        <v>284</v>
      </c>
      <c r="V37">
        <f t="shared" si="10"/>
        <v>0.22999999999999998</v>
      </c>
      <c r="W37" t="str">
        <f t="shared" si="11"/>
        <v>DIGIKEY</v>
      </c>
      <c r="X37">
        <v>1</v>
      </c>
      <c r="Y37">
        <v>10</v>
      </c>
    </row>
    <row r="38" spans="1:30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0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1"/>
        <v>0.45999999999999996</v>
      </c>
      <c r="T38">
        <f t="shared" si="9"/>
        <v>0.02</v>
      </c>
      <c r="U38" t="s">
        <v>318</v>
      </c>
      <c r="V38">
        <f t="shared" si="10"/>
        <v>0.02</v>
      </c>
      <c r="W38" t="str">
        <f t="shared" si="11"/>
        <v>JLC</v>
      </c>
      <c r="X38">
        <v>0</v>
      </c>
    </row>
    <row r="39" spans="1:30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4"/>
        <v>1</v>
      </c>
      <c r="O39">
        <f t="shared" si="0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1"/>
        <v>0.22999999999999998</v>
      </c>
      <c r="T39" t="str">
        <f t="shared" si="9"/>
        <v>EMPTY</v>
      </c>
      <c r="U39" t="s">
        <v>284</v>
      </c>
      <c r="V39">
        <f t="shared" si="10"/>
        <v>0.22999999999999998</v>
      </c>
      <c r="W39" t="str">
        <f t="shared" si="11"/>
        <v>DIGIKEY</v>
      </c>
      <c r="X39">
        <v>1</v>
      </c>
      <c r="Y39">
        <v>10</v>
      </c>
    </row>
    <row r="40" spans="1:30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4"/>
        <v>1</v>
      </c>
      <c r="O40">
        <f t="shared" si="0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1"/>
        <v>0.22999999999999998</v>
      </c>
      <c r="T40" t="str">
        <f t="shared" si="9"/>
        <v>EMPTY</v>
      </c>
      <c r="U40" t="s">
        <v>284</v>
      </c>
      <c r="V40">
        <f t="shared" si="10"/>
        <v>0.22999999999999998</v>
      </c>
      <c r="W40" t="str">
        <f t="shared" si="11"/>
        <v>DIGIKEY</v>
      </c>
      <c r="X40">
        <v>1</v>
      </c>
      <c r="Y40">
        <v>10</v>
      </c>
    </row>
    <row r="41" spans="1:30" x14ac:dyDescent="0.3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4"/>
        <v>1</v>
      </c>
      <c r="O41">
        <f t="shared" si="0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1"/>
        <v>7.05</v>
      </c>
      <c r="T41" t="str">
        <f t="shared" si="9"/>
        <v>EMPTY</v>
      </c>
      <c r="U41" t="s">
        <v>284</v>
      </c>
      <c r="V41">
        <f t="shared" si="10"/>
        <v>7.05</v>
      </c>
      <c r="W41" t="str">
        <f t="shared" si="11"/>
        <v>DIGIKEY</v>
      </c>
      <c r="X41">
        <v>1</v>
      </c>
      <c r="Y41">
        <v>10</v>
      </c>
    </row>
    <row r="42" spans="1:30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4"/>
        <v>1</v>
      </c>
      <c r="O42">
        <f t="shared" si="0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1"/>
        <v>0.22999999999999998</v>
      </c>
      <c r="T42" t="str">
        <f t="shared" si="9"/>
        <v>EMPTY</v>
      </c>
      <c r="U42" t="s">
        <v>284</v>
      </c>
      <c r="V42">
        <f t="shared" si="10"/>
        <v>0.22999999999999998</v>
      </c>
      <c r="W42" t="str">
        <f t="shared" si="11"/>
        <v>DIGIKEY</v>
      </c>
      <c r="X42">
        <v>2</v>
      </c>
      <c r="Y42">
        <v>10</v>
      </c>
    </row>
    <row r="43" spans="1:30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0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1"/>
        <v>0.91999999999999993</v>
      </c>
      <c r="T43">
        <f t="shared" si="9"/>
        <v>3.5999999999999997E-2</v>
      </c>
      <c r="U43" t="s">
        <v>318</v>
      </c>
      <c r="V43">
        <f t="shared" si="10"/>
        <v>3.5999999999999997E-2</v>
      </c>
      <c r="W43" t="str">
        <f t="shared" si="11"/>
        <v>JLC</v>
      </c>
      <c r="X43">
        <v>0</v>
      </c>
      <c r="AB43" t="s">
        <v>267</v>
      </c>
      <c r="AD43">
        <f>SUM(AC44:AC47)</f>
        <v>61.95</v>
      </c>
    </row>
    <row r="44" spans="1:30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0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1"/>
        <v>0.45999999999999996</v>
      </c>
      <c r="T44">
        <f t="shared" si="9"/>
        <v>1.4E-2</v>
      </c>
      <c r="U44" t="s">
        <v>318</v>
      </c>
      <c r="V44">
        <f t="shared" si="10"/>
        <v>1.4E-2</v>
      </c>
      <c r="W44" t="str">
        <f t="shared" si="11"/>
        <v>JLC</v>
      </c>
      <c r="X44">
        <v>0</v>
      </c>
      <c r="AB44" t="s">
        <v>339</v>
      </c>
      <c r="AC44">
        <v>32.299999999999997</v>
      </c>
    </row>
    <row r="45" spans="1:30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0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1"/>
        <v>0.45999999999999996</v>
      </c>
      <c r="T45">
        <f t="shared" si="9"/>
        <v>1.7999999999999999E-2</v>
      </c>
      <c r="U45" t="s">
        <v>318</v>
      </c>
      <c r="V45">
        <f t="shared" si="10"/>
        <v>1.7999999999999999E-2</v>
      </c>
      <c r="W45" t="str">
        <f t="shared" si="11"/>
        <v>JLC</v>
      </c>
      <c r="X45">
        <v>0</v>
      </c>
      <c r="AB45" t="s">
        <v>340</v>
      </c>
      <c r="AC45">
        <v>10.23</v>
      </c>
    </row>
    <row r="46" spans="1:30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0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1"/>
        <v>0.22999999999999998</v>
      </c>
      <c r="T46">
        <f t="shared" si="9"/>
        <v>8.9999999999999993E-3</v>
      </c>
      <c r="U46" t="s">
        <v>318</v>
      </c>
      <c r="V46">
        <f t="shared" si="10"/>
        <v>8.9999999999999993E-3</v>
      </c>
      <c r="W46" t="str">
        <f t="shared" si="11"/>
        <v>JLC</v>
      </c>
      <c r="X46">
        <v>0</v>
      </c>
      <c r="AB46" t="s">
        <v>341</v>
      </c>
      <c r="AC46">
        <v>18.84</v>
      </c>
    </row>
    <row r="47" spans="1:30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0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1"/>
        <v>0.45999999999999996</v>
      </c>
      <c r="T47">
        <f t="shared" si="9"/>
        <v>1.7999999999999999E-2</v>
      </c>
      <c r="U47" t="s">
        <v>318</v>
      </c>
      <c r="V47">
        <f t="shared" si="10"/>
        <v>1.7999999999999999E-2</v>
      </c>
      <c r="W47" t="str">
        <f t="shared" si="11"/>
        <v>JLC</v>
      </c>
      <c r="X47">
        <v>0</v>
      </c>
      <c r="AB47" t="s">
        <v>342</v>
      </c>
      <c r="AC47">
        <v>0.57999999999999996</v>
      </c>
    </row>
    <row r="48" spans="1:30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4"/>
        <v>2</v>
      </c>
      <c r="O48">
        <f t="shared" si="0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1"/>
        <v>0.45999999999999996</v>
      </c>
      <c r="T48">
        <f t="shared" si="9"/>
        <v>0.02</v>
      </c>
      <c r="U48" t="s">
        <v>284</v>
      </c>
      <c r="V48">
        <f t="shared" si="10"/>
        <v>0.45999999999999996</v>
      </c>
      <c r="W48" t="str">
        <f t="shared" si="11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4"/>
        <v>1</v>
      </c>
      <c r="O49">
        <f t="shared" si="0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1"/>
        <v>0.22999999999999998</v>
      </c>
      <c r="T49">
        <f t="shared" si="9"/>
        <v>8.9999999999999993E-3</v>
      </c>
      <c r="U49" t="s">
        <v>284</v>
      </c>
      <c r="V49">
        <f t="shared" si="10"/>
        <v>0.22999999999999998</v>
      </c>
      <c r="W49" t="str">
        <f t="shared" si="11"/>
        <v>DIGIKEY</v>
      </c>
      <c r="X49">
        <v>1</v>
      </c>
      <c r="Y49">
        <v>10</v>
      </c>
      <c r="AB49" t="s">
        <v>343</v>
      </c>
      <c r="AC49" s="3"/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4"/>
        <v>2</v>
      </c>
      <c r="O50">
        <f t="shared" si="0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1"/>
        <v>0.66</v>
      </c>
      <c r="T50">
        <f t="shared" si="9"/>
        <v>2.5999999999999999E-2</v>
      </c>
      <c r="U50" t="s">
        <v>284</v>
      </c>
      <c r="V50">
        <f t="shared" si="10"/>
        <v>0.66</v>
      </c>
      <c r="W50" t="str">
        <f t="shared" si="11"/>
        <v>DIGIKEY</v>
      </c>
      <c r="X50">
        <v>2</v>
      </c>
      <c r="Y50">
        <v>20</v>
      </c>
      <c r="AB50" t="s">
        <v>268</v>
      </c>
      <c r="AC50" s="3">
        <v>33.65</v>
      </c>
      <c r="AF50" s="3"/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0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1"/>
        <v>0.22999999999999998</v>
      </c>
      <c r="T51">
        <f t="shared" si="9"/>
        <v>0.01</v>
      </c>
      <c r="U51" t="s">
        <v>318</v>
      </c>
      <c r="V51">
        <f t="shared" si="10"/>
        <v>0.01</v>
      </c>
      <c r="W51" t="str">
        <f t="shared" si="11"/>
        <v>JLC</v>
      </c>
      <c r="X51">
        <v>0</v>
      </c>
      <c r="AB51" t="s">
        <v>269</v>
      </c>
      <c r="AC51" s="3">
        <v>10.58</v>
      </c>
      <c r="AF51" s="3"/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0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1"/>
        <v>0.45999999999999996</v>
      </c>
      <c r="T52">
        <f t="shared" si="9"/>
        <v>1.7999999999999999E-2</v>
      </c>
      <c r="U52" t="s">
        <v>318</v>
      </c>
      <c r="V52">
        <f t="shared" si="10"/>
        <v>1.7999999999999999E-2</v>
      </c>
      <c r="W52" t="str">
        <f t="shared" si="11"/>
        <v>JLC</v>
      </c>
      <c r="X52">
        <v>0</v>
      </c>
      <c r="AB52" t="s">
        <v>270</v>
      </c>
      <c r="AC52" s="3">
        <v>66.88</v>
      </c>
      <c r="AD52" s="2"/>
      <c r="AF52" s="3"/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0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1"/>
        <v>0.69</v>
      </c>
      <c r="T53">
        <f t="shared" si="9"/>
        <v>2.7E-2</v>
      </c>
      <c r="U53" t="s">
        <v>318</v>
      </c>
      <c r="V53">
        <f t="shared" si="10"/>
        <v>2.7E-2</v>
      </c>
      <c r="W53" t="str">
        <f t="shared" si="11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/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4"/>
        <v>1</v>
      </c>
      <c r="O54">
        <f t="shared" si="0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1"/>
        <v>38.4</v>
      </c>
      <c r="T54" t="str">
        <f t="shared" si="9"/>
        <v>EMPTY</v>
      </c>
      <c r="U54" t="s">
        <v>284</v>
      </c>
      <c r="V54">
        <f t="shared" si="10"/>
        <v>38.4</v>
      </c>
      <c r="W54" t="str">
        <f t="shared" si="11"/>
        <v>DIGIKEY</v>
      </c>
      <c r="X54">
        <v>2</v>
      </c>
      <c r="Y54">
        <v>10</v>
      </c>
      <c r="Z54" t="s">
        <v>330</v>
      </c>
      <c r="AC54" s="3"/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4"/>
        <v>1</v>
      </c>
      <c r="O55">
        <f t="shared" si="0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1"/>
        <v>8.2999999999999989</v>
      </c>
      <c r="T55" t="str">
        <f t="shared" si="9"/>
        <v>EMPTY</v>
      </c>
      <c r="U55" t="s">
        <v>284</v>
      </c>
      <c r="V55">
        <f t="shared" si="10"/>
        <v>8.2999999999999989</v>
      </c>
      <c r="W55" t="str">
        <f t="shared" si="11"/>
        <v>DIGIKEY</v>
      </c>
      <c r="X55">
        <v>1</v>
      </c>
      <c r="Y55">
        <v>10</v>
      </c>
      <c r="AB55" t="s">
        <v>271</v>
      </c>
      <c r="AC55" s="3">
        <v>5.68</v>
      </c>
      <c r="AF55" s="3"/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0"/>
        <v>0</v>
      </c>
      <c r="P56">
        <f t="shared" si="5"/>
        <v>0</v>
      </c>
      <c r="Q56">
        <f t="shared" si="6"/>
        <v>8</v>
      </c>
      <c r="R56">
        <f t="shared" si="7"/>
        <v>10</v>
      </c>
      <c r="S56">
        <f t="shared" si="1"/>
        <v>0</v>
      </c>
      <c r="T56" t="str">
        <f t="shared" si="9"/>
        <v>EMPTY</v>
      </c>
      <c r="U56" t="s">
        <v>284</v>
      </c>
      <c r="V56">
        <f t="shared" si="10"/>
        <v>0</v>
      </c>
      <c r="W56" t="str">
        <f t="shared" si="11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/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0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1"/>
        <v>8.48</v>
      </c>
      <c r="T57">
        <f t="shared" si="9"/>
        <v>13.010000000000002</v>
      </c>
      <c r="U57" t="s">
        <v>318</v>
      </c>
      <c r="V57">
        <f t="shared" si="10"/>
        <v>13.010000000000002</v>
      </c>
      <c r="W57" t="str">
        <f t="shared" si="11"/>
        <v>JLC</v>
      </c>
      <c r="X57">
        <v>0</v>
      </c>
      <c r="AB57" t="s">
        <v>326</v>
      </c>
      <c r="AC57" s="3">
        <v>0.65</v>
      </c>
      <c r="AF57" s="3"/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4"/>
        <v>1</v>
      </c>
      <c r="N58">
        <v>3</v>
      </c>
      <c r="O58">
        <f>10*M58-N58</f>
        <v>7</v>
      </c>
      <c r="P58">
        <f t="shared" si="5"/>
        <v>7</v>
      </c>
      <c r="Q58">
        <f t="shared" si="6"/>
        <v>8</v>
      </c>
      <c r="R58">
        <f t="shared" si="7"/>
        <v>10</v>
      </c>
      <c r="S58">
        <f t="shared" si="1"/>
        <v>16.38</v>
      </c>
      <c r="T58" t="str">
        <f t="shared" si="9"/>
        <v>EMPTY</v>
      </c>
      <c r="U58" t="s">
        <v>284</v>
      </c>
      <c r="V58">
        <f t="shared" si="10"/>
        <v>16.38</v>
      </c>
      <c r="W58" t="str">
        <f t="shared" si="11"/>
        <v>DIGIKEY</v>
      </c>
      <c r="X58">
        <v>0</v>
      </c>
      <c r="Y58">
        <v>7</v>
      </c>
      <c r="AB58" t="s">
        <v>273</v>
      </c>
      <c r="AC58" s="3">
        <v>60.88</v>
      </c>
      <c r="AF58" s="3"/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4"/>
        <v>1</v>
      </c>
      <c r="O59">
        <f t="shared" si="0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1"/>
        <v>4.4800000000000004</v>
      </c>
      <c r="T59">
        <f t="shared" si="9"/>
        <v>5.4790000000000001</v>
      </c>
      <c r="U59" t="s">
        <v>284</v>
      </c>
      <c r="V59">
        <f t="shared" si="10"/>
        <v>4.4800000000000004</v>
      </c>
      <c r="W59" t="str">
        <f t="shared" si="11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/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0"/>
        <v>0</v>
      </c>
      <c r="P60">
        <f t="shared" si="5"/>
        <v>0</v>
      </c>
      <c r="Q60">
        <f t="shared" si="6"/>
        <v>8</v>
      </c>
      <c r="R60">
        <f t="shared" si="7"/>
        <v>10</v>
      </c>
      <c r="S60">
        <f t="shared" si="1"/>
        <v>0</v>
      </c>
      <c r="T60">
        <f t="shared" si="9"/>
        <v>161.34</v>
      </c>
      <c r="U60" t="s">
        <v>284</v>
      </c>
      <c r="V60">
        <f t="shared" si="10"/>
        <v>0</v>
      </c>
      <c r="W60" t="str">
        <f t="shared" si="11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/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4"/>
        <v>1</v>
      </c>
      <c r="O61" s="8">
        <f t="shared" si="0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1"/>
        <v>20.32</v>
      </c>
      <c r="T61" s="8">
        <f t="shared" si="9"/>
        <v>7.0299999999999994</v>
      </c>
      <c r="U61" t="s">
        <v>318</v>
      </c>
      <c r="V61" s="8">
        <f t="shared" si="10"/>
        <v>7.0299999999999994</v>
      </c>
      <c r="W61" s="8" t="str">
        <f t="shared" si="11"/>
        <v>JLC</v>
      </c>
      <c r="X61" s="8">
        <v>1</v>
      </c>
      <c r="AB61" t="s">
        <v>276</v>
      </c>
      <c r="AC61" s="3">
        <v>17.5</v>
      </c>
      <c r="AF61" s="10"/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4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5"/>
        <v>0</v>
      </c>
      <c r="Q62">
        <f t="shared" si="6"/>
        <v>8</v>
      </c>
      <c r="R62">
        <f t="shared" si="7"/>
        <v>10</v>
      </c>
      <c r="S62">
        <f t="shared" si="1"/>
        <v>0</v>
      </c>
      <c r="T62" t="str">
        <f t="shared" si="9"/>
        <v>EMPTY</v>
      </c>
      <c r="U62" t="s">
        <v>284</v>
      </c>
      <c r="V62">
        <f t="shared" si="10"/>
        <v>0</v>
      </c>
      <c r="W62" t="str">
        <f t="shared" si="11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3"/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4"/>
        <v>1</v>
      </c>
      <c r="O63">
        <f>IF(IF((M63*8-N63)*G63&lt;(M63*10-N63)*H63,M63*8,M63*10)-N63&lt;0,0,IF((M63*8-N63)*G63&lt;(M63*10-N63)*H63,M63*8,M63*10)-N63)</f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1"/>
        <v>32.24</v>
      </c>
      <c r="T63">
        <f t="shared" si="9"/>
        <v>16.581</v>
      </c>
      <c r="U63" t="s">
        <v>318</v>
      </c>
      <c r="V63">
        <f t="shared" si="10"/>
        <v>16.581</v>
      </c>
      <c r="W63" t="str">
        <f t="shared" si="11"/>
        <v>JLC</v>
      </c>
      <c r="X63">
        <v>0</v>
      </c>
      <c r="AC63" s="3"/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4"/>
        <v>2</v>
      </c>
      <c r="O64">
        <f t="shared" ref="O64:O66" si="12">IF(IF((M64*8-N64)*G64&lt;(M64*10-N64)*H64,M64*8,M64*10)-N64&lt;0,0,IF((M64*8-N64)*G64&lt;(M64*10-N64)*H64,M64*8,M64*10)-N64)</f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1"/>
        <v>4.5919999999999996</v>
      </c>
      <c r="T64">
        <f t="shared" si="9"/>
        <v>6.2759999999999998</v>
      </c>
      <c r="U64" t="s">
        <v>284</v>
      </c>
      <c r="V64">
        <f t="shared" si="10"/>
        <v>4.5919999999999996</v>
      </c>
      <c r="W64" t="str">
        <f t="shared" si="11"/>
        <v>DIGIKEY</v>
      </c>
      <c r="X64">
        <v>2</v>
      </c>
      <c r="Y64">
        <v>20</v>
      </c>
      <c r="AC64" s="3">
        <f>AC62+Z70</f>
        <v>564.2152000000001</v>
      </c>
      <c r="AF64" s="3"/>
    </row>
    <row r="65" spans="1:29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4"/>
        <v>1</v>
      </c>
      <c r="O65" s="8">
        <f t="shared" si="12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1"/>
        <v>6.8</v>
      </c>
      <c r="T65" s="8">
        <f t="shared" si="9"/>
        <v>11.656000000000001</v>
      </c>
      <c r="U65" t="s">
        <v>284</v>
      </c>
      <c r="V65" s="8">
        <f t="shared" si="10"/>
        <v>6.8</v>
      </c>
      <c r="W65" s="8" t="str">
        <f t="shared" si="11"/>
        <v>DIGIKEY</v>
      </c>
      <c r="X65" s="8">
        <v>1</v>
      </c>
      <c r="Y65" s="8">
        <v>10</v>
      </c>
      <c r="AB65" t="s">
        <v>277</v>
      </c>
      <c r="AC65" s="3">
        <f>AC64/10</f>
        <v>56.421520000000008</v>
      </c>
    </row>
    <row r="66" spans="1:29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ref="M66:M67" si="13">L66-K66</f>
        <v>1</v>
      </c>
      <c r="O66">
        <f t="shared" si="12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4">IF(O66&gt;=10,H66*O66,G66*O66)</f>
        <v>6.88</v>
      </c>
      <c r="T66">
        <f t="shared" ref="T66" si="15">IF(ISBLANK(D66),"EMPTY",(I66*R66+IF(D66="yes",4.04,0)))</f>
        <v>6.319</v>
      </c>
      <c r="U66" t="s">
        <v>284</v>
      </c>
      <c r="V66">
        <f t="shared" ref="V66" si="16">IF(T66="EMPTY",S66,IF(J66="Bottom",S66,IF(U66="DIGIKEY",S66,IF(U66="JLC",T66,IF(T66&lt;S66+0.2,T66,S66)))))</f>
        <v>6.88</v>
      </c>
      <c r="W66" t="str">
        <f t="shared" si="11"/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29" x14ac:dyDescent="0.3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si="13"/>
        <v>3</v>
      </c>
      <c r="O67">
        <f t="shared" ref="O67" si="17">IF(IF((M67*8-N67)*G67&lt;(M67*10-N67)*H67,M67*8,M67*10)-N67&lt;0,0,IF((M67*8-N67)*G67&lt;(M67*10-N67)*H67,M67*8,M67*10)-N67)</f>
        <v>24</v>
      </c>
      <c r="P67">
        <f t="shared" ref="P67" si="18">IF(W67="DIGIKEY",O67,0)</f>
        <v>24</v>
      </c>
      <c r="Q67">
        <f t="shared" ref="Q67" si="19">M67*8</f>
        <v>24</v>
      </c>
      <c r="R67">
        <f t="shared" ref="R67" si="20">M67*10</f>
        <v>30</v>
      </c>
      <c r="S67">
        <f t="shared" si="14"/>
        <v>10.8</v>
      </c>
      <c r="T67">
        <f t="shared" ref="T67" si="21">IF(ISBLANK(D67),"EMPTY",(I67*R67+IF(D67="yes",4.04,0)))</f>
        <v>13.399999999999999</v>
      </c>
      <c r="U67" t="s">
        <v>284</v>
      </c>
      <c r="V67">
        <f t="shared" ref="V67" si="22">IF(T67="EMPTY",S67,IF(J67="Bottom",S67,IF(U67="DIGIKEY",S67,IF(U67="JLC",T67,IF(T67&lt;S67+0.2,T67,S67)))))</f>
        <v>10.8</v>
      </c>
      <c r="W67" t="str">
        <f t="shared" ref="W67" si="23">IF(T67="EMPTY","DIGIKEY",IF(J67="Bottom","DIGIKEY",IF(U67="DIGIKEY",U67,IF(U67="JLC",U67,IF(T67&lt;S67+0.2,"JLC","DIGIKEY")))))</f>
        <v>DIGIKEY</v>
      </c>
      <c r="X67">
        <v>3</v>
      </c>
      <c r="Y67">
        <v>30</v>
      </c>
    </row>
    <row r="69" spans="1:29" x14ac:dyDescent="0.3">
      <c r="W69">
        <f>COUNTIF(W2:W66,"JLC")</f>
        <v>30</v>
      </c>
      <c r="Z69">
        <f>SUMIF(W2:W66,"DIGIKEY",Q2:Q66)</f>
        <v>304</v>
      </c>
    </row>
    <row r="70" spans="1:29" x14ac:dyDescent="0.3">
      <c r="T70" t="s">
        <v>265</v>
      </c>
      <c r="V70">
        <f>SUM(V2:V67)</f>
        <v>303.70099999999996</v>
      </c>
      <c r="W70" s="7">
        <f>SUMIF(W2:W67,"JLC",V2:V67)*1.28</f>
        <v>106.99392000000002</v>
      </c>
      <c r="X70" s="7"/>
      <c r="Y70" s="7"/>
      <c r="Z70">
        <f>SUMIF(W2:W67,"DIGIKEY",V2:V67)</f>
        <v>220.11200000000002</v>
      </c>
      <c r="AA70">
        <f>(Z70-V4)*1.12</f>
        <v>168.03584000000006</v>
      </c>
    </row>
    <row r="71" spans="1:29" x14ac:dyDescent="0.3">
      <c r="T71" t="s">
        <v>266</v>
      </c>
      <c r="W71" t="s">
        <v>318</v>
      </c>
      <c r="Z71" t="s">
        <v>325</v>
      </c>
    </row>
    <row r="73" spans="1:29" x14ac:dyDescent="0.3">
      <c r="W73" t="s">
        <v>327</v>
      </c>
    </row>
    <row r="74" spans="1:29" x14ac:dyDescent="0.3">
      <c r="V74">
        <f>V60+V56+V31++V4</f>
        <v>70.08</v>
      </c>
      <c r="Z74" t="s">
        <v>320</v>
      </c>
    </row>
    <row r="75" spans="1:29" x14ac:dyDescent="0.3">
      <c r="Z75">
        <f>Z69/8</f>
        <v>38</v>
      </c>
    </row>
  </sheetData>
  <phoneticPr fontId="18" type="noConversion"/>
  <conditionalFormatting sqref="S2:T67">
    <cfRule type="expression" dxfId="4" priority="5">
      <formula>AND(T2-S2&lt;3,T2&gt;S2)</formula>
    </cfRule>
  </conditionalFormatting>
  <conditionalFormatting sqref="Z1 A1:Y67">
    <cfRule type="expression" dxfId="3" priority="1">
      <formula>AND($W1="DIGIKEY",$V1&gt;0,$X1&gt;0)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95E-8DB0-4FF1-8A37-8D882C8CC6E0}">
  <dimension ref="A1:AF75"/>
  <sheetViews>
    <sheetView topLeftCell="O47" zoomScale="101" workbookViewId="0">
      <selection activeCell="AD68" sqref="AD68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>IF(M2*8*G2&lt;M2*10*H2,M2*8,M2*10)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0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65" si="1">IF(T2="EMPTY",S2,IF(J2="Bottom",S2,IF(U2="DIGIKEY",S2,IF(U2="JLC",T2,IF(T2&lt;S2+0.2,T2,S2)))))</f>
        <v>25.301000000000002</v>
      </c>
      <c r="W2" t="str">
        <f t="shared" ref="W2:W65" si="2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6" si="3">L3-K3</f>
        <v>3</v>
      </c>
      <c r="O3">
        <f t="shared" ref="O3:O66" si="4">IF(M3*8*G3&lt;M3*10*H3,M3*8,M3*10)</f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0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1"/>
        <v>1.9350000000000001</v>
      </c>
      <c r="W3" t="str">
        <f t="shared" si="2"/>
        <v>JLC</v>
      </c>
      <c r="X3">
        <v>0</v>
      </c>
    </row>
    <row r="4" spans="1:26" s="4" customFormat="1" x14ac:dyDescent="0.3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3"/>
        <v>2</v>
      </c>
      <c r="O4">
        <f t="shared" si="4"/>
        <v>16</v>
      </c>
      <c r="P4">
        <f t="shared" si="5"/>
        <v>16</v>
      </c>
      <c r="Q4">
        <f t="shared" si="6"/>
        <v>16</v>
      </c>
      <c r="R4">
        <f t="shared" si="7"/>
        <v>20</v>
      </c>
      <c r="S4">
        <f t="shared" si="0"/>
        <v>120.48</v>
      </c>
      <c r="T4" s="4" t="str">
        <f t="shared" si="8"/>
        <v>EMPTY</v>
      </c>
      <c r="U4" t="s">
        <v>284</v>
      </c>
      <c r="V4">
        <f t="shared" si="1"/>
        <v>120.48</v>
      </c>
      <c r="W4" t="str">
        <f t="shared" si="2"/>
        <v>DIGIKEY</v>
      </c>
      <c r="X4">
        <v>0</v>
      </c>
      <c r="Y4"/>
      <c r="Z4" s="4" t="s">
        <v>329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3"/>
        <v>1</v>
      </c>
      <c r="O5">
        <f t="shared" si="4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0"/>
        <v>0.37</v>
      </c>
      <c r="T5">
        <f t="shared" si="8"/>
        <v>2.5999999999999999E-2</v>
      </c>
      <c r="U5" t="s">
        <v>318</v>
      </c>
      <c r="V5">
        <f t="shared" si="1"/>
        <v>2.5999999999999999E-2</v>
      </c>
      <c r="W5" t="str">
        <f t="shared" si="2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3"/>
        <v>15</v>
      </c>
      <c r="O6">
        <f t="shared" si="4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0"/>
        <v>4.8899999999999997</v>
      </c>
      <c r="T6">
        <f t="shared" si="8"/>
        <v>0.315</v>
      </c>
      <c r="U6" t="s">
        <v>318</v>
      </c>
      <c r="V6">
        <f t="shared" si="1"/>
        <v>0.315</v>
      </c>
      <c r="W6" t="str">
        <f t="shared" si="2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3"/>
        <v>1</v>
      </c>
      <c r="O7">
        <f t="shared" si="4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 t="shared" si="0"/>
        <v>1.56</v>
      </c>
      <c r="T7" s="4">
        <f t="shared" si="8"/>
        <v>4.4359999999999999</v>
      </c>
      <c r="U7" t="s">
        <v>284</v>
      </c>
      <c r="V7">
        <f t="shared" si="1"/>
        <v>1.56</v>
      </c>
      <c r="W7" t="str">
        <f t="shared" si="2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3"/>
        <v>4</v>
      </c>
      <c r="O8">
        <f t="shared" si="4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0"/>
        <v>12.68</v>
      </c>
      <c r="T8">
        <f t="shared" si="8"/>
        <v>2.58</v>
      </c>
      <c r="U8" t="s">
        <v>318</v>
      </c>
      <c r="V8">
        <f t="shared" si="1"/>
        <v>2.58</v>
      </c>
      <c r="W8" t="str">
        <f t="shared" si="2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3"/>
        <v>3</v>
      </c>
      <c r="O9">
        <f t="shared" si="4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0"/>
        <v>3.96</v>
      </c>
      <c r="T9">
        <f t="shared" si="8"/>
        <v>0.13800000000000001</v>
      </c>
      <c r="U9" t="s">
        <v>318</v>
      </c>
      <c r="V9">
        <f t="shared" si="1"/>
        <v>0.13800000000000001</v>
      </c>
      <c r="W9" t="str">
        <f t="shared" si="2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3"/>
        <v>2</v>
      </c>
      <c r="O10">
        <f t="shared" si="4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0"/>
        <v>0.94</v>
      </c>
      <c r="T10">
        <f t="shared" si="8"/>
        <v>5.4000000000000006E-2</v>
      </c>
      <c r="U10" t="s">
        <v>318</v>
      </c>
      <c r="V10">
        <f t="shared" si="1"/>
        <v>5.4000000000000006E-2</v>
      </c>
      <c r="W10" t="str">
        <f t="shared" si="2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3"/>
        <v>1</v>
      </c>
      <c r="O11">
        <f t="shared" si="4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0"/>
        <v>0.64</v>
      </c>
      <c r="T11">
        <f t="shared" si="8"/>
        <v>0.10300000000000001</v>
      </c>
      <c r="U11" t="s">
        <v>284</v>
      </c>
      <c r="V11">
        <f t="shared" si="1"/>
        <v>0.64</v>
      </c>
      <c r="W11" t="str">
        <f t="shared" si="2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3"/>
        <v>1</v>
      </c>
      <c r="O12">
        <f t="shared" si="4"/>
        <v>10</v>
      </c>
      <c r="P12">
        <f t="shared" si="5"/>
        <v>10</v>
      </c>
      <c r="Q12">
        <f t="shared" si="6"/>
        <v>8</v>
      </c>
      <c r="R12">
        <f t="shared" si="7"/>
        <v>10</v>
      </c>
      <c r="S12">
        <f t="shared" si="0"/>
        <v>4.08</v>
      </c>
      <c r="T12">
        <f t="shared" si="8"/>
        <v>7.6630000000000003</v>
      </c>
      <c r="U12" t="s">
        <v>284</v>
      </c>
      <c r="V12">
        <f t="shared" si="1"/>
        <v>4.08</v>
      </c>
      <c r="W12" t="str">
        <f t="shared" si="2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3"/>
        <v>2</v>
      </c>
      <c r="O13">
        <f t="shared" si="4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0"/>
        <v>1.1600000000000001</v>
      </c>
      <c r="T13">
        <f t="shared" si="8"/>
        <v>0.104</v>
      </c>
      <c r="U13" t="s">
        <v>318</v>
      </c>
      <c r="V13">
        <f t="shared" si="1"/>
        <v>0.104</v>
      </c>
      <c r="W13" t="str">
        <f t="shared" si="2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3"/>
        <v>1</v>
      </c>
      <c r="O14">
        <f t="shared" si="4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0"/>
        <v>4.96</v>
      </c>
      <c r="T14">
        <f t="shared" si="8"/>
        <v>4.7930000000000001</v>
      </c>
      <c r="U14" t="s">
        <v>284</v>
      </c>
      <c r="V14">
        <f t="shared" si="1"/>
        <v>4.96</v>
      </c>
      <c r="W14" t="str">
        <f t="shared" si="2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3"/>
        <v>1</v>
      </c>
      <c r="O15">
        <f t="shared" si="4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0"/>
        <v>5.92</v>
      </c>
      <c r="T15">
        <f t="shared" si="8"/>
        <v>4.6959999999999997</v>
      </c>
      <c r="U15" t="s">
        <v>284</v>
      </c>
      <c r="V15">
        <f t="shared" si="1"/>
        <v>5.92</v>
      </c>
      <c r="W15" t="str">
        <f t="shared" si="2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3"/>
        <v>1</v>
      </c>
      <c r="O16">
        <f t="shared" si="4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0"/>
        <v>5.3000000000000007</v>
      </c>
      <c r="T16" s="8">
        <f t="shared" si="8"/>
        <v>5.0780000000000003</v>
      </c>
      <c r="U16" t="s">
        <v>318</v>
      </c>
      <c r="V16" s="8">
        <f t="shared" si="1"/>
        <v>5.0780000000000003</v>
      </c>
      <c r="W16" s="8" t="str">
        <f t="shared" si="2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3"/>
        <v>1</v>
      </c>
      <c r="O17">
        <f t="shared" si="4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0"/>
        <v>2.16</v>
      </c>
      <c r="T17">
        <f t="shared" si="8"/>
        <v>0.12200000000000001</v>
      </c>
      <c r="U17" t="s">
        <v>318</v>
      </c>
      <c r="V17">
        <f t="shared" si="1"/>
        <v>0.12200000000000001</v>
      </c>
      <c r="W17" t="str">
        <f t="shared" si="2"/>
        <v>JLC</v>
      </c>
      <c r="X17">
        <v>0</v>
      </c>
    </row>
    <row r="18" spans="1:27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296</v>
      </c>
      <c r="H18">
        <v>0.47399999999999998</v>
      </c>
      <c r="I18">
        <v>8.3299999999999999E-2</v>
      </c>
      <c r="L18">
        <v>1</v>
      </c>
      <c r="M18">
        <f t="shared" si="3"/>
        <v>1</v>
      </c>
      <c r="O18">
        <f t="shared" si="4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0"/>
        <v>4.74</v>
      </c>
      <c r="T18">
        <f t="shared" si="8"/>
        <v>4.8730000000000002</v>
      </c>
      <c r="U18" t="s">
        <v>318</v>
      </c>
      <c r="V18">
        <f t="shared" si="1"/>
        <v>4.8730000000000002</v>
      </c>
      <c r="W18" t="str">
        <f t="shared" si="2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3"/>
        <v>3</v>
      </c>
      <c r="O19">
        <f t="shared" si="4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0"/>
        <v>6.4799999999999995</v>
      </c>
      <c r="T19">
        <f t="shared" si="8"/>
        <v>0.38100000000000001</v>
      </c>
      <c r="U19" t="s">
        <v>318</v>
      </c>
      <c r="V19">
        <f t="shared" si="1"/>
        <v>0.38100000000000001</v>
      </c>
      <c r="W19" t="str">
        <f t="shared" si="2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3"/>
        <v>1</v>
      </c>
      <c r="O20">
        <f t="shared" si="4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0"/>
        <v>2.0100000000000002</v>
      </c>
      <c r="T20">
        <f t="shared" si="8"/>
        <v>9.5999999999999988E-2</v>
      </c>
      <c r="U20" t="s">
        <v>318</v>
      </c>
      <c r="V20">
        <f t="shared" si="1"/>
        <v>9.5999999999999988E-2</v>
      </c>
      <c r="W20" t="str">
        <f t="shared" si="2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3"/>
        <v>2</v>
      </c>
      <c r="O21">
        <f t="shared" si="4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0"/>
        <v>4.0200000000000005</v>
      </c>
      <c r="T21">
        <f t="shared" si="8"/>
        <v>0.39</v>
      </c>
      <c r="U21" t="s">
        <v>318</v>
      </c>
      <c r="V21">
        <f t="shared" si="1"/>
        <v>0.39</v>
      </c>
      <c r="W21" t="str">
        <f t="shared" si="2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3"/>
        <v>1</v>
      </c>
      <c r="O22">
        <f t="shared" si="4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0"/>
        <v>4.3600000000000003</v>
      </c>
      <c r="T22" t="str">
        <f t="shared" si="8"/>
        <v>EMPTY</v>
      </c>
      <c r="U22" t="s">
        <v>284</v>
      </c>
      <c r="V22">
        <f t="shared" si="1"/>
        <v>4.3600000000000003</v>
      </c>
      <c r="W22" t="str">
        <f t="shared" si="2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3"/>
        <v>1</v>
      </c>
      <c r="O23">
        <f t="shared" si="4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0"/>
        <v>1.22</v>
      </c>
      <c r="T23">
        <f t="shared" si="8"/>
        <v>1.038</v>
      </c>
      <c r="U23" t="s">
        <v>284</v>
      </c>
      <c r="V23">
        <f t="shared" si="1"/>
        <v>1.22</v>
      </c>
      <c r="W23" t="str">
        <f t="shared" si="2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3"/>
        <v>1</v>
      </c>
      <c r="O24">
        <f t="shared" si="4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0"/>
        <v>12.32</v>
      </c>
      <c r="T24" s="8">
        <f t="shared" si="8"/>
        <v>5.032</v>
      </c>
      <c r="U24" t="s">
        <v>318</v>
      </c>
      <c r="V24" s="8">
        <f t="shared" si="1"/>
        <v>5.032</v>
      </c>
      <c r="W24" s="8" t="str">
        <f t="shared" si="2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0"/>
        <v>0</v>
      </c>
      <c r="T25" t="str">
        <f t="shared" si="8"/>
        <v>EMPTY</v>
      </c>
      <c r="U25" t="s">
        <v>284</v>
      </c>
      <c r="V25">
        <f t="shared" si="1"/>
        <v>0</v>
      </c>
      <c r="W25" t="str">
        <f t="shared" si="2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3"/>
        <v>1</v>
      </c>
      <c r="O26">
        <f t="shared" si="4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0"/>
        <v>12.48</v>
      </c>
      <c r="T26" t="str">
        <f t="shared" si="8"/>
        <v>EMPTY</v>
      </c>
      <c r="U26" t="s">
        <v>284</v>
      </c>
      <c r="V26">
        <f t="shared" si="1"/>
        <v>12.48</v>
      </c>
      <c r="W26" t="str">
        <f t="shared" si="2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3"/>
        <v>1</v>
      </c>
      <c r="O27">
        <f t="shared" si="4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0"/>
        <v>5.68</v>
      </c>
      <c r="T27" t="str">
        <f t="shared" si="8"/>
        <v>EMPTY</v>
      </c>
      <c r="U27" t="s">
        <v>284</v>
      </c>
      <c r="V27">
        <f t="shared" si="1"/>
        <v>5.68</v>
      </c>
      <c r="W27" t="str">
        <f t="shared" si="2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0"/>
        <v>0</v>
      </c>
      <c r="T28" t="str">
        <f t="shared" si="8"/>
        <v>EMPTY</v>
      </c>
      <c r="U28" t="s">
        <v>284</v>
      </c>
      <c r="V28">
        <f t="shared" si="1"/>
        <v>0</v>
      </c>
      <c r="W28" t="str">
        <f t="shared" si="2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3"/>
        <v>2</v>
      </c>
      <c r="O29">
        <f t="shared" si="4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0"/>
        <v>4.5</v>
      </c>
      <c r="T29">
        <f t="shared" si="8"/>
        <v>0.25600000000000001</v>
      </c>
      <c r="U29" t="s">
        <v>318</v>
      </c>
      <c r="V29">
        <f t="shared" si="1"/>
        <v>0.25600000000000001</v>
      </c>
      <c r="W29" t="str">
        <f t="shared" si="2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3"/>
        <v>1</v>
      </c>
      <c r="O30">
        <f t="shared" si="4"/>
        <v>8</v>
      </c>
      <c r="P30">
        <f t="shared" si="5"/>
        <v>8</v>
      </c>
      <c r="Q30">
        <f t="shared" si="6"/>
        <v>8</v>
      </c>
      <c r="R30">
        <f t="shared" si="7"/>
        <v>10</v>
      </c>
      <c r="S30">
        <f t="shared" si="0"/>
        <v>11.52</v>
      </c>
      <c r="T30">
        <f t="shared" si="8"/>
        <v>8.6900000000000013</v>
      </c>
      <c r="U30" s="11" t="s">
        <v>284</v>
      </c>
      <c r="V30">
        <f t="shared" si="1"/>
        <v>11.52</v>
      </c>
      <c r="W30" t="str">
        <f t="shared" si="2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3"/>
        <v>2</v>
      </c>
      <c r="O31">
        <f t="shared" si="4"/>
        <v>16</v>
      </c>
      <c r="P31">
        <f t="shared" si="5"/>
        <v>16</v>
      </c>
      <c r="Q31">
        <f t="shared" si="6"/>
        <v>16</v>
      </c>
      <c r="R31">
        <f t="shared" si="7"/>
        <v>20</v>
      </c>
      <c r="S31">
        <f t="shared" si="0"/>
        <v>99.52</v>
      </c>
      <c r="T31">
        <f t="shared" si="8"/>
        <v>84.828000000000003</v>
      </c>
      <c r="U31" t="s">
        <v>284</v>
      </c>
      <c r="V31">
        <f t="shared" si="1"/>
        <v>99.52</v>
      </c>
      <c r="W31" t="str">
        <f t="shared" si="2"/>
        <v>DIGIKEY</v>
      </c>
      <c r="X31">
        <v>0</v>
      </c>
      <c r="Z31" t="s">
        <v>329</v>
      </c>
      <c r="AA31" t="s">
        <v>331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3"/>
        <v>1</v>
      </c>
      <c r="O32">
        <f t="shared" si="4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0"/>
        <v>5.2</v>
      </c>
      <c r="T32" t="str">
        <f t="shared" si="8"/>
        <v>EMPTY</v>
      </c>
      <c r="U32" t="s">
        <v>284</v>
      </c>
      <c r="V32">
        <f t="shared" si="1"/>
        <v>5.2</v>
      </c>
      <c r="W32" t="str">
        <f t="shared" si="2"/>
        <v>DIGIKEY</v>
      </c>
      <c r="X32">
        <v>1</v>
      </c>
      <c r="Y32">
        <v>10</v>
      </c>
    </row>
    <row r="33" spans="1:30" x14ac:dyDescent="0.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3"/>
        <v>1</v>
      </c>
      <c r="O33">
        <f t="shared" si="4"/>
        <v>8</v>
      </c>
      <c r="P33">
        <f t="shared" si="5"/>
        <v>8</v>
      </c>
      <c r="Q33">
        <f t="shared" si="6"/>
        <v>8</v>
      </c>
      <c r="R33">
        <f t="shared" si="7"/>
        <v>10</v>
      </c>
      <c r="S33">
        <f t="shared" si="0"/>
        <v>6.08</v>
      </c>
      <c r="T33" t="str">
        <f>IF(ISBLANK(D33),"EMPTY",(H33*R33+IF(D33="yes",4.04,0)))</f>
        <v>EMPTY</v>
      </c>
      <c r="U33" t="s">
        <v>284</v>
      </c>
      <c r="V33">
        <f t="shared" si="1"/>
        <v>6.08</v>
      </c>
      <c r="W33" t="str">
        <f t="shared" si="2"/>
        <v>DIGIKEY</v>
      </c>
      <c r="X33">
        <v>0</v>
      </c>
    </row>
    <row r="34" spans="1:30" x14ac:dyDescent="0.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3"/>
        <v>5</v>
      </c>
      <c r="O34">
        <f t="shared" si="4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0"/>
        <v>1.1499999999999999</v>
      </c>
      <c r="T34">
        <f t="shared" ref="T34:T67" si="9">IF(ISBLANK(D34),"EMPTY",(I34*R34+IF(D34="yes",4.04,0)))</f>
        <v>4.4999999999999998E-2</v>
      </c>
      <c r="U34" t="s">
        <v>318</v>
      </c>
      <c r="V34">
        <f t="shared" si="1"/>
        <v>4.4999999999999998E-2</v>
      </c>
      <c r="W34" t="str">
        <f t="shared" si="2"/>
        <v>JLC</v>
      </c>
      <c r="X34">
        <v>0</v>
      </c>
    </row>
    <row r="35" spans="1:30" x14ac:dyDescent="0.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3"/>
        <v>1</v>
      </c>
      <c r="O35">
        <f t="shared" si="4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0"/>
        <v>0.22999999999999998</v>
      </c>
      <c r="T35">
        <f t="shared" si="9"/>
        <v>8.9999999999999993E-3</v>
      </c>
      <c r="U35" t="s">
        <v>284</v>
      </c>
      <c r="V35">
        <f t="shared" si="1"/>
        <v>0.22999999999999998</v>
      </c>
      <c r="W35" t="str">
        <f t="shared" si="2"/>
        <v>DIGIKEY</v>
      </c>
      <c r="X35">
        <v>1</v>
      </c>
      <c r="Y35">
        <v>10</v>
      </c>
    </row>
    <row r="36" spans="1:30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3"/>
        <v>9</v>
      </c>
      <c r="O36">
        <f t="shared" si="4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0"/>
        <v>2.0699999999999998</v>
      </c>
      <c r="T36">
        <f t="shared" si="9"/>
        <v>7.2000000000000008E-2</v>
      </c>
      <c r="U36" t="s">
        <v>318</v>
      </c>
      <c r="V36">
        <f t="shared" si="1"/>
        <v>7.2000000000000008E-2</v>
      </c>
      <c r="W36" t="str">
        <f t="shared" si="2"/>
        <v>JLC</v>
      </c>
      <c r="X36">
        <v>0</v>
      </c>
    </row>
    <row r="37" spans="1:30" x14ac:dyDescent="0.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3"/>
        <v>1</v>
      </c>
      <c r="O37">
        <f t="shared" si="4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0"/>
        <v>0.22999999999999998</v>
      </c>
      <c r="T37" t="str">
        <f t="shared" si="9"/>
        <v>EMPTY</v>
      </c>
      <c r="U37" t="s">
        <v>284</v>
      </c>
      <c r="V37">
        <f t="shared" si="1"/>
        <v>0.22999999999999998</v>
      </c>
      <c r="W37" t="str">
        <f t="shared" si="2"/>
        <v>DIGIKEY</v>
      </c>
      <c r="X37">
        <v>1</v>
      </c>
      <c r="Y37">
        <v>10</v>
      </c>
    </row>
    <row r="38" spans="1:30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3"/>
        <v>2</v>
      </c>
      <c r="O38">
        <f t="shared" si="4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0"/>
        <v>0.45999999999999996</v>
      </c>
      <c r="T38">
        <f t="shared" si="9"/>
        <v>0.02</v>
      </c>
      <c r="U38" t="s">
        <v>318</v>
      </c>
      <c r="V38">
        <f t="shared" si="1"/>
        <v>0.02</v>
      </c>
      <c r="W38" t="str">
        <f t="shared" si="2"/>
        <v>JLC</v>
      </c>
      <c r="X38">
        <v>0</v>
      </c>
    </row>
    <row r="39" spans="1:30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3"/>
        <v>1</v>
      </c>
      <c r="O39">
        <f t="shared" si="4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0"/>
        <v>0.22999999999999998</v>
      </c>
      <c r="T39" t="str">
        <f t="shared" si="9"/>
        <v>EMPTY</v>
      </c>
      <c r="U39" t="s">
        <v>284</v>
      </c>
      <c r="V39">
        <f t="shared" si="1"/>
        <v>0.22999999999999998</v>
      </c>
      <c r="W39" t="str">
        <f t="shared" si="2"/>
        <v>DIGIKEY</v>
      </c>
      <c r="X39">
        <v>1</v>
      </c>
      <c r="Y39">
        <v>10</v>
      </c>
    </row>
    <row r="40" spans="1:30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3"/>
        <v>1</v>
      </c>
      <c r="O40">
        <f t="shared" si="4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0"/>
        <v>0.22999999999999998</v>
      </c>
      <c r="T40" t="str">
        <f t="shared" si="9"/>
        <v>EMPTY</v>
      </c>
      <c r="U40" t="s">
        <v>284</v>
      </c>
      <c r="V40">
        <f t="shared" si="1"/>
        <v>0.22999999999999998</v>
      </c>
      <c r="W40" t="str">
        <f t="shared" si="2"/>
        <v>DIGIKEY</v>
      </c>
      <c r="X40">
        <v>1</v>
      </c>
      <c r="Y40">
        <v>10</v>
      </c>
    </row>
    <row r="41" spans="1:30" x14ac:dyDescent="0.3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3"/>
        <v>1</v>
      </c>
      <c r="O41">
        <f t="shared" si="4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0"/>
        <v>7.05</v>
      </c>
      <c r="T41" t="str">
        <f t="shared" si="9"/>
        <v>EMPTY</v>
      </c>
      <c r="U41" t="s">
        <v>284</v>
      </c>
      <c r="V41">
        <f t="shared" si="1"/>
        <v>7.05</v>
      </c>
      <c r="W41" t="str">
        <f t="shared" si="2"/>
        <v>DIGIKEY</v>
      </c>
      <c r="X41">
        <v>1</v>
      </c>
      <c r="Y41">
        <v>10</v>
      </c>
    </row>
    <row r="42" spans="1:30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3"/>
        <v>1</v>
      </c>
      <c r="O42">
        <f t="shared" si="4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0"/>
        <v>0.22999999999999998</v>
      </c>
      <c r="T42" t="str">
        <f t="shared" si="9"/>
        <v>EMPTY</v>
      </c>
      <c r="U42" t="s">
        <v>284</v>
      </c>
      <c r="V42">
        <f t="shared" si="1"/>
        <v>0.22999999999999998</v>
      </c>
      <c r="W42" t="str">
        <f t="shared" si="2"/>
        <v>DIGIKEY</v>
      </c>
      <c r="X42">
        <v>2</v>
      </c>
      <c r="Y42">
        <v>10</v>
      </c>
    </row>
    <row r="43" spans="1:30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3"/>
        <v>4</v>
      </c>
      <c r="O43">
        <f t="shared" si="4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0"/>
        <v>0.91999999999999993</v>
      </c>
      <c r="T43">
        <f t="shared" si="9"/>
        <v>3.5999999999999997E-2</v>
      </c>
      <c r="U43" t="s">
        <v>318</v>
      </c>
      <c r="V43">
        <f t="shared" si="1"/>
        <v>3.5999999999999997E-2</v>
      </c>
      <c r="W43" t="str">
        <f t="shared" si="2"/>
        <v>JLC</v>
      </c>
      <c r="X43">
        <v>0</v>
      </c>
      <c r="AB43" t="s">
        <v>267</v>
      </c>
      <c r="AD43">
        <f>SUM(AC44:AC47)</f>
        <v>61.95</v>
      </c>
    </row>
    <row r="44" spans="1:30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3"/>
        <v>2</v>
      </c>
      <c r="O44">
        <f t="shared" si="4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0"/>
        <v>0.45999999999999996</v>
      </c>
      <c r="T44">
        <f t="shared" si="9"/>
        <v>1.4E-2</v>
      </c>
      <c r="U44" t="s">
        <v>318</v>
      </c>
      <c r="V44">
        <f t="shared" si="1"/>
        <v>1.4E-2</v>
      </c>
      <c r="W44" t="str">
        <f t="shared" si="2"/>
        <v>JLC</v>
      </c>
      <c r="X44">
        <v>0</v>
      </c>
      <c r="AB44" t="s">
        <v>339</v>
      </c>
      <c r="AC44">
        <v>32.299999999999997</v>
      </c>
    </row>
    <row r="45" spans="1:30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3"/>
        <v>2</v>
      </c>
      <c r="O45">
        <f t="shared" si="4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0"/>
        <v>0.45999999999999996</v>
      </c>
      <c r="T45">
        <f t="shared" si="9"/>
        <v>1.7999999999999999E-2</v>
      </c>
      <c r="U45" t="s">
        <v>318</v>
      </c>
      <c r="V45">
        <f t="shared" si="1"/>
        <v>1.7999999999999999E-2</v>
      </c>
      <c r="W45" t="str">
        <f t="shared" si="2"/>
        <v>JLC</v>
      </c>
      <c r="X45">
        <v>0</v>
      </c>
      <c r="AB45" t="s">
        <v>340</v>
      </c>
      <c r="AC45">
        <v>10.23</v>
      </c>
    </row>
    <row r="46" spans="1:30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3"/>
        <v>1</v>
      </c>
      <c r="O46">
        <f t="shared" si="4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0"/>
        <v>0.22999999999999998</v>
      </c>
      <c r="T46">
        <f t="shared" si="9"/>
        <v>8.9999999999999993E-3</v>
      </c>
      <c r="U46" t="s">
        <v>318</v>
      </c>
      <c r="V46">
        <f t="shared" si="1"/>
        <v>8.9999999999999993E-3</v>
      </c>
      <c r="W46" t="str">
        <f t="shared" si="2"/>
        <v>JLC</v>
      </c>
      <c r="X46">
        <v>0</v>
      </c>
      <c r="AB46" t="s">
        <v>341</v>
      </c>
      <c r="AC46">
        <v>18.84</v>
      </c>
    </row>
    <row r="47" spans="1:30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3"/>
        <v>2</v>
      </c>
      <c r="O47">
        <f t="shared" si="4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0"/>
        <v>0.45999999999999996</v>
      </c>
      <c r="T47">
        <f t="shared" si="9"/>
        <v>1.7999999999999999E-2</v>
      </c>
      <c r="U47" t="s">
        <v>318</v>
      </c>
      <c r="V47">
        <f t="shared" si="1"/>
        <v>1.7999999999999999E-2</v>
      </c>
      <c r="W47" t="str">
        <f t="shared" si="2"/>
        <v>JLC</v>
      </c>
      <c r="X47">
        <v>0</v>
      </c>
      <c r="AB47" t="s">
        <v>342</v>
      </c>
      <c r="AC47">
        <v>0.57999999999999996</v>
      </c>
    </row>
    <row r="48" spans="1:30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3"/>
        <v>2</v>
      </c>
      <c r="O48">
        <f t="shared" si="4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0"/>
        <v>0.45999999999999996</v>
      </c>
      <c r="T48">
        <f t="shared" si="9"/>
        <v>0.02</v>
      </c>
      <c r="U48" t="s">
        <v>284</v>
      </c>
      <c r="V48">
        <f t="shared" si="1"/>
        <v>0.45999999999999996</v>
      </c>
      <c r="W48" t="str">
        <f t="shared" si="2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3"/>
        <v>1</v>
      </c>
      <c r="O49">
        <f t="shared" si="4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0"/>
        <v>0.22999999999999998</v>
      </c>
      <c r="T49">
        <f t="shared" si="9"/>
        <v>8.9999999999999993E-3</v>
      </c>
      <c r="U49" t="s">
        <v>284</v>
      </c>
      <c r="V49">
        <f t="shared" si="1"/>
        <v>0.22999999999999998</v>
      </c>
      <c r="W49" t="str">
        <f t="shared" si="2"/>
        <v>DIGIKEY</v>
      </c>
      <c r="X49">
        <v>1</v>
      </c>
      <c r="Y49">
        <v>10</v>
      </c>
      <c r="AB49" t="s">
        <v>343</v>
      </c>
      <c r="AC49" s="3"/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3"/>
        <v>2</v>
      </c>
      <c r="O50">
        <f t="shared" si="4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0"/>
        <v>0.66</v>
      </c>
      <c r="T50">
        <f t="shared" si="9"/>
        <v>2.5999999999999999E-2</v>
      </c>
      <c r="U50" t="s">
        <v>284</v>
      </c>
      <c r="V50">
        <f t="shared" si="1"/>
        <v>0.66</v>
      </c>
      <c r="W50" t="str">
        <f t="shared" si="2"/>
        <v>DIGIKEY</v>
      </c>
      <c r="X50">
        <v>2</v>
      </c>
      <c r="Y50">
        <v>20</v>
      </c>
      <c r="AB50" t="s">
        <v>268</v>
      </c>
      <c r="AC50" s="3">
        <v>33.65</v>
      </c>
      <c r="AF50" s="3"/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3"/>
        <v>1</v>
      </c>
      <c r="O51">
        <f t="shared" si="4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0"/>
        <v>0.22999999999999998</v>
      </c>
      <c r="T51">
        <f t="shared" si="9"/>
        <v>0.01</v>
      </c>
      <c r="U51" t="s">
        <v>318</v>
      </c>
      <c r="V51">
        <f t="shared" si="1"/>
        <v>0.01</v>
      </c>
      <c r="W51" t="str">
        <f t="shared" si="2"/>
        <v>JLC</v>
      </c>
      <c r="X51">
        <v>0</v>
      </c>
      <c r="AB51" t="s">
        <v>269</v>
      </c>
      <c r="AC51" s="3">
        <v>10.58</v>
      </c>
      <c r="AF51" s="3"/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3"/>
        <v>2</v>
      </c>
      <c r="O52">
        <f t="shared" si="4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0"/>
        <v>0.45999999999999996</v>
      </c>
      <c r="T52">
        <f t="shared" si="9"/>
        <v>1.7999999999999999E-2</v>
      </c>
      <c r="U52" t="s">
        <v>318</v>
      </c>
      <c r="V52">
        <f t="shared" si="1"/>
        <v>1.7999999999999999E-2</v>
      </c>
      <c r="W52" t="str">
        <f t="shared" si="2"/>
        <v>JLC</v>
      </c>
      <c r="X52">
        <v>0</v>
      </c>
      <c r="AB52" t="s">
        <v>270</v>
      </c>
      <c r="AC52" s="3">
        <v>66.88</v>
      </c>
      <c r="AD52" s="2"/>
      <c r="AF52" s="3"/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3"/>
        <v>3</v>
      </c>
      <c r="O53">
        <f t="shared" si="4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0"/>
        <v>0.69</v>
      </c>
      <c r="T53">
        <f t="shared" si="9"/>
        <v>2.7E-2</v>
      </c>
      <c r="U53" t="s">
        <v>318</v>
      </c>
      <c r="V53">
        <f t="shared" si="1"/>
        <v>2.7E-2</v>
      </c>
      <c r="W53" t="str">
        <f t="shared" si="2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/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3"/>
        <v>1</v>
      </c>
      <c r="O54">
        <f t="shared" si="4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0"/>
        <v>38.4</v>
      </c>
      <c r="T54" t="str">
        <f t="shared" si="9"/>
        <v>EMPTY</v>
      </c>
      <c r="U54" t="s">
        <v>284</v>
      </c>
      <c r="V54">
        <f t="shared" si="1"/>
        <v>38.4</v>
      </c>
      <c r="W54" t="str">
        <f t="shared" si="2"/>
        <v>DIGIKEY</v>
      </c>
      <c r="X54">
        <v>2</v>
      </c>
      <c r="Y54">
        <v>10</v>
      </c>
      <c r="Z54" t="s">
        <v>330</v>
      </c>
      <c r="AC54" s="3"/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3"/>
        <v>1</v>
      </c>
      <c r="O55">
        <f t="shared" si="4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0"/>
        <v>8.2999999999999989</v>
      </c>
      <c r="T55" t="str">
        <f t="shared" si="9"/>
        <v>EMPTY</v>
      </c>
      <c r="U55" t="s">
        <v>284</v>
      </c>
      <c r="V55">
        <f t="shared" si="1"/>
        <v>8.2999999999999989</v>
      </c>
      <c r="W55" t="str">
        <f t="shared" si="2"/>
        <v>DIGIKEY</v>
      </c>
      <c r="X55">
        <v>1</v>
      </c>
      <c r="Y55">
        <v>10</v>
      </c>
      <c r="AB55" t="s">
        <v>271</v>
      </c>
      <c r="AC55" s="3">
        <v>5.68</v>
      </c>
      <c r="AF55" s="3"/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3"/>
        <v>1</v>
      </c>
      <c r="O56">
        <f t="shared" si="4"/>
        <v>8</v>
      </c>
      <c r="P56">
        <f t="shared" si="5"/>
        <v>8</v>
      </c>
      <c r="Q56">
        <f t="shared" si="6"/>
        <v>8</v>
      </c>
      <c r="R56">
        <f t="shared" si="7"/>
        <v>10</v>
      </c>
      <c r="S56">
        <f t="shared" si="0"/>
        <v>106.8</v>
      </c>
      <c r="T56" t="str">
        <f t="shared" si="9"/>
        <v>EMPTY</v>
      </c>
      <c r="U56" t="s">
        <v>284</v>
      </c>
      <c r="V56">
        <f t="shared" si="1"/>
        <v>106.8</v>
      </c>
      <c r="W56" t="str">
        <f t="shared" si="2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/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3"/>
        <v>1</v>
      </c>
      <c r="O57">
        <f t="shared" si="4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0"/>
        <v>8.48</v>
      </c>
      <c r="T57">
        <f t="shared" si="9"/>
        <v>13.010000000000002</v>
      </c>
      <c r="U57" t="s">
        <v>318</v>
      </c>
      <c r="V57">
        <f t="shared" si="1"/>
        <v>13.010000000000002</v>
      </c>
      <c r="W57" t="str">
        <f t="shared" si="2"/>
        <v>JLC</v>
      </c>
      <c r="X57">
        <v>0</v>
      </c>
      <c r="AB57" t="s">
        <v>326</v>
      </c>
      <c r="AC57" s="3">
        <v>0.65</v>
      </c>
      <c r="AF57" s="3"/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3"/>
        <v>1</v>
      </c>
      <c r="O58">
        <f t="shared" si="4"/>
        <v>8</v>
      </c>
      <c r="P58">
        <f t="shared" si="5"/>
        <v>8</v>
      </c>
      <c r="Q58">
        <f t="shared" si="6"/>
        <v>8</v>
      </c>
      <c r="R58">
        <f t="shared" si="7"/>
        <v>10</v>
      </c>
      <c r="S58">
        <f t="shared" si="0"/>
        <v>18.72</v>
      </c>
      <c r="T58" t="str">
        <f t="shared" si="9"/>
        <v>EMPTY</v>
      </c>
      <c r="U58" t="s">
        <v>284</v>
      </c>
      <c r="V58">
        <f t="shared" si="1"/>
        <v>18.72</v>
      </c>
      <c r="W58" t="str">
        <f t="shared" si="2"/>
        <v>DIGIKEY</v>
      </c>
      <c r="X58">
        <v>0</v>
      </c>
      <c r="Y58">
        <v>7</v>
      </c>
      <c r="AB58" t="s">
        <v>273</v>
      </c>
      <c r="AC58" s="3">
        <v>60.88</v>
      </c>
      <c r="AF58" s="3"/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3"/>
        <v>1</v>
      </c>
      <c r="O59">
        <f t="shared" si="4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0"/>
        <v>4.4800000000000004</v>
      </c>
      <c r="T59">
        <f t="shared" si="9"/>
        <v>5.4790000000000001</v>
      </c>
      <c r="U59" t="s">
        <v>284</v>
      </c>
      <c r="V59">
        <f t="shared" si="1"/>
        <v>4.4800000000000004</v>
      </c>
      <c r="W59" t="str">
        <f t="shared" si="2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/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3"/>
        <v>1</v>
      </c>
      <c r="O60">
        <f t="shared" si="4"/>
        <v>8</v>
      </c>
      <c r="P60">
        <f t="shared" si="5"/>
        <v>8</v>
      </c>
      <c r="Q60">
        <f t="shared" si="6"/>
        <v>8</v>
      </c>
      <c r="R60">
        <f t="shared" si="7"/>
        <v>10</v>
      </c>
      <c r="S60">
        <f t="shared" si="0"/>
        <v>119.52</v>
      </c>
      <c r="T60">
        <f t="shared" si="9"/>
        <v>161.34</v>
      </c>
      <c r="U60" t="s">
        <v>284</v>
      </c>
      <c r="V60">
        <f t="shared" si="1"/>
        <v>119.52</v>
      </c>
      <c r="W60" t="str">
        <f t="shared" si="2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/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3"/>
        <v>1</v>
      </c>
      <c r="O61">
        <f t="shared" si="4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0"/>
        <v>20.32</v>
      </c>
      <c r="T61" s="8">
        <f t="shared" si="9"/>
        <v>7.0299999999999994</v>
      </c>
      <c r="U61" t="s">
        <v>318</v>
      </c>
      <c r="V61" s="8">
        <f t="shared" si="1"/>
        <v>7.0299999999999994</v>
      </c>
      <c r="W61" s="8" t="str">
        <f t="shared" si="2"/>
        <v>JLC</v>
      </c>
      <c r="X61" s="8">
        <v>1</v>
      </c>
      <c r="AB61" t="s">
        <v>276</v>
      </c>
      <c r="AC61" s="3">
        <v>17.5</v>
      </c>
      <c r="AF61" s="10"/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3"/>
        <v>1</v>
      </c>
      <c r="O62">
        <f t="shared" si="4"/>
        <v>8</v>
      </c>
      <c r="P62">
        <f t="shared" si="5"/>
        <v>8</v>
      </c>
      <c r="Q62">
        <f t="shared" si="6"/>
        <v>8</v>
      </c>
      <c r="R62">
        <f t="shared" si="7"/>
        <v>10</v>
      </c>
      <c r="S62">
        <f t="shared" si="0"/>
        <v>38.56</v>
      </c>
      <c r="T62" t="str">
        <f t="shared" si="9"/>
        <v>EMPTY</v>
      </c>
      <c r="U62" t="s">
        <v>284</v>
      </c>
      <c r="V62">
        <f t="shared" si="1"/>
        <v>38.56</v>
      </c>
      <c r="W62" t="str">
        <f t="shared" si="2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3"/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3"/>
        <v>1</v>
      </c>
      <c r="O63">
        <f t="shared" si="4"/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0"/>
        <v>32.24</v>
      </c>
      <c r="T63">
        <f t="shared" si="9"/>
        <v>16.581</v>
      </c>
      <c r="U63" t="s">
        <v>318</v>
      </c>
      <c r="V63">
        <f t="shared" si="1"/>
        <v>16.581</v>
      </c>
      <c r="W63" t="str">
        <f t="shared" si="2"/>
        <v>JLC</v>
      </c>
      <c r="X63">
        <v>0</v>
      </c>
      <c r="AC63" s="3"/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3"/>
        <v>2</v>
      </c>
      <c r="O64">
        <f t="shared" si="4"/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0"/>
        <v>4.5919999999999996</v>
      </c>
      <c r="T64">
        <f t="shared" si="9"/>
        <v>6.2759999999999998</v>
      </c>
      <c r="U64" t="s">
        <v>284</v>
      </c>
      <c r="V64">
        <f t="shared" si="1"/>
        <v>4.5919999999999996</v>
      </c>
      <c r="W64" t="str">
        <f t="shared" si="2"/>
        <v>DIGIKEY</v>
      </c>
      <c r="X64">
        <v>2</v>
      </c>
      <c r="Y64">
        <v>20</v>
      </c>
      <c r="AC64" s="3">
        <f>AC62+Z70</f>
        <v>1080.05744</v>
      </c>
      <c r="AF64" s="3"/>
    </row>
    <row r="65" spans="1:29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3"/>
        <v>1</v>
      </c>
      <c r="O65">
        <f t="shared" si="4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0"/>
        <v>6.8</v>
      </c>
      <c r="T65" s="8">
        <f t="shared" si="9"/>
        <v>11.656000000000001</v>
      </c>
      <c r="U65" t="s">
        <v>284</v>
      </c>
      <c r="V65" s="8">
        <f t="shared" si="1"/>
        <v>6.8</v>
      </c>
      <c r="W65" s="8" t="str">
        <f t="shared" si="2"/>
        <v>DIGIKEY</v>
      </c>
      <c r="X65" s="8">
        <v>1</v>
      </c>
      <c r="Y65" s="8">
        <v>10</v>
      </c>
      <c r="AB65" t="s">
        <v>277</v>
      </c>
      <c r="AC65" s="3">
        <f>AC64/10</f>
        <v>108.00574400000001</v>
      </c>
    </row>
    <row r="66" spans="1:29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si="3"/>
        <v>1</v>
      </c>
      <c r="O66">
        <f t="shared" si="4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0">IF(O66&gt;=10,H66*O66,G66*O66)</f>
        <v>6.88</v>
      </c>
      <c r="T66">
        <f t="shared" si="9"/>
        <v>6.319</v>
      </c>
      <c r="U66" t="s">
        <v>284</v>
      </c>
      <c r="V66">
        <f t="shared" ref="V66:V67" si="11">IF(T66="EMPTY",S66,IF(J66="Bottom",S66,IF(U66="DIGIKEY",S66,IF(U66="JLC",T66,IF(T66&lt;S66+0.2,T66,S66)))))</f>
        <v>6.88</v>
      </c>
      <c r="W66" t="str">
        <f t="shared" ref="W66:W98" si="12">IF(T66="EMPTY","DIGIKEY",IF(J66="Bottom","DIGIKEY",IF(U66="DIGIKEY",U66,IF(U66="JLC",U66,IF(T66&lt;S66+0.2,"JLC","DIGIKEY")))))</f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29" x14ac:dyDescent="0.3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ref="M67:M68" si="13">L67-K67</f>
        <v>3</v>
      </c>
      <c r="O67">
        <f t="shared" ref="O67" si="14">IF(M67*8*G67&lt;M67*10*H67,M67*8,M67*10)</f>
        <v>24</v>
      </c>
      <c r="P67">
        <f t="shared" ref="P67" si="15">IF(W67="DIGIKEY",O67,0)</f>
        <v>24</v>
      </c>
      <c r="Q67">
        <f t="shared" ref="Q67" si="16">M67*8</f>
        <v>24</v>
      </c>
      <c r="R67">
        <f t="shared" ref="R67" si="17">M67*10</f>
        <v>30</v>
      </c>
      <c r="S67">
        <f t="shared" si="10"/>
        <v>10.8</v>
      </c>
      <c r="T67">
        <f t="shared" si="9"/>
        <v>13.399999999999999</v>
      </c>
      <c r="U67" t="s">
        <v>284</v>
      </c>
      <c r="V67">
        <f t="shared" si="11"/>
        <v>10.8</v>
      </c>
      <c r="W67" t="str">
        <f t="shared" si="12"/>
        <v>DIGIKEY</v>
      </c>
      <c r="X67">
        <v>3</v>
      </c>
      <c r="Y67">
        <v>30</v>
      </c>
    </row>
    <row r="69" spans="1:29" x14ac:dyDescent="0.3">
      <c r="W69">
        <f>COUNTIF(W2:W66,"JLC")</f>
        <v>30</v>
      </c>
      <c r="Z69">
        <f>SUMIF(W2:W66,"DIGIKEY",Q2:Q66)</f>
        <v>304</v>
      </c>
    </row>
    <row r="70" spans="1:29" x14ac:dyDescent="0.3">
      <c r="T70" t="s">
        <v>265</v>
      </c>
      <c r="V70">
        <f>SUM(V2:V67)</f>
        <v>740.69099999999992</v>
      </c>
      <c r="W70" s="7">
        <f>SUMIF(W2:W67,"JLC",V2:V67)*1.28</f>
        <v>106.99392000000002</v>
      </c>
      <c r="X70" s="7"/>
      <c r="Y70" s="7"/>
      <c r="Z70">
        <f>SUMIF(W2:W67,"DIGIKEY",V2:V67)*1.12</f>
        <v>735.95424000000014</v>
      </c>
    </row>
    <row r="71" spans="1:29" x14ac:dyDescent="0.3">
      <c r="T71" t="s">
        <v>266</v>
      </c>
      <c r="W71" t="s">
        <v>318</v>
      </c>
      <c r="Z71" t="s">
        <v>325</v>
      </c>
    </row>
    <row r="73" spans="1:29" x14ac:dyDescent="0.3">
      <c r="W73" t="s">
        <v>327</v>
      </c>
    </row>
    <row r="74" spans="1:29" x14ac:dyDescent="0.3">
      <c r="V74">
        <f>V60+V56+V31++V4</f>
        <v>446.32</v>
      </c>
      <c r="Z74" t="s">
        <v>320</v>
      </c>
    </row>
    <row r="75" spans="1:29" x14ac:dyDescent="0.3">
      <c r="Z75">
        <f>Z69/8</f>
        <v>38</v>
      </c>
    </row>
  </sheetData>
  <conditionalFormatting sqref="S2:T67">
    <cfRule type="expression" dxfId="2" priority="3">
      <formula>AND(T2-S2&lt;3,T2&gt;S2)</formula>
    </cfRule>
  </conditionalFormatting>
  <conditionalFormatting sqref="Z1 V1:Y67 A1:T67">
    <cfRule type="expression" dxfId="1" priority="2">
      <formula>AND($W1="DIGIKEY",$V1&gt;0,$X1&gt;0)</formula>
    </cfRule>
  </conditionalFormatting>
  <conditionalFormatting sqref="U1:U67">
    <cfRule type="expression" dxfId="0" priority="1">
      <formula>AND($W1="DIGIKEY",$V1&gt;0,$X1&gt;0)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POWER_BOARD</vt:lpstr>
      <vt:lpstr>POWER_BOARD (TDP COST)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2024-02-04T00:47:57Z</dcterms:modified>
</cp:coreProperties>
</file>