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IntRepo\Code\docker\src\tuner\profile\database\"/>
    </mc:Choice>
  </mc:AlternateContent>
  <xr:revisionPtr revIDLastSave="0" documentId="13_ncr:1_{89E5936A-37D1-43B7-ACDD-F73CB8D12045}" xr6:coauthVersionLast="47" xr6:coauthVersionMax="47" xr10:uidLastSave="{00000000-0000-0000-0000-000000000000}"/>
  <bookViews>
    <workbookView xWindow="-108" yWindow="-108" windowWidth="23256" windowHeight="12576" activeTab="1" xr2:uid="{CA7DA4E5-FCBF-43A1-8356-2D79851D4CF9}"/>
  </bookViews>
  <sheets>
    <sheet name="MSSQLTips (1st)" sheetId="15" r:id="rId1"/>
    <sheet name="MSSQLTips (2nd)" sheetId="16" r:id="rId2"/>
    <sheet name="MSSQLTips (3rd)" sheetId="17" r:id="rId3"/>
    <sheet name="AWS" sheetId="2" r:id="rId4"/>
    <sheet name="PGPro (1st)" sheetId="4" r:id="rId5"/>
    <sheet name="PGPro (2nd)" sheetId="3" r:id="rId6"/>
    <sheet name="PGPro (3rd)" sheetId="6" r:id="rId7"/>
    <sheet name="PGPro (4th)" sheetId="7" r:id="rId8"/>
    <sheet name="PGPro (5th)" sheetId="8" r:id="rId9"/>
    <sheet name="PGPro (6th)" sheetId="9" r:id="rId10"/>
    <sheet name="PGPro (7th)" sheetId="10" r:id="rId11"/>
    <sheet name="PGPro (8th)" sheetId="12" r:id="rId12"/>
    <sheet name="PGPro (9th)" sheetId="13" r:id="rId13"/>
    <sheet name="PGPro (10th)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7" l="1"/>
  <c r="D17" i="17"/>
  <c r="C17" i="17"/>
  <c r="I13" i="17"/>
  <c r="C13" i="17"/>
  <c r="J12" i="17"/>
  <c r="G12" i="17"/>
  <c r="H12" i="17" s="1"/>
  <c r="D18" i="17" s="1"/>
  <c r="F12" i="17"/>
  <c r="E12" i="17"/>
  <c r="D12" i="17"/>
  <c r="L11" i="17"/>
  <c r="J11" i="17"/>
  <c r="K11" i="17" s="1"/>
  <c r="G11" i="17"/>
  <c r="H11" i="17" s="1"/>
  <c r="C18" i="17" s="1"/>
  <c r="F11" i="17"/>
  <c r="E11" i="17"/>
  <c r="D11" i="17"/>
  <c r="J10" i="17"/>
  <c r="G10" i="17"/>
  <c r="H10" i="17" s="1"/>
  <c r="F10" i="17"/>
  <c r="E10" i="17"/>
  <c r="D10" i="17"/>
  <c r="E17" i="16"/>
  <c r="D17" i="16"/>
  <c r="C17" i="16"/>
  <c r="I13" i="16"/>
  <c r="C13" i="16"/>
  <c r="J12" i="16"/>
  <c r="G12" i="16"/>
  <c r="H12" i="16" s="1"/>
  <c r="D18" i="16" s="1"/>
  <c r="F12" i="16"/>
  <c r="E12" i="16"/>
  <c r="D12" i="16"/>
  <c r="J11" i="16"/>
  <c r="G11" i="16"/>
  <c r="H11" i="16" s="1"/>
  <c r="F11" i="16"/>
  <c r="E11" i="16"/>
  <c r="D11" i="16"/>
  <c r="J10" i="16"/>
  <c r="G10" i="16"/>
  <c r="F10" i="16"/>
  <c r="E10" i="16"/>
  <c r="D10" i="16"/>
  <c r="E17" i="15"/>
  <c r="D17" i="15"/>
  <c r="C17" i="15"/>
  <c r="I13" i="15"/>
  <c r="C13" i="15"/>
  <c r="J12" i="15"/>
  <c r="G12" i="15"/>
  <c r="H12" i="15" s="1"/>
  <c r="D18" i="15" s="1"/>
  <c r="F12" i="15"/>
  <c r="E12" i="15"/>
  <c r="D12" i="15"/>
  <c r="J11" i="15"/>
  <c r="L12" i="15" s="1"/>
  <c r="G11" i="15"/>
  <c r="H11" i="15" s="1"/>
  <c r="C18" i="15" s="1"/>
  <c r="F11" i="15"/>
  <c r="E11" i="15"/>
  <c r="D11" i="15"/>
  <c r="J10" i="15"/>
  <c r="G10" i="15"/>
  <c r="G13" i="15" s="1"/>
  <c r="F10" i="15"/>
  <c r="E10" i="15"/>
  <c r="D10" i="15"/>
  <c r="E17" i="14"/>
  <c r="D17" i="14"/>
  <c r="C17" i="14"/>
  <c r="I13" i="14"/>
  <c r="C13" i="14"/>
  <c r="J12" i="14"/>
  <c r="G12" i="14"/>
  <c r="H12" i="14" s="1"/>
  <c r="D18" i="14" s="1"/>
  <c r="F12" i="14"/>
  <c r="E12" i="14"/>
  <c r="D12" i="14"/>
  <c r="J11" i="14"/>
  <c r="G11" i="14"/>
  <c r="H11" i="14" s="1"/>
  <c r="C18" i="14" s="1"/>
  <c r="F11" i="14"/>
  <c r="E11" i="14"/>
  <c r="D11" i="14"/>
  <c r="J10" i="14"/>
  <c r="K10" i="14" s="1"/>
  <c r="G10" i="14"/>
  <c r="H10" i="14" s="1"/>
  <c r="F10" i="14"/>
  <c r="E10" i="14"/>
  <c r="D10" i="14"/>
  <c r="E17" i="13"/>
  <c r="D17" i="13"/>
  <c r="C17" i="13"/>
  <c r="P14" i="13"/>
  <c r="T14" i="13" s="1"/>
  <c r="R13" i="13"/>
  <c r="I13" i="13"/>
  <c r="C13" i="13"/>
  <c r="J12" i="13"/>
  <c r="G12" i="13"/>
  <c r="H12" i="13" s="1"/>
  <c r="D18" i="13" s="1"/>
  <c r="F12" i="13"/>
  <c r="E12" i="13"/>
  <c r="D12" i="13"/>
  <c r="Q11" i="13"/>
  <c r="Q13" i="13" s="1"/>
  <c r="J11" i="13"/>
  <c r="L10" i="13" s="1"/>
  <c r="G11" i="13"/>
  <c r="H11" i="13" s="1"/>
  <c r="C18" i="13" s="1"/>
  <c r="F11" i="13"/>
  <c r="E11" i="13"/>
  <c r="D11" i="13"/>
  <c r="V10" i="13"/>
  <c r="U10" i="13"/>
  <c r="T10" i="13"/>
  <c r="R10" i="13"/>
  <c r="J10" i="13"/>
  <c r="G10" i="13"/>
  <c r="H10" i="13" s="1"/>
  <c r="F10" i="13"/>
  <c r="F13" i="13" s="1"/>
  <c r="E10" i="13"/>
  <c r="D10" i="13"/>
  <c r="V9" i="13"/>
  <c r="U9" i="13"/>
  <c r="T9" i="13"/>
  <c r="R9" i="13"/>
  <c r="R11" i="13" s="1"/>
  <c r="V8" i="13"/>
  <c r="U8" i="13"/>
  <c r="T8" i="13"/>
  <c r="T11" i="13" s="1"/>
  <c r="R8" i="13"/>
  <c r="E17" i="12"/>
  <c r="D17" i="12"/>
  <c r="C17" i="12"/>
  <c r="I13" i="12"/>
  <c r="C13" i="12"/>
  <c r="J12" i="12"/>
  <c r="G12" i="12"/>
  <c r="H12" i="12" s="1"/>
  <c r="D18" i="12" s="1"/>
  <c r="F12" i="12"/>
  <c r="E12" i="12"/>
  <c r="D12" i="12"/>
  <c r="J11" i="12"/>
  <c r="G11" i="12"/>
  <c r="H11" i="12" s="1"/>
  <c r="C18" i="12" s="1"/>
  <c r="F11" i="12"/>
  <c r="E11" i="12"/>
  <c r="D11" i="12"/>
  <c r="J10" i="12"/>
  <c r="G10" i="12"/>
  <c r="H10" i="12" s="1"/>
  <c r="F10" i="12"/>
  <c r="E10" i="12"/>
  <c r="D10" i="12"/>
  <c r="E17" i="10"/>
  <c r="D17" i="10"/>
  <c r="C17" i="10"/>
  <c r="I13" i="10"/>
  <c r="C13" i="10"/>
  <c r="J12" i="10"/>
  <c r="G12" i="10"/>
  <c r="H12" i="10" s="1"/>
  <c r="D18" i="10" s="1"/>
  <c r="F12" i="10"/>
  <c r="E12" i="10"/>
  <c r="D12" i="10"/>
  <c r="J11" i="10"/>
  <c r="L10" i="10" s="1"/>
  <c r="G11" i="10"/>
  <c r="H11" i="10" s="1"/>
  <c r="C18" i="10" s="1"/>
  <c r="F11" i="10"/>
  <c r="E11" i="10"/>
  <c r="D11" i="10"/>
  <c r="J10" i="10"/>
  <c r="G10" i="10"/>
  <c r="H10" i="10" s="1"/>
  <c r="F10" i="10"/>
  <c r="E10" i="10"/>
  <c r="D10" i="10"/>
  <c r="E17" i="9"/>
  <c r="D17" i="9"/>
  <c r="C17" i="9"/>
  <c r="I13" i="9"/>
  <c r="C13" i="9"/>
  <c r="J12" i="9"/>
  <c r="G12" i="9"/>
  <c r="H12" i="9" s="1"/>
  <c r="D18" i="9" s="1"/>
  <c r="F12" i="9"/>
  <c r="E12" i="9"/>
  <c r="D12" i="9"/>
  <c r="J11" i="9"/>
  <c r="G11" i="9"/>
  <c r="H11" i="9" s="1"/>
  <c r="C18" i="9" s="1"/>
  <c r="F11" i="9"/>
  <c r="E11" i="9"/>
  <c r="D11" i="9"/>
  <c r="J10" i="9"/>
  <c r="G10" i="9"/>
  <c r="H10" i="9" s="1"/>
  <c r="F10" i="9"/>
  <c r="E10" i="9"/>
  <c r="D10" i="9"/>
  <c r="E17" i="8"/>
  <c r="D17" i="8"/>
  <c r="C17" i="8"/>
  <c r="I13" i="8"/>
  <c r="C13" i="8"/>
  <c r="J12" i="8"/>
  <c r="G12" i="8"/>
  <c r="H12" i="8" s="1"/>
  <c r="D18" i="8" s="1"/>
  <c r="F12" i="8"/>
  <c r="E12" i="8"/>
  <c r="D12" i="8"/>
  <c r="J11" i="8"/>
  <c r="G11" i="8"/>
  <c r="H11" i="8" s="1"/>
  <c r="C18" i="8" s="1"/>
  <c r="F11" i="8"/>
  <c r="E11" i="8"/>
  <c r="D11" i="8"/>
  <c r="J10" i="8"/>
  <c r="K10" i="8" s="1"/>
  <c r="G10" i="8"/>
  <c r="H10" i="8" s="1"/>
  <c r="F10" i="8"/>
  <c r="E10" i="8"/>
  <c r="D10" i="8"/>
  <c r="E17" i="7"/>
  <c r="D17" i="7"/>
  <c r="C17" i="7"/>
  <c r="I13" i="7"/>
  <c r="C13" i="7"/>
  <c r="J12" i="7"/>
  <c r="G12" i="7"/>
  <c r="H12" i="7" s="1"/>
  <c r="D18" i="7" s="1"/>
  <c r="F12" i="7"/>
  <c r="E12" i="7"/>
  <c r="D12" i="7"/>
  <c r="J11" i="7"/>
  <c r="G11" i="7"/>
  <c r="H11" i="7" s="1"/>
  <c r="C18" i="7" s="1"/>
  <c r="F11" i="7"/>
  <c r="E11" i="7"/>
  <c r="D11" i="7"/>
  <c r="J10" i="7"/>
  <c r="G10" i="7"/>
  <c r="F10" i="7"/>
  <c r="E10" i="7"/>
  <c r="D10" i="7"/>
  <c r="E17" i="6"/>
  <c r="D17" i="6"/>
  <c r="C17" i="6"/>
  <c r="I13" i="6"/>
  <c r="C13" i="6"/>
  <c r="J12" i="6"/>
  <c r="G12" i="6"/>
  <c r="H12" i="6" s="1"/>
  <c r="D18" i="6" s="1"/>
  <c r="F12" i="6"/>
  <c r="E12" i="6"/>
  <c r="D12" i="6"/>
  <c r="J11" i="6"/>
  <c r="G11" i="6"/>
  <c r="H11" i="6" s="1"/>
  <c r="C18" i="6" s="1"/>
  <c r="F11" i="6"/>
  <c r="E11" i="6"/>
  <c r="D11" i="6"/>
  <c r="J10" i="6"/>
  <c r="G10" i="6"/>
  <c r="H10" i="6" s="1"/>
  <c r="F10" i="6"/>
  <c r="E10" i="6"/>
  <c r="D10" i="6"/>
  <c r="E17" i="4"/>
  <c r="D17" i="4"/>
  <c r="C17" i="4"/>
  <c r="I13" i="4"/>
  <c r="C13" i="4"/>
  <c r="J12" i="4"/>
  <c r="G12" i="4"/>
  <c r="H12" i="4" s="1"/>
  <c r="F12" i="4"/>
  <c r="E12" i="4"/>
  <c r="D12" i="4"/>
  <c r="J11" i="4"/>
  <c r="K11" i="4" s="1"/>
  <c r="G11" i="4"/>
  <c r="H11" i="4" s="1"/>
  <c r="C18" i="4" s="1"/>
  <c r="F11" i="4"/>
  <c r="E11" i="4"/>
  <c r="D11" i="4"/>
  <c r="J10" i="4"/>
  <c r="G10" i="4"/>
  <c r="H10" i="4" s="1"/>
  <c r="F10" i="4"/>
  <c r="E10" i="4"/>
  <c r="D10" i="4"/>
  <c r="E17" i="3"/>
  <c r="D17" i="3"/>
  <c r="C17" i="3"/>
  <c r="I13" i="3"/>
  <c r="C13" i="3"/>
  <c r="J12" i="3"/>
  <c r="G12" i="3"/>
  <c r="H12" i="3" s="1"/>
  <c r="D18" i="3" s="1"/>
  <c r="F12" i="3"/>
  <c r="E12" i="3"/>
  <c r="D12" i="3"/>
  <c r="J11" i="3"/>
  <c r="G11" i="3"/>
  <c r="H11" i="3" s="1"/>
  <c r="C18" i="3" s="1"/>
  <c r="F11" i="3"/>
  <c r="E11" i="3"/>
  <c r="D11" i="3"/>
  <c r="J10" i="3"/>
  <c r="G10" i="3"/>
  <c r="F10" i="3"/>
  <c r="E10" i="3"/>
  <c r="D10" i="3"/>
  <c r="F11" i="2"/>
  <c r="F13" i="2" s="1"/>
  <c r="F12" i="2"/>
  <c r="F10" i="2"/>
  <c r="E17" i="2"/>
  <c r="D17" i="2"/>
  <c r="C17" i="2"/>
  <c r="E11" i="2"/>
  <c r="E12" i="2"/>
  <c r="E10" i="2"/>
  <c r="D11" i="2"/>
  <c r="D12" i="2"/>
  <c r="D10" i="2"/>
  <c r="J11" i="2"/>
  <c r="J12" i="2"/>
  <c r="J10" i="2"/>
  <c r="L10" i="2" s="1"/>
  <c r="I13" i="2"/>
  <c r="G11" i="2"/>
  <c r="G12" i="2"/>
  <c r="H12" i="2" s="1"/>
  <c r="D18" i="2" s="1"/>
  <c r="G10" i="2"/>
  <c r="H10" i="2" s="1"/>
  <c r="C13" i="2"/>
  <c r="C5" i="2"/>
  <c r="L12" i="17" l="1"/>
  <c r="D13" i="17"/>
  <c r="E13" i="17"/>
  <c r="F13" i="17"/>
  <c r="H13" i="17"/>
  <c r="K10" i="17"/>
  <c r="J13" i="17"/>
  <c r="J14" i="17" s="1"/>
  <c r="G13" i="17"/>
  <c r="L10" i="17"/>
  <c r="K12" i="17"/>
  <c r="G13" i="16"/>
  <c r="K12" i="16"/>
  <c r="J13" i="16"/>
  <c r="J14" i="16" s="1"/>
  <c r="L11" i="16"/>
  <c r="D13" i="16"/>
  <c r="E13" i="16"/>
  <c r="H10" i="16"/>
  <c r="H13" i="16" s="1"/>
  <c r="F13" i="16"/>
  <c r="C18" i="16"/>
  <c r="L12" i="16"/>
  <c r="K10" i="16"/>
  <c r="L10" i="16"/>
  <c r="K11" i="16"/>
  <c r="K12" i="15"/>
  <c r="L11" i="15"/>
  <c r="D13" i="15"/>
  <c r="E13" i="15"/>
  <c r="F13" i="15"/>
  <c r="K11" i="15"/>
  <c r="H10" i="15"/>
  <c r="H13" i="15" s="1"/>
  <c r="K10" i="15"/>
  <c r="L10" i="15"/>
  <c r="J13" i="15"/>
  <c r="J14" i="15" s="1"/>
  <c r="L11" i="14"/>
  <c r="L10" i="12"/>
  <c r="L12" i="9"/>
  <c r="L12" i="7"/>
  <c r="J13" i="6"/>
  <c r="J14" i="6" s="1"/>
  <c r="K11" i="6"/>
  <c r="D13" i="4"/>
  <c r="E13" i="4"/>
  <c r="J13" i="4"/>
  <c r="J14" i="4" s="1"/>
  <c r="G13" i="2"/>
  <c r="L11" i="2"/>
  <c r="H13" i="14"/>
  <c r="L10" i="14"/>
  <c r="L12" i="14"/>
  <c r="F13" i="14"/>
  <c r="D13" i="14"/>
  <c r="E13" i="14"/>
  <c r="J13" i="14"/>
  <c r="J14" i="14" s="1"/>
  <c r="K11" i="14"/>
  <c r="L13" i="14"/>
  <c r="K12" i="14"/>
  <c r="G13" i="14"/>
  <c r="L11" i="13"/>
  <c r="L12" i="13"/>
  <c r="L13" i="13" s="1"/>
  <c r="K10" i="13"/>
  <c r="K12" i="13"/>
  <c r="J13" i="13"/>
  <c r="J14" i="13" s="1"/>
  <c r="D13" i="13"/>
  <c r="E13" i="13"/>
  <c r="K11" i="13"/>
  <c r="H13" i="13"/>
  <c r="T15" i="13"/>
  <c r="T13" i="13"/>
  <c r="G13" i="13"/>
  <c r="F13" i="12"/>
  <c r="H13" i="12"/>
  <c r="L12" i="12"/>
  <c r="J13" i="12"/>
  <c r="J14" i="12" s="1"/>
  <c r="E13" i="12"/>
  <c r="D13" i="12"/>
  <c r="K11" i="12"/>
  <c r="K10" i="12"/>
  <c r="L11" i="12"/>
  <c r="L13" i="12" s="1"/>
  <c r="K12" i="12"/>
  <c r="G13" i="12"/>
  <c r="F13" i="10"/>
  <c r="G13" i="10"/>
  <c r="L12" i="10"/>
  <c r="L11" i="10"/>
  <c r="L13" i="10" s="1"/>
  <c r="K12" i="10"/>
  <c r="K11" i="10"/>
  <c r="J13" i="10"/>
  <c r="J14" i="10" s="1"/>
  <c r="D13" i="10"/>
  <c r="E13" i="10"/>
  <c r="K10" i="10"/>
  <c r="H13" i="10"/>
  <c r="K13" i="10"/>
  <c r="F13" i="9"/>
  <c r="G13" i="9"/>
  <c r="L10" i="9"/>
  <c r="K12" i="9"/>
  <c r="L11" i="9"/>
  <c r="D13" i="9"/>
  <c r="E13" i="9"/>
  <c r="K11" i="9"/>
  <c r="J13" i="9"/>
  <c r="J14" i="9" s="1"/>
  <c r="K10" i="9"/>
  <c r="H13" i="9"/>
  <c r="F13" i="8"/>
  <c r="H13" i="8"/>
  <c r="G13" i="8"/>
  <c r="L11" i="8"/>
  <c r="E13" i="8"/>
  <c r="K11" i="8"/>
  <c r="J13" i="8"/>
  <c r="J14" i="8" s="1"/>
  <c r="D13" i="8"/>
  <c r="K12" i="8"/>
  <c r="L12" i="8"/>
  <c r="L10" i="8"/>
  <c r="G13" i="7"/>
  <c r="K11" i="7"/>
  <c r="K10" i="7"/>
  <c r="L10" i="7"/>
  <c r="F13" i="7"/>
  <c r="L11" i="7"/>
  <c r="K12" i="7"/>
  <c r="D13" i="7"/>
  <c r="E13" i="7"/>
  <c r="J13" i="7"/>
  <c r="J14" i="7" s="1"/>
  <c r="H10" i="7"/>
  <c r="H13" i="7" s="1"/>
  <c r="F13" i="6"/>
  <c r="K10" i="6"/>
  <c r="G13" i="6"/>
  <c r="L11" i="6"/>
  <c r="D13" i="6"/>
  <c r="E13" i="6"/>
  <c r="H13" i="6"/>
  <c r="K12" i="6"/>
  <c r="L12" i="6"/>
  <c r="L10" i="6"/>
  <c r="F13" i="4"/>
  <c r="D18" i="4"/>
  <c r="H13" i="4"/>
  <c r="L12" i="4"/>
  <c r="L10" i="4"/>
  <c r="L11" i="4"/>
  <c r="K12" i="4"/>
  <c r="K10" i="4"/>
  <c r="G13" i="4"/>
  <c r="K11" i="3"/>
  <c r="G13" i="3"/>
  <c r="E13" i="3"/>
  <c r="L12" i="3"/>
  <c r="L11" i="3"/>
  <c r="J13" i="3"/>
  <c r="J14" i="3" s="1"/>
  <c r="K10" i="3"/>
  <c r="D13" i="3"/>
  <c r="F13" i="3"/>
  <c r="H10" i="3"/>
  <c r="H13" i="3" s="1"/>
  <c r="K12" i="3"/>
  <c r="L10" i="3"/>
  <c r="L12" i="2"/>
  <c r="L13" i="2" s="1"/>
  <c r="K11" i="2"/>
  <c r="E13" i="2"/>
  <c r="K10" i="2"/>
  <c r="K13" i="2" s="1"/>
  <c r="D13" i="2"/>
  <c r="H11" i="2"/>
  <c r="C18" i="2" s="1"/>
  <c r="K12" i="2"/>
  <c r="J13" i="2"/>
  <c r="J14" i="2" s="1"/>
  <c r="L13" i="17" l="1"/>
  <c r="K13" i="17"/>
  <c r="L13" i="16"/>
  <c r="K13" i="16"/>
  <c r="L13" i="15"/>
  <c r="K13" i="15"/>
  <c r="L13" i="9"/>
  <c r="K13" i="7"/>
  <c r="H13" i="2"/>
  <c r="K13" i="14"/>
  <c r="K13" i="13"/>
  <c r="K13" i="12"/>
  <c r="K13" i="9"/>
  <c r="L13" i="8"/>
  <c r="K13" i="8"/>
  <c r="L13" i="7"/>
  <c r="K13" i="6"/>
  <c r="L13" i="6"/>
  <c r="K13" i="4"/>
  <c r="L13" i="4"/>
  <c r="L13" i="3"/>
  <c r="K13" i="3"/>
</calcChain>
</file>

<file path=xl/sharedStrings.xml><?xml version="1.0" encoding="utf-8"?>
<sst xmlns="http://schemas.openxmlformats.org/spreadsheetml/2006/main" count="416" uniqueCount="47">
  <si>
    <t>Hits</t>
  </si>
  <si>
    <t>Miss</t>
  </si>
  <si>
    <t>Dirty</t>
  </si>
  <si>
    <t>Cost</t>
  </si>
  <si>
    <t>Elapsed Time</t>
  </si>
  <si>
    <t>Number of Pages</t>
  </si>
  <si>
    <t>A Case Study of Tuning Autovacuum in Amazon RDS for PostgreSQL | AWS Database Blog</t>
  </si>
  <si>
    <t>Data (MiB)</t>
  </si>
  <si>
    <t>Total</t>
  </si>
  <si>
    <t>Speed</t>
  </si>
  <si>
    <t>Scale</t>
  </si>
  <si>
    <t>10ms</t>
  </si>
  <si>
    <t>20ms</t>
  </si>
  <si>
    <t>8 ; 4800</t>
  </si>
  <si>
    <t>Ratio per Minimum</t>
  </si>
  <si>
    <t>Ratio per Total</t>
  </si>
  <si>
    <t>Cost per Second</t>
  </si>
  <si>
    <t>Estimated Time</t>
  </si>
  <si>
    <t>2655076 hits, 3506964 misses, 3333423 dirtied</t>
  </si>
  <si>
    <t>Specification</t>
  </si>
  <si>
    <t>Cost Limit</t>
  </si>
  <si>
    <t>Max Workers</t>
  </si>
  <si>
    <t>Delay (ms)</t>
  </si>
  <si>
    <t>Page Status</t>
  </si>
  <si>
    <t>Throughput (MiB/s)</t>
  </si>
  <si>
    <t>Cost per Minimum</t>
  </si>
  <si>
    <t>Cost per Total</t>
  </si>
  <si>
    <t>CPU/System</t>
  </si>
  <si>
    <t>Report Description</t>
  </si>
  <si>
    <t>Page Ratio</t>
  </si>
  <si>
    <t>Page Ratio per Total</t>
  </si>
  <si>
    <t>Buffer Usage</t>
  </si>
  <si>
    <t>Page per Second</t>
  </si>
  <si>
    <t>Thread: autovacuum big table taking hours and sometimes seconds : Postgres Professional</t>
  </si>
  <si>
    <t>First Vacuum</t>
  </si>
  <si>
    <t>Second Vacuum</t>
  </si>
  <si>
    <t>Third Vacuum</t>
  </si>
  <si>
    <t>Cost Limit per Worker/Table</t>
  </si>
  <si>
    <t>Fourth Vacuum</t>
  </si>
  <si>
    <t>Frequent Vacuum</t>
  </si>
  <si>
    <t>Fifth Vacuum</t>
  </si>
  <si>
    <t>Sixth Vacuum</t>
  </si>
  <si>
    <t>Seventh Vacuum</t>
  </si>
  <si>
    <t>8th Vacuum</t>
  </si>
  <si>
    <t>9th Vacuum</t>
  </si>
  <si>
    <t>10th Vacuum</t>
  </si>
  <si>
    <t>PostgreSQL VACUUM, AUTOVACUUM and ANALYZE Processes - MSSQLTips.com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</si>
</sst>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" fillId="0" borderId="0" xfId="1" applyAlignment="1">
      <alignment vertical="center"/>
    </xf>
    <xf numFmtId="17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ssqltips.com/sqlservertip/8150/postgresql-vacuum-autovacuum-analyze-processe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grespro.com/list/thread-id/242528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grespro.com/list/thread-id/2425287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grespro.com/list/thread-id/24252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grespro.com/list/thread-id/2425287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grespro.com/list/thread-id/24252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ssqltips.com/sqlservertip/8150/postgresql-vacuum-autovacuum-analyze-processe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ssqltips.com/sqlservertip/8150/postgresql-vacuum-autovacuum-analyze-process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blogs/database/a-case-study-of-tuning-autovacuum-in-amazon-rds-for-postgresq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grespro.com/list/thread-id/242528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grespro.com/list/thread-id/242528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grespro.com/list/thread-id/242528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grespro.com/list/thread-id/242528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grespro.com/list/thread-id/24252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0C64-A56C-489B-A32E-F5A9506135F5}">
  <dimension ref="A1:L19"/>
  <sheetViews>
    <sheetView workbookViewId="0">
      <selection activeCell="D15" sqref="D15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2" x14ac:dyDescent="0.3">
      <c r="A1" s="1" t="s">
        <v>46</v>
      </c>
    </row>
    <row r="2" spans="1:12" x14ac:dyDescent="0.3">
      <c r="B2" s="4" t="s">
        <v>19</v>
      </c>
      <c r="C2" s="4"/>
      <c r="D2" s="4" t="s">
        <v>34</v>
      </c>
      <c r="E2" s="4"/>
      <c r="F2" s="4"/>
      <c r="G2" s="4"/>
      <c r="H2" s="4"/>
      <c r="I2" s="4"/>
      <c r="J2" s="4"/>
      <c r="K2" s="4"/>
      <c r="L2" s="4"/>
    </row>
    <row r="3" spans="1:12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1.36</v>
      </c>
      <c r="J3" s="2"/>
      <c r="K3" s="2"/>
      <c r="L3" s="2"/>
    </row>
    <row r="4" spans="1:12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13.06</v>
      </c>
      <c r="J4" s="2"/>
      <c r="K4" s="2"/>
      <c r="L4" s="2"/>
    </row>
    <row r="5" spans="1:12" x14ac:dyDescent="0.3">
      <c r="B5" s="2" t="s">
        <v>37</v>
      </c>
      <c r="C5" s="2">
        <v>200</v>
      </c>
      <c r="D5" s="2"/>
      <c r="E5" s="2"/>
      <c r="F5" s="2"/>
      <c r="G5" s="2"/>
      <c r="H5" s="2" t="s">
        <v>16</v>
      </c>
      <c r="I5" s="2"/>
      <c r="J5" s="2"/>
      <c r="K5" s="2"/>
      <c r="L5" s="2"/>
    </row>
    <row r="6" spans="1:12" x14ac:dyDescent="0.3">
      <c r="B6" s="2" t="s">
        <v>22</v>
      </c>
      <c r="C6" s="2">
        <v>2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</row>
    <row r="10" spans="1:12" x14ac:dyDescent="0.3">
      <c r="B10" s="2" t="s">
        <v>0</v>
      </c>
      <c r="C10" s="2">
        <v>79995</v>
      </c>
      <c r="D10" s="2">
        <f>$C10/MIN($C$10:$C$12)</f>
        <v>1.6864129861916306</v>
      </c>
      <c r="E10" s="2">
        <f>$C10/SUM($C$10:$C$12) *100</f>
        <v>45.347868233533447</v>
      </c>
      <c r="F10" s="2">
        <f>$C10/$I$4</f>
        <v>6125.1914241960185</v>
      </c>
      <c r="G10" s="2">
        <f>$C10*8/1024</f>
        <v>624.9609375</v>
      </c>
      <c r="H10" s="2">
        <f>$G10/$I$4</f>
        <v>47.853058001531394</v>
      </c>
      <c r="I10" s="2">
        <v>1</v>
      </c>
      <c r="J10" s="2">
        <f>$C10*$I10</f>
        <v>79995</v>
      </c>
      <c r="K10" s="6">
        <f>$J10/MIN($J$10:$J$12)</f>
        <v>1</v>
      </c>
      <c r="L10" s="6">
        <f>$J10/SUM($J$10:$J$12)*100</f>
        <v>5.2154608962677784</v>
      </c>
    </row>
    <row r="11" spans="1:12" x14ac:dyDescent="0.3">
      <c r="B11" s="2" t="s">
        <v>1</v>
      </c>
      <c r="C11" s="2">
        <v>47435</v>
      </c>
      <c r="D11" s="2">
        <f t="shared" ref="D11:D12" si="0">$C11/MIN($C$10:$C$12)</f>
        <v>1</v>
      </c>
      <c r="E11" s="2">
        <f t="shared" ref="E11:E12" si="1">$C11/SUM($C$10:$C$12) *100</f>
        <v>26.890132253986611</v>
      </c>
      <c r="F11" s="2">
        <f t="shared" ref="F11:F12" si="2">$C11/$I$4</f>
        <v>3632.08269525268</v>
      </c>
      <c r="G11" s="2">
        <f t="shared" ref="G11:G12" si="3">$C11*8/1024</f>
        <v>370.5859375</v>
      </c>
      <c r="H11" s="2">
        <f t="shared" ref="H11:H12" si="4">$G11/$I$4</f>
        <v>28.375646056661562</v>
      </c>
      <c r="I11" s="2">
        <v>10</v>
      </c>
      <c r="J11" s="2">
        <f t="shared" ref="J11:J12" si="5">$C11*$I11</f>
        <v>474350</v>
      </c>
      <c r="K11" s="6">
        <f t="shared" ref="K11:K12" si="6">$J11/MIN($J$10:$J$12)</f>
        <v>5.9297456091005687</v>
      </c>
      <c r="L11" s="6">
        <f t="shared" ref="L11:L12" si="7">$J11/SUM($J$10:$J$12)*100</f>
        <v>30.926356349079576</v>
      </c>
    </row>
    <row r="12" spans="1:12" x14ac:dyDescent="0.3">
      <c r="B12" s="2" t="s">
        <v>2</v>
      </c>
      <c r="C12" s="2">
        <v>48973</v>
      </c>
      <c r="D12" s="2">
        <f t="shared" si="0"/>
        <v>1.0324233161167915</v>
      </c>
      <c r="E12" s="2">
        <f t="shared" si="1"/>
        <v>27.761999512479946</v>
      </c>
      <c r="F12" s="2">
        <f t="shared" si="2"/>
        <v>3749.8468606431852</v>
      </c>
      <c r="G12" s="2">
        <f t="shared" si="3"/>
        <v>382.6015625</v>
      </c>
      <c r="H12" s="2">
        <f t="shared" si="4"/>
        <v>29.295678598774884</v>
      </c>
      <c r="I12" s="2">
        <v>20</v>
      </c>
      <c r="J12" s="2">
        <f t="shared" si="5"/>
        <v>979460</v>
      </c>
      <c r="K12" s="6">
        <f t="shared" si="6"/>
        <v>12.244015250953185</v>
      </c>
      <c r="L12" s="6">
        <f t="shared" si="7"/>
        <v>63.858182754652645</v>
      </c>
    </row>
    <row r="13" spans="1:12" x14ac:dyDescent="0.3">
      <c r="B13" s="2" t="s">
        <v>8</v>
      </c>
      <c r="C13" s="2">
        <f>SUM(C10:C12)</f>
        <v>176403</v>
      </c>
      <c r="D13" s="2">
        <f>SUM(D10:D12)</f>
        <v>3.7188363023084219</v>
      </c>
      <c r="E13" s="2">
        <f>SUM(E10:E12)</f>
        <v>100</v>
      </c>
      <c r="F13" s="2">
        <f>SUM(F10:F12)</f>
        <v>13507.120980091884</v>
      </c>
      <c r="G13" s="2">
        <f t="shared" ref="G13:L13" si="8">SUM(G10:G12)</f>
        <v>1378.1484375</v>
      </c>
      <c r="H13" s="2">
        <f t="shared" si="8"/>
        <v>105.52438265696784</v>
      </c>
      <c r="I13" s="2">
        <f t="shared" si="8"/>
        <v>31</v>
      </c>
      <c r="J13" s="2">
        <f t="shared" si="8"/>
        <v>1533805</v>
      </c>
      <c r="K13" s="6">
        <f t="shared" si="8"/>
        <v>19.173760860053754</v>
      </c>
      <c r="L13" s="6">
        <f t="shared" si="8"/>
        <v>100</v>
      </c>
    </row>
    <row r="14" spans="1:12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15.338049999999999</v>
      </c>
      <c r="K14" s="2"/>
      <c r="L14" s="2"/>
    </row>
    <row r="16" spans="1:12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79995 hits</v>
      </c>
      <c r="D17" s="2" t="str">
        <f>$C11&amp;" missed"</f>
        <v>47435 missed</v>
      </c>
      <c r="E17" s="2" t="str">
        <f>$C12&amp;" dirtied"</f>
        <v>48973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28.3756 MiB/s</v>
      </c>
      <c r="D18" s="2" t="str">
        <f>"Avg write rate: " &amp;ROUND($H12, 4)&amp;" MiB/s"</f>
        <v>Avg write rate: 29.2957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www.mssqltips.com/sqlservertip/8150/postgresql-vacuum-autovacuum-analyze-processes/" xr:uid="{1EC60E30-800C-48F0-B730-F57C000EC8A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97D8-E4BB-4E95-8DA8-52C15053FCCE}">
  <dimension ref="A1:M19"/>
  <sheetViews>
    <sheetView topLeftCell="H1" workbookViewId="0">
      <selection activeCell="P13" sqref="P13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3" x14ac:dyDescent="0.3">
      <c r="A1" s="1" t="s">
        <v>33</v>
      </c>
    </row>
    <row r="2" spans="1:13" x14ac:dyDescent="0.3">
      <c r="B2" s="4" t="s">
        <v>19</v>
      </c>
      <c r="C2" s="4"/>
      <c r="D2" s="4" t="s">
        <v>41</v>
      </c>
      <c r="E2" s="4"/>
      <c r="F2" s="4"/>
      <c r="G2" s="4"/>
      <c r="H2" s="4"/>
      <c r="I2" s="4"/>
      <c r="J2" s="4"/>
      <c r="K2" s="4"/>
      <c r="L2" s="4"/>
      <c r="M2" s="2"/>
    </row>
    <row r="3" spans="1:13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1.55</v>
      </c>
      <c r="J3" s="2"/>
      <c r="K3" s="2"/>
      <c r="L3" s="2"/>
      <c r="M3" s="2"/>
    </row>
    <row r="4" spans="1:13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126985</v>
      </c>
      <c r="J4" s="2"/>
      <c r="K4" s="2"/>
      <c r="L4" s="2"/>
      <c r="M4" s="2"/>
    </row>
    <row r="5" spans="1:13" x14ac:dyDescent="0.3">
      <c r="B5" s="2" t="s">
        <v>37</v>
      </c>
      <c r="C5" s="2">
        <v>200</v>
      </c>
      <c r="D5" s="2"/>
      <c r="E5" s="2"/>
      <c r="F5" s="2"/>
      <c r="G5" s="2"/>
      <c r="H5" s="4" t="s">
        <v>16</v>
      </c>
      <c r="I5" s="2"/>
      <c r="J5" s="2"/>
      <c r="K5" s="2"/>
      <c r="L5" s="2"/>
      <c r="M5" s="2"/>
    </row>
    <row r="6" spans="1:13" x14ac:dyDescent="0.3">
      <c r="B6" s="2" t="s">
        <v>22</v>
      </c>
      <c r="C6" s="2">
        <v>20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  <c r="M9" s="2"/>
    </row>
    <row r="10" spans="1:13" x14ac:dyDescent="0.3">
      <c r="B10" s="2" t="s">
        <v>0</v>
      </c>
      <c r="C10" s="2">
        <v>28290538</v>
      </c>
      <c r="D10" s="2">
        <f>$C10/MIN($C$10:$C$12)</f>
        <v>1</v>
      </c>
      <c r="E10" s="2">
        <f>$C10/SUM($C$10:$C$12) *100</f>
        <v>24.911286379483535</v>
      </c>
      <c r="F10" s="2">
        <f>$C10/$I$4</f>
        <v>222.78645509312125</v>
      </c>
      <c r="G10" s="2">
        <f>$C10*8/1024</f>
        <v>221019.828125</v>
      </c>
      <c r="H10" s="2">
        <f>$G10/$I$4</f>
        <v>1.7405191804150097</v>
      </c>
      <c r="I10" s="2">
        <v>1</v>
      </c>
      <c r="J10" s="2">
        <f>$C10*$I10</f>
        <v>28290538</v>
      </c>
      <c r="K10" s="6">
        <f>$J10/MIN($J$10:$J$12)</f>
        <v>1</v>
      </c>
      <c r="L10" s="6">
        <f>$J10/SUM($J$10:$J$12)*100</f>
        <v>2.2266454009834979</v>
      </c>
      <c r="M10" s="2"/>
    </row>
    <row r="11" spans="1:13" x14ac:dyDescent="0.3">
      <c r="B11" s="2" t="s">
        <v>1</v>
      </c>
      <c r="C11" s="2">
        <v>46323736</v>
      </c>
      <c r="D11" s="2">
        <f t="shared" ref="D11:D12" si="0">$C11/MIN($C$10:$C$12)</f>
        <v>1.6374285989188329</v>
      </c>
      <c r="E11" s="2">
        <f t="shared" ref="E11:E12" si="1">$C11/SUM($C$10:$C$12) *100</f>
        <v>40.790452753623526</v>
      </c>
      <c r="F11" s="2">
        <f t="shared" ref="F11:F12" si="2">$C11/$I$4</f>
        <v>364.79691302122296</v>
      </c>
      <c r="G11" s="2">
        <f t="shared" ref="G11:G12" si="3">$C11*8/1024</f>
        <v>361904.1875</v>
      </c>
      <c r="H11" s="2">
        <f t="shared" ref="H11:H12" si="4">$G11/$I$4</f>
        <v>2.8499758829783044</v>
      </c>
      <c r="I11" s="2">
        <v>10</v>
      </c>
      <c r="J11" s="2">
        <f t="shared" ref="J11:J12" si="5">$C11*$I11</f>
        <v>463237360</v>
      </c>
      <c r="K11" s="6">
        <f t="shared" ref="K11:K12" si="6">$J11/MIN($J$10:$J$12)</f>
        <v>16.37428598918833</v>
      </c>
      <c r="L11" s="6">
        <f t="shared" ref="L11:L12" si="7">$J11/SUM($J$10:$J$12)*100</f>
        <v>36.459728592214717</v>
      </c>
      <c r="M11" s="2"/>
    </row>
    <row r="12" spans="1:13" x14ac:dyDescent="0.3">
      <c r="B12" s="2" t="s">
        <v>2</v>
      </c>
      <c r="C12" s="2">
        <v>38950869</v>
      </c>
      <c r="D12" s="2">
        <f t="shared" si="0"/>
        <v>1.3768161284172113</v>
      </c>
      <c r="E12" s="2">
        <f t="shared" si="1"/>
        <v>34.298260866892932</v>
      </c>
      <c r="F12" s="2">
        <f t="shared" si="2"/>
        <v>306.73598456510609</v>
      </c>
      <c r="G12" s="2">
        <f t="shared" si="3"/>
        <v>304303.6640625</v>
      </c>
      <c r="H12" s="2">
        <f t="shared" si="4"/>
        <v>2.3963748794148914</v>
      </c>
      <c r="I12" s="2">
        <v>20</v>
      </c>
      <c r="J12" s="2">
        <f t="shared" si="5"/>
        <v>779017380</v>
      </c>
      <c r="K12" s="6">
        <f t="shared" si="6"/>
        <v>27.536322568344229</v>
      </c>
      <c r="L12" s="6">
        <f t="shared" si="7"/>
        <v>61.313626006801783</v>
      </c>
      <c r="M12" s="2"/>
    </row>
    <row r="13" spans="1:13" x14ac:dyDescent="0.3">
      <c r="B13" s="2" t="s">
        <v>8</v>
      </c>
      <c r="C13" s="2">
        <f>SUM(C10:C12)</f>
        <v>113565143</v>
      </c>
      <c r="D13" s="2">
        <f>SUM(D10:D12)</f>
        <v>4.0142447273360435</v>
      </c>
      <c r="E13" s="2">
        <f>SUM(E10:E12)</f>
        <v>99.999999999999986</v>
      </c>
      <c r="F13" s="2">
        <f>SUM(F10:F12)</f>
        <v>894.31935267945028</v>
      </c>
      <c r="G13" s="2">
        <f t="shared" ref="G13:L13" si="8">SUM(G10:G12)</f>
        <v>887227.6796875</v>
      </c>
      <c r="H13" s="2">
        <f t="shared" si="8"/>
        <v>6.9868699428082053</v>
      </c>
      <c r="I13" s="2">
        <f t="shared" si="8"/>
        <v>31</v>
      </c>
      <c r="J13" s="2">
        <f t="shared" si="8"/>
        <v>1270545278</v>
      </c>
      <c r="K13" s="6">
        <f t="shared" si="8"/>
        <v>44.910608557532555</v>
      </c>
      <c r="L13" s="6">
        <f t="shared" si="8"/>
        <v>100</v>
      </c>
    </row>
    <row r="14" spans="1:13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127054.5278</v>
      </c>
      <c r="K14" s="2"/>
      <c r="L14" s="2"/>
    </row>
    <row r="16" spans="1:13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28290538 hits</v>
      </c>
      <c r="D17" s="2" t="str">
        <f>$C11&amp;" missed"</f>
        <v>46323736 missed</v>
      </c>
      <c r="E17" s="2" t="str">
        <f>$C12&amp;" dirtied"</f>
        <v>38950869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2.85 MiB/s</v>
      </c>
      <c r="D18" s="2" t="str">
        <f>"Avg write rate: " &amp;ROUND($H12, 4)&amp;" MiB/s"</f>
        <v>Avg write rate: 2.3964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postgrespro.com/list/thread-id/2425287" xr:uid="{24E5C94F-E4F7-4887-A495-22F6AE166E8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210C-6F48-4C36-9556-8A3885AACA53}">
  <dimension ref="A1:L19"/>
  <sheetViews>
    <sheetView topLeftCell="G1" workbookViewId="0">
      <selection activeCell="M1" sqref="M1:X1048576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2" x14ac:dyDescent="0.3">
      <c r="A1" s="1" t="s">
        <v>33</v>
      </c>
    </row>
    <row r="2" spans="1:12" x14ac:dyDescent="0.3">
      <c r="B2" s="4" t="s">
        <v>19</v>
      </c>
      <c r="C2" s="4"/>
      <c r="D2" s="4" t="s">
        <v>42</v>
      </c>
      <c r="E2" s="4"/>
      <c r="F2" s="4"/>
      <c r="G2" s="4"/>
      <c r="H2" s="4"/>
      <c r="I2" s="4"/>
      <c r="J2" s="4"/>
      <c r="K2" s="4"/>
      <c r="L2" s="4"/>
    </row>
    <row r="3" spans="1:12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1.55</v>
      </c>
      <c r="J3" s="2"/>
      <c r="K3" s="2"/>
      <c r="L3" s="2"/>
    </row>
    <row r="4" spans="1:12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49421</v>
      </c>
      <c r="J4" s="2"/>
      <c r="K4" s="2"/>
      <c r="L4" s="2"/>
    </row>
    <row r="5" spans="1:12" x14ac:dyDescent="0.3">
      <c r="B5" s="2" t="s">
        <v>37</v>
      </c>
      <c r="C5" s="2">
        <v>200</v>
      </c>
      <c r="D5" s="2"/>
      <c r="E5" s="2"/>
      <c r="F5" s="2"/>
      <c r="G5" s="2"/>
      <c r="H5" s="4" t="s">
        <v>16</v>
      </c>
      <c r="I5" s="2"/>
      <c r="J5" s="2"/>
      <c r="K5" s="2"/>
      <c r="L5" s="2"/>
    </row>
    <row r="6" spans="1:12" x14ac:dyDescent="0.3">
      <c r="B6" s="2" t="s">
        <v>22</v>
      </c>
      <c r="C6" s="2">
        <v>20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</row>
    <row r="10" spans="1:12" x14ac:dyDescent="0.3">
      <c r="B10" s="2" t="s">
        <v>0</v>
      </c>
      <c r="C10" s="2">
        <v>15877931</v>
      </c>
      <c r="D10" s="2">
        <f>$C10/MIN($C$10:$C$12)</f>
        <v>1.016092250160721</v>
      </c>
      <c r="E10" s="2">
        <f>$C10/SUM($C$10:$C$12) *100</f>
        <v>33.44375775172719</v>
      </c>
      <c r="F10" s="2">
        <f>$C10/$I$4</f>
        <v>321.27903118107685</v>
      </c>
      <c r="G10" s="2">
        <f>$C10*8/1024</f>
        <v>124046.3359375</v>
      </c>
      <c r="H10" s="2">
        <f>$G10/$I$4</f>
        <v>2.5099924311021629</v>
      </c>
      <c r="I10" s="2">
        <v>1</v>
      </c>
      <c r="J10" s="2">
        <f>$C10*$I10</f>
        <v>15877931</v>
      </c>
      <c r="K10" s="6">
        <f>$J10/MIN($J$10:$J$12)</f>
        <v>1</v>
      </c>
      <c r="L10" s="6">
        <f>$J10/SUM($J$10:$J$12)*100</f>
        <v>3.2528182474825309</v>
      </c>
    </row>
    <row r="11" spans="1:12" x14ac:dyDescent="0.3">
      <c r="B11" s="2" t="s">
        <v>1</v>
      </c>
      <c r="C11" s="2">
        <v>15972119</v>
      </c>
      <c r="D11" s="2">
        <f t="shared" ref="D11:D12" si="0">$C11/MIN($C$10:$C$12)</f>
        <v>1.022119716639706</v>
      </c>
      <c r="E11" s="2">
        <f t="shared" ref="E11:E12" si="1">$C11/SUM($C$10:$C$12) *100</f>
        <v>33.642146361371587</v>
      </c>
      <c r="F11" s="2">
        <f t="shared" ref="F11:F12" si="2">$C11/$I$4</f>
        <v>323.18486068675259</v>
      </c>
      <c r="G11" s="2">
        <f t="shared" ref="G11:G12" si="3">$C11*8/1024</f>
        <v>124782.1796875</v>
      </c>
      <c r="H11" s="2">
        <f t="shared" ref="H11:H12" si="4">$G11/$I$4</f>
        <v>2.5248817241152546</v>
      </c>
      <c r="I11" s="2">
        <v>10</v>
      </c>
      <c r="J11" s="2">
        <f t="shared" ref="J11:J12" si="5">$C11*$I11</f>
        <v>159721190</v>
      </c>
      <c r="K11" s="6">
        <f t="shared" ref="K11:K12" si="6">$J11/MIN($J$10:$J$12)</f>
        <v>10.059320071361942</v>
      </c>
      <c r="L11" s="6">
        <f t="shared" ref="L11:L12" si="7">$J11/SUM($J$10:$J$12)*100</f>
        <v>32.721139885393399</v>
      </c>
    </row>
    <row r="12" spans="1:12" x14ac:dyDescent="0.3">
      <c r="B12" s="2" t="s">
        <v>2</v>
      </c>
      <c r="C12" s="2">
        <v>15626466</v>
      </c>
      <c r="D12" s="2">
        <f t="shared" si="0"/>
        <v>1</v>
      </c>
      <c r="E12" s="2">
        <f t="shared" si="1"/>
        <v>32.914095886901222</v>
      </c>
      <c r="F12" s="2">
        <f t="shared" si="2"/>
        <v>316.19080957487705</v>
      </c>
      <c r="G12" s="2">
        <f t="shared" si="3"/>
        <v>122081.765625</v>
      </c>
      <c r="H12" s="2">
        <f t="shared" si="4"/>
        <v>2.470240699803727</v>
      </c>
      <c r="I12" s="2">
        <v>20</v>
      </c>
      <c r="J12" s="2">
        <f t="shared" si="5"/>
        <v>312529320</v>
      </c>
      <c r="K12" s="6">
        <f t="shared" si="6"/>
        <v>19.683252181912113</v>
      </c>
      <c r="L12" s="6">
        <f t="shared" si="7"/>
        <v>64.026041867124064</v>
      </c>
    </row>
    <row r="13" spans="1:12" x14ac:dyDescent="0.3">
      <c r="B13" s="2" t="s">
        <v>8</v>
      </c>
      <c r="C13" s="2">
        <f>SUM(C10:C12)</f>
        <v>47476516</v>
      </c>
      <c r="D13" s="2">
        <f>SUM(D10:D12)</f>
        <v>3.0382119668004268</v>
      </c>
      <c r="E13" s="2">
        <f>SUM(E10:E12)</f>
        <v>100</v>
      </c>
      <c r="F13" s="2">
        <f>SUM(F10:F12)</f>
        <v>960.65470144270648</v>
      </c>
      <c r="G13" s="2">
        <f t="shared" ref="G13:L13" si="8">SUM(G10:G12)</f>
        <v>370910.28125</v>
      </c>
      <c r="H13" s="2">
        <f t="shared" si="8"/>
        <v>7.5051148550211444</v>
      </c>
      <c r="I13" s="2">
        <f t="shared" si="8"/>
        <v>31</v>
      </c>
      <c r="J13" s="2">
        <f t="shared" si="8"/>
        <v>488128441</v>
      </c>
      <c r="K13" s="6">
        <f t="shared" si="8"/>
        <v>30.742572253274055</v>
      </c>
      <c r="L13" s="6">
        <f t="shared" si="8"/>
        <v>100</v>
      </c>
    </row>
    <row r="14" spans="1:12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48812.844100000002</v>
      </c>
      <c r="K14" s="2"/>
      <c r="L14" s="2"/>
    </row>
    <row r="16" spans="1:12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15877931 hits</v>
      </c>
      <c r="D17" s="2" t="str">
        <f>$C11&amp;" missed"</f>
        <v>15972119 missed</v>
      </c>
      <c r="E17" s="2" t="str">
        <f>$C12&amp;" dirtied"</f>
        <v>15626466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2.5249 MiB/s</v>
      </c>
      <c r="D18" s="2" t="str">
        <f>"Avg write rate: " &amp;ROUND($H12, 4)&amp;" MiB/s"</f>
        <v>Avg write rate: 2.4702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postgrespro.com/list/thread-id/2425287" xr:uid="{EC10B3CF-711A-4280-8094-57B00F839C1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8B53-637F-488C-8DD3-7B6A608D49EF}">
  <dimension ref="A1:M19"/>
  <sheetViews>
    <sheetView topLeftCell="G1" workbookViewId="0">
      <selection activeCell="P14" sqref="P14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3" x14ac:dyDescent="0.3">
      <c r="A1" s="1" t="s">
        <v>33</v>
      </c>
    </row>
    <row r="2" spans="1:13" x14ac:dyDescent="0.3">
      <c r="B2" s="4" t="s">
        <v>19</v>
      </c>
      <c r="C2" s="4"/>
      <c r="D2" s="4" t="s">
        <v>43</v>
      </c>
      <c r="E2" s="4"/>
      <c r="F2" s="4"/>
      <c r="G2" s="4"/>
      <c r="H2" s="4"/>
      <c r="I2" s="4"/>
      <c r="J2" s="4"/>
      <c r="K2" s="4"/>
      <c r="L2" s="4"/>
      <c r="M2" s="2"/>
    </row>
    <row r="3" spans="1:13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1.55</v>
      </c>
      <c r="J3" s="2"/>
      <c r="K3" s="2"/>
      <c r="L3" s="2"/>
      <c r="M3" s="2"/>
    </row>
    <row r="4" spans="1:13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72856</v>
      </c>
      <c r="J4" s="2"/>
      <c r="K4" s="2"/>
      <c r="L4" s="2"/>
      <c r="M4" s="2"/>
    </row>
    <row r="5" spans="1:13" x14ac:dyDescent="0.3">
      <c r="B5" s="2" t="s">
        <v>37</v>
      </c>
      <c r="C5" s="2">
        <v>200</v>
      </c>
      <c r="D5" s="2"/>
      <c r="E5" s="2"/>
      <c r="F5" s="2"/>
      <c r="G5" s="2"/>
      <c r="H5" s="4" t="s">
        <v>16</v>
      </c>
      <c r="I5" s="2"/>
      <c r="J5" s="2"/>
      <c r="K5" s="2"/>
      <c r="L5" s="2"/>
      <c r="M5" s="2"/>
    </row>
    <row r="6" spans="1:13" x14ac:dyDescent="0.3">
      <c r="B6" s="2" t="s">
        <v>22</v>
      </c>
      <c r="C6" s="2">
        <v>20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  <c r="M9" s="2"/>
    </row>
    <row r="10" spans="1:13" x14ac:dyDescent="0.3">
      <c r="B10" s="2" t="s">
        <v>0</v>
      </c>
      <c r="C10" s="2">
        <v>15552642</v>
      </c>
      <c r="D10" s="2">
        <f>$C10/MIN($C$10:$C$12)</f>
        <v>1</v>
      </c>
      <c r="E10" s="2">
        <f>$C10/SUM($C$10:$C$12) *100</f>
        <v>24.241629314401703</v>
      </c>
      <c r="F10" s="2">
        <f>$C10/$I$4</f>
        <v>213.47098385857032</v>
      </c>
      <c r="G10" s="2">
        <f>$C10*8/1024</f>
        <v>121505.015625</v>
      </c>
      <c r="H10" s="2">
        <f>$G10/$I$4</f>
        <v>1.6677420613950806</v>
      </c>
      <c r="I10" s="2">
        <v>1</v>
      </c>
      <c r="J10" s="2">
        <f>$C10*$I10</f>
        <v>15552642</v>
      </c>
      <c r="K10" s="6">
        <f>$J10/MIN($J$10:$J$12)</f>
        <v>1</v>
      </c>
      <c r="L10" s="6">
        <f>$J10/SUM($J$10:$J$12)*100</f>
        <v>2.1412594603393642</v>
      </c>
      <c r="M10" s="2"/>
    </row>
    <row r="11" spans="1:13" x14ac:dyDescent="0.3">
      <c r="B11" s="2" t="s">
        <v>1</v>
      </c>
      <c r="C11" s="2">
        <v>26130334</v>
      </c>
      <c r="D11" s="2">
        <f t="shared" ref="D11:D12" si="0">$C11/MIN($C$10:$C$12)</f>
        <v>1.6801218725410128</v>
      </c>
      <c r="E11" s="2">
        <f t="shared" ref="E11:E12" si="1">$C11/SUM($C$10:$C$12) *100</f>
        <v>40.728891637157695</v>
      </c>
      <c r="F11" s="2">
        <f t="shared" ref="F11:F12" si="2">$C11/$I$4</f>
        <v>358.65726913363346</v>
      </c>
      <c r="G11" s="2">
        <f t="shared" ref="G11:G12" si="3">$C11*8/1024</f>
        <v>204143.234375</v>
      </c>
      <c r="H11" s="2">
        <f t="shared" ref="H11:H12" si="4">$G11/$I$4</f>
        <v>2.8020099151065114</v>
      </c>
      <c r="I11" s="2">
        <v>10</v>
      </c>
      <c r="J11" s="2">
        <f t="shared" ref="J11:J12" si="5">$C11*$I11</f>
        <v>261303340</v>
      </c>
      <c r="K11" s="6">
        <f t="shared" ref="K11:K12" si="6">$J11/MIN($J$10:$J$12)</f>
        <v>16.801218725410127</v>
      </c>
      <c r="L11" s="6">
        <f t="shared" ref="L11:L12" si="7">$J11/SUM($J$10:$J$12)*100</f>
        <v>35.975768541015313</v>
      </c>
      <c r="M11" s="2"/>
    </row>
    <row r="12" spans="1:13" x14ac:dyDescent="0.3">
      <c r="B12" s="2" t="s">
        <v>2</v>
      </c>
      <c r="C12" s="2">
        <v>22473776</v>
      </c>
      <c r="D12" s="2">
        <f t="shared" si="0"/>
        <v>1.4450133938658138</v>
      </c>
      <c r="E12" s="2">
        <f t="shared" si="1"/>
        <v>35.029479048440606</v>
      </c>
      <c r="F12" s="2">
        <f t="shared" si="2"/>
        <v>308.46843087734709</v>
      </c>
      <c r="G12" s="2">
        <f t="shared" si="3"/>
        <v>175576.375</v>
      </c>
      <c r="H12" s="2">
        <f t="shared" si="4"/>
        <v>2.4099096162292741</v>
      </c>
      <c r="I12" s="2">
        <v>20</v>
      </c>
      <c r="J12" s="2">
        <f t="shared" si="5"/>
        <v>449475520</v>
      </c>
      <c r="K12" s="6">
        <f t="shared" si="6"/>
        <v>28.900267877316278</v>
      </c>
      <c r="L12" s="6">
        <f t="shared" si="7"/>
        <v>61.882971998645317</v>
      </c>
      <c r="M12" s="2"/>
    </row>
    <row r="13" spans="1:13" x14ac:dyDescent="0.3">
      <c r="B13" s="2" t="s">
        <v>8</v>
      </c>
      <c r="C13" s="2">
        <f>SUM(C10:C12)</f>
        <v>64156752</v>
      </c>
      <c r="D13" s="2">
        <f>SUM(D10:D12)</f>
        <v>4.1251352664068266</v>
      </c>
      <c r="E13" s="2">
        <f>SUM(E10:E12)</f>
        <v>100</v>
      </c>
      <c r="F13" s="2">
        <f>SUM(F10:F12)</f>
        <v>880.59668386955082</v>
      </c>
      <c r="G13" s="2">
        <f t="shared" ref="G13:L13" si="8">SUM(G10:G12)</f>
        <v>501224.625</v>
      </c>
      <c r="H13" s="2">
        <f t="shared" si="8"/>
        <v>6.8796615927308657</v>
      </c>
      <c r="I13" s="2">
        <f t="shared" si="8"/>
        <v>31</v>
      </c>
      <c r="J13" s="2">
        <f t="shared" si="8"/>
        <v>726331502</v>
      </c>
      <c r="K13" s="6">
        <f t="shared" si="8"/>
        <v>46.701486602726405</v>
      </c>
      <c r="L13" s="6">
        <f t="shared" si="8"/>
        <v>100</v>
      </c>
    </row>
    <row r="14" spans="1:13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72633.150199999989</v>
      </c>
      <c r="K14" s="2"/>
      <c r="L14" s="2"/>
    </row>
    <row r="16" spans="1:13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15552642 hits</v>
      </c>
      <c r="D17" s="2" t="str">
        <f>$C11&amp;" missed"</f>
        <v>26130334 missed</v>
      </c>
      <c r="E17" s="2" t="str">
        <f>$C12&amp;" dirtied"</f>
        <v>22473776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2.802 MiB/s</v>
      </c>
      <c r="D18" s="2" t="str">
        <f>"Avg write rate: " &amp;ROUND($H12, 4)&amp;" MiB/s"</f>
        <v>Avg write rate: 2.4099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postgrespro.com/list/thread-id/2425287" xr:uid="{61296CBC-45B1-4CA3-809B-DB7DDE0913C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1A5B-86A1-4247-B37C-928C6BF03A7D}">
  <dimension ref="A1:V20"/>
  <sheetViews>
    <sheetView topLeftCell="E1" workbookViewId="0">
      <selection activeCell="I5" sqref="I5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22" x14ac:dyDescent="0.3">
      <c r="A1" s="1" t="s">
        <v>33</v>
      </c>
    </row>
    <row r="2" spans="1:22" x14ac:dyDescent="0.3">
      <c r="B2" s="4" t="s">
        <v>19</v>
      </c>
      <c r="C2" s="4"/>
      <c r="D2" s="4" t="s">
        <v>44</v>
      </c>
      <c r="E2" s="4"/>
      <c r="F2" s="4"/>
      <c r="G2" s="4"/>
      <c r="H2" s="4"/>
      <c r="I2" s="4"/>
      <c r="J2" s="4"/>
      <c r="K2" s="4"/>
      <c r="L2" s="4"/>
      <c r="M2" s="2"/>
      <c r="N2" s="2"/>
    </row>
    <row r="3" spans="1:22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1.55</v>
      </c>
      <c r="J3" s="2"/>
      <c r="K3" s="2"/>
      <c r="L3" s="2"/>
      <c r="M3" s="2"/>
      <c r="N3" s="2"/>
    </row>
    <row r="4" spans="1:22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61651</v>
      </c>
      <c r="J4" s="2"/>
      <c r="K4" s="2"/>
      <c r="L4" s="2"/>
      <c r="M4" s="2"/>
      <c r="N4" s="2"/>
    </row>
    <row r="5" spans="1:22" x14ac:dyDescent="0.3">
      <c r="B5" s="2" t="s">
        <v>37</v>
      </c>
      <c r="C5" s="2">
        <v>200</v>
      </c>
      <c r="D5" s="2"/>
      <c r="E5" s="2"/>
      <c r="F5" s="2"/>
      <c r="G5" s="2"/>
      <c r="H5" s="4" t="s">
        <v>16</v>
      </c>
      <c r="I5" s="2"/>
      <c r="J5" s="2"/>
      <c r="K5" s="2"/>
      <c r="L5" s="2"/>
      <c r="M5" s="2"/>
      <c r="N5" s="2"/>
    </row>
    <row r="6" spans="1:22" x14ac:dyDescent="0.3">
      <c r="B6" s="2" t="s">
        <v>22</v>
      </c>
      <c r="C6" s="2">
        <v>20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8" t="s">
        <v>13</v>
      </c>
    </row>
    <row r="7" spans="1:22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5">
        <v>600</v>
      </c>
      <c r="Q7" s="4" t="s">
        <v>5</v>
      </c>
      <c r="R7" s="4" t="s">
        <v>7</v>
      </c>
      <c r="S7" s="4" t="s">
        <v>10</v>
      </c>
      <c r="T7" s="4" t="s">
        <v>3</v>
      </c>
      <c r="U7" s="4" t="s">
        <v>14</v>
      </c>
      <c r="V7" s="4" t="s">
        <v>15</v>
      </c>
    </row>
    <row r="8" spans="1:2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11</v>
      </c>
      <c r="P8" s="2" t="s">
        <v>0</v>
      </c>
      <c r="Q8" s="2">
        <v>756502</v>
      </c>
      <c r="R8" s="2">
        <f>Q8 * 8 /1024</f>
        <v>5910.171875</v>
      </c>
      <c r="S8" s="2">
        <v>1</v>
      </c>
      <c r="T8" s="2">
        <f>Q8*S8</f>
        <v>756502</v>
      </c>
      <c r="U8" s="2" t="e">
        <f>Q8/MIN($O$4:$O$6)</f>
        <v>#DIV/0!</v>
      </c>
      <c r="V8" s="5" t="e">
        <f>Q8/SUM($O$4:$O$6)*100</f>
        <v>#DIV/0!</v>
      </c>
    </row>
    <row r="9" spans="1:22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  <c r="M9" s="2"/>
      <c r="N9" s="2"/>
      <c r="O9" s="2"/>
      <c r="P9" s="2" t="s">
        <v>1</v>
      </c>
      <c r="Q9" s="2">
        <v>549470</v>
      </c>
      <c r="R9" s="2">
        <f t="shared" ref="R9:R10" si="0">Q9 * 8 /1024</f>
        <v>4292.734375</v>
      </c>
      <c r="S9" s="2">
        <v>10</v>
      </c>
      <c r="T9" s="2">
        <f t="shared" ref="T9:T10" si="1">Q9*S9</f>
        <v>5494700</v>
      </c>
      <c r="U9" s="2" t="e">
        <f t="shared" ref="U9" si="2">Q9/MIN($O$4:$O$6)</f>
        <v>#DIV/0!</v>
      </c>
      <c r="V9" s="5" t="e">
        <f t="shared" ref="V9:V10" si="3">Q9/SUM($O$4:$O$6)*100</f>
        <v>#DIV/0!</v>
      </c>
    </row>
    <row r="10" spans="1:22" x14ac:dyDescent="0.3">
      <c r="B10" s="2" t="s">
        <v>0</v>
      </c>
      <c r="C10" s="2">
        <v>11854053</v>
      </c>
      <c r="D10" s="2">
        <f>$C10/MIN($C$10:$C$12)</f>
        <v>1</v>
      </c>
      <c r="E10" s="2">
        <f>$C10/SUM($C$10:$C$12) *100</f>
        <v>22.607901515889829</v>
      </c>
      <c r="F10" s="2">
        <f>$C10/$I$4</f>
        <v>192.27673517055683</v>
      </c>
      <c r="G10" s="2">
        <f>$C10*8/1024</f>
        <v>92609.7890625</v>
      </c>
      <c r="H10" s="2">
        <f>$G10/$I$4</f>
        <v>1.5021619935199753</v>
      </c>
      <c r="I10" s="2">
        <v>1</v>
      </c>
      <c r="J10" s="2">
        <f>$C10*$I10</f>
        <v>11854053</v>
      </c>
      <c r="K10" s="6">
        <f>$J10/MIN($J$10:$J$12)</f>
        <v>1</v>
      </c>
      <c r="L10" s="6">
        <f>$J10/SUM($J$10:$J$12)*100</f>
        <v>1.9433696580461612</v>
      </c>
      <c r="M10" s="2"/>
      <c r="N10" s="2"/>
      <c r="O10" s="2"/>
      <c r="P10" s="2" t="s">
        <v>2</v>
      </c>
      <c r="Q10" s="2">
        <v>117812</v>
      </c>
      <c r="R10" s="2">
        <f t="shared" si="0"/>
        <v>920.40625</v>
      </c>
      <c r="S10" s="2">
        <v>20</v>
      </c>
      <c r="T10" s="2">
        <f t="shared" si="1"/>
        <v>2356240</v>
      </c>
      <c r="U10" s="2" t="e">
        <f>Q10/MIN($O$4:$O$6)</f>
        <v>#DIV/0!</v>
      </c>
      <c r="V10" s="5" t="e">
        <f t="shared" si="3"/>
        <v>#DIV/0!</v>
      </c>
    </row>
    <row r="11" spans="1:22" x14ac:dyDescent="0.3">
      <c r="B11" s="2" t="s">
        <v>1</v>
      </c>
      <c r="C11" s="2">
        <v>21346342</v>
      </c>
      <c r="D11" s="2">
        <f t="shared" ref="D11:D12" si="4">$C11/MIN($C$10:$C$12)</f>
        <v>1.8007631651385396</v>
      </c>
      <c r="E11" s="2">
        <f t="shared" ref="E11:E12" si="5">$C11/SUM($C$10:$C$12) *100</f>
        <v>40.711476290894154</v>
      </c>
      <c r="F11" s="2">
        <f t="shared" ref="F11:F12" si="6">$C11/$I$4</f>
        <v>346.24486220823667</v>
      </c>
      <c r="G11" s="2">
        <f t="shared" ref="G11:G12" si="7">$C11*8/1024</f>
        <v>166768.296875</v>
      </c>
      <c r="H11" s="2">
        <f t="shared" ref="H11:H12" si="8">$G11/$I$4</f>
        <v>2.705037986001849</v>
      </c>
      <c r="I11" s="2">
        <v>10</v>
      </c>
      <c r="J11" s="2">
        <f t="shared" ref="J11:J12" si="9">$C11*$I11</f>
        <v>213463420</v>
      </c>
      <c r="K11" s="6">
        <f t="shared" ref="K11:K12" si="10">$J11/MIN($J$10:$J$12)</f>
        <v>18.007631651385395</v>
      </c>
      <c r="L11" s="6">
        <f t="shared" ref="L11:L12" si="11">$J11/SUM($J$10:$J$12)*100</f>
        <v>34.995484964574061</v>
      </c>
      <c r="M11" s="2"/>
      <c r="N11" s="2"/>
      <c r="O11" s="2"/>
      <c r="P11" s="2" t="s">
        <v>8</v>
      </c>
      <c r="Q11" s="2">
        <f>SUM(Q8:Q10)</f>
        <v>1423784</v>
      </c>
      <c r="R11" s="2">
        <f>SUM(R8:R10)</f>
        <v>11123.3125</v>
      </c>
      <c r="S11" s="2"/>
      <c r="T11" s="2">
        <f>SUM(T8:T10)</f>
        <v>8607442</v>
      </c>
      <c r="U11" s="2"/>
    </row>
    <row r="12" spans="1:22" x14ac:dyDescent="0.3">
      <c r="A12" s="2"/>
      <c r="B12" s="2" t="s">
        <v>2</v>
      </c>
      <c r="C12" s="2">
        <v>19232835</v>
      </c>
      <c r="D12" s="2">
        <f t="shared" si="4"/>
        <v>1.6224691251169536</v>
      </c>
      <c r="E12" s="2">
        <f t="shared" si="5"/>
        <v>36.680622193216017</v>
      </c>
      <c r="F12" s="2">
        <f t="shared" si="6"/>
        <v>311.96306629251757</v>
      </c>
      <c r="G12" s="2">
        <f t="shared" si="7"/>
        <v>150256.5234375</v>
      </c>
      <c r="H12" s="2">
        <f t="shared" si="8"/>
        <v>2.4372114554102935</v>
      </c>
      <c r="I12" s="2">
        <v>20</v>
      </c>
      <c r="J12" s="2">
        <f t="shared" si="9"/>
        <v>384656700</v>
      </c>
      <c r="K12" s="6">
        <f t="shared" si="10"/>
        <v>32.44938250233907</v>
      </c>
      <c r="L12" s="6">
        <f t="shared" si="11"/>
        <v>63.061145377379766</v>
      </c>
      <c r="M12" s="2"/>
      <c r="N12" s="2"/>
      <c r="O12" s="2" t="s">
        <v>4</v>
      </c>
      <c r="P12" s="2">
        <v>264.08999999999997</v>
      </c>
      <c r="Q12" s="2"/>
      <c r="R12" s="2"/>
      <c r="S12" s="2"/>
      <c r="T12" s="2"/>
      <c r="U12" s="2"/>
    </row>
    <row r="13" spans="1:22" x14ac:dyDescent="0.3">
      <c r="B13" s="2" t="s">
        <v>8</v>
      </c>
      <c r="C13" s="2">
        <f>SUM(C10:C12)</f>
        <v>52433230</v>
      </c>
      <c r="D13" s="2">
        <f>SUM(D10:D12)</f>
        <v>4.423232290255493</v>
      </c>
      <c r="E13" s="2">
        <f>SUM(E10:E12)</f>
        <v>100</v>
      </c>
      <c r="F13" s="2">
        <f>SUM(F10:F12)</f>
        <v>850.48466367131118</v>
      </c>
      <c r="G13" s="2">
        <f t="shared" ref="G13:L13" si="12">SUM(G10:G12)</f>
        <v>409634.609375</v>
      </c>
      <c r="H13" s="2">
        <f t="shared" si="12"/>
        <v>6.6444114349321186</v>
      </c>
      <c r="I13" s="2">
        <f t="shared" si="12"/>
        <v>31</v>
      </c>
      <c r="J13" s="2">
        <f t="shared" si="12"/>
        <v>609974173</v>
      </c>
      <c r="K13" s="6">
        <f t="shared" si="12"/>
        <v>51.457014153724465</v>
      </c>
      <c r="L13" s="6">
        <f t="shared" si="12"/>
        <v>99.999999999999986</v>
      </c>
      <c r="O13" s="2" t="s">
        <v>9</v>
      </c>
      <c r="P13" s="2"/>
      <c r="Q13" s="2" t="e">
        <f>Q11/$B$8</f>
        <v>#DIV/0!</v>
      </c>
      <c r="R13" s="2" t="e">
        <f>R10/$B$8</f>
        <v>#DIV/0!</v>
      </c>
      <c r="S13" s="2"/>
      <c r="T13" s="2" t="e">
        <f t="shared" ref="T13" si="13">T11/$B$8</f>
        <v>#DIV/0!</v>
      </c>
      <c r="U13" s="3"/>
    </row>
    <row r="14" spans="1:22" x14ac:dyDescent="0.3">
      <c r="B14" s="2"/>
      <c r="C14" s="2"/>
      <c r="D14" s="2"/>
      <c r="E14" s="2"/>
      <c r="F14" s="2"/>
      <c r="G14" s="2"/>
      <c r="I14" s="4" t="s">
        <v>17</v>
      </c>
      <c r="J14" s="10">
        <f>J$13 / $C$5 *$C$6 / 1000</f>
        <v>60997.417300000001</v>
      </c>
      <c r="K14" s="2"/>
      <c r="L14" s="2"/>
      <c r="O14" s="5" t="s">
        <v>16</v>
      </c>
      <c r="P14" s="2">
        <f>600 * (1000 / 10)</f>
        <v>60000</v>
      </c>
      <c r="T14" s="5">
        <f>P14*P12</f>
        <v>15845399.999999998</v>
      </c>
    </row>
    <row r="15" spans="1:22" x14ac:dyDescent="0.3">
      <c r="O15" s="2" t="s">
        <v>17</v>
      </c>
      <c r="T15" s="5">
        <f>T11/600 * 20 / 1000</f>
        <v>286.91473333333334</v>
      </c>
    </row>
    <row r="16" spans="1:22" x14ac:dyDescent="0.3">
      <c r="B16" s="4" t="s">
        <v>28</v>
      </c>
      <c r="U16" s="9" t="s">
        <v>18</v>
      </c>
    </row>
    <row r="17" spans="2:22" x14ac:dyDescent="0.3">
      <c r="B17" s="2" t="s">
        <v>31</v>
      </c>
      <c r="C17" s="2" t="str">
        <f>$C10&amp;" hits"</f>
        <v>11854053 hits</v>
      </c>
      <c r="D17" s="2" t="str">
        <f>$C11&amp;" missed"</f>
        <v>21346342 missed</v>
      </c>
      <c r="E17" s="2" t="str">
        <f>$C12&amp;" dirtied"</f>
        <v>19232835 dirtied</v>
      </c>
      <c r="F17" s="2"/>
      <c r="G17" s="2"/>
      <c r="Q17" s="4" t="s">
        <v>5</v>
      </c>
      <c r="R17" s="4" t="s">
        <v>7</v>
      </c>
      <c r="S17" s="4" t="s">
        <v>10</v>
      </c>
      <c r="T17" s="4" t="s">
        <v>3</v>
      </c>
      <c r="U17" s="4" t="s">
        <v>14</v>
      </c>
      <c r="V17" s="4" t="s">
        <v>15</v>
      </c>
    </row>
    <row r="18" spans="2:22" x14ac:dyDescent="0.3">
      <c r="B18" s="2"/>
      <c r="C18" s="2" t="str">
        <f>"Avg read rate: " &amp;ROUND($H11, 4)&amp;" MiB/s"</f>
        <v>Avg read rate: 2.705 MiB/s</v>
      </c>
      <c r="D18" s="2" t="str">
        <f>"Avg write rate: " &amp;ROUND($H12, 4)&amp;" MiB/s"</f>
        <v>Avg write rate: 2.4372 MiB/s</v>
      </c>
      <c r="E18" s="2"/>
      <c r="F18" s="2"/>
      <c r="G18" s="2"/>
      <c r="O18" s="5">
        <v>200</v>
      </c>
      <c r="Q18" s="5">
        <v>2655076</v>
      </c>
    </row>
    <row r="19" spans="2:22" x14ac:dyDescent="0.3">
      <c r="B19" s="2"/>
      <c r="C19" s="2"/>
      <c r="D19" s="2"/>
      <c r="E19" s="2"/>
      <c r="F19" s="2"/>
      <c r="G19" s="2"/>
      <c r="O19" s="5" t="s">
        <v>12</v>
      </c>
      <c r="Q19" s="5">
        <v>3506964</v>
      </c>
    </row>
    <row r="20" spans="2:22" x14ac:dyDescent="0.3">
      <c r="Q20" s="5">
        <v>3333423</v>
      </c>
    </row>
  </sheetData>
  <hyperlinks>
    <hyperlink ref="A1" r:id="rId1" display="https://postgrespro.com/list/thread-id/2425287" xr:uid="{6DCAEFBB-5C26-4728-9C29-CF54E9498AF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DCF0-30AB-4A03-9DB1-08739748BC17}">
  <dimension ref="A1:L19"/>
  <sheetViews>
    <sheetView workbookViewId="0">
      <selection activeCell="I21" sqref="I21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2" x14ac:dyDescent="0.3">
      <c r="A1" s="1" t="s">
        <v>33</v>
      </c>
    </row>
    <row r="2" spans="1:12" x14ac:dyDescent="0.3">
      <c r="B2" s="4" t="s">
        <v>19</v>
      </c>
      <c r="C2" s="4"/>
      <c r="D2" s="4" t="s">
        <v>45</v>
      </c>
      <c r="E2" s="4"/>
      <c r="F2" s="4"/>
      <c r="G2" s="4"/>
      <c r="H2" s="4"/>
      <c r="I2" s="4"/>
      <c r="J2" s="4"/>
      <c r="K2" s="4"/>
      <c r="L2" s="4"/>
    </row>
    <row r="3" spans="1:12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1.55</v>
      </c>
      <c r="J3" s="2"/>
      <c r="K3" s="2"/>
      <c r="L3" s="2"/>
    </row>
    <row r="4" spans="1:12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83445</v>
      </c>
      <c r="J4" s="2"/>
      <c r="K4" s="2"/>
      <c r="L4" s="2"/>
    </row>
    <row r="5" spans="1:12" x14ac:dyDescent="0.3">
      <c r="B5" s="2" t="s">
        <v>37</v>
      </c>
      <c r="C5" s="2">
        <v>200</v>
      </c>
      <c r="D5" s="2"/>
      <c r="E5" s="2"/>
      <c r="F5" s="2"/>
      <c r="G5" s="2"/>
      <c r="H5" s="4" t="s">
        <v>16</v>
      </c>
      <c r="I5" s="2"/>
      <c r="J5" s="2"/>
      <c r="K5" s="2"/>
      <c r="L5" s="2"/>
    </row>
    <row r="6" spans="1:12" x14ac:dyDescent="0.3">
      <c r="B6" s="2" t="s">
        <v>22</v>
      </c>
      <c r="C6" s="2">
        <v>20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</row>
    <row r="10" spans="1:12" x14ac:dyDescent="0.3">
      <c r="B10" s="2" t="s">
        <v>0</v>
      </c>
      <c r="C10" s="2">
        <v>21863057</v>
      </c>
      <c r="D10" s="2">
        <f>$C10/MIN($C$10:$C$12)</f>
        <v>1</v>
      </c>
      <c r="E10" s="2">
        <f>$C10/SUM($C$10:$C$12) *100</f>
        <v>28.765903965418797</v>
      </c>
      <c r="F10" s="2">
        <f>$C10/$I$4</f>
        <v>262.00559650068908</v>
      </c>
      <c r="G10" s="2">
        <f>$C10*8/1024</f>
        <v>170805.1328125</v>
      </c>
      <c r="H10" s="2">
        <f>$G10/$I$4</f>
        <v>2.0469187226616334</v>
      </c>
      <c r="I10" s="2">
        <v>1</v>
      </c>
      <c r="J10" s="2">
        <f>$C10*$I10</f>
        <v>21863057</v>
      </c>
      <c r="K10" s="6">
        <f>$J10/MIN($J$10:$J$12)</f>
        <v>1</v>
      </c>
      <c r="L10" s="6">
        <f>$J10/SUM($J$10:$J$12)*100</f>
        <v>2.6727859462344865</v>
      </c>
    </row>
    <row r="11" spans="1:12" x14ac:dyDescent="0.3">
      <c r="B11" s="2" t="s">
        <v>1</v>
      </c>
      <c r="C11" s="2">
        <v>28668178</v>
      </c>
      <c r="D11" s="2">
        <f t="shared" ref="D11:D12" si="0">$C11/MIN($C$10:$C$12)</f>
        <v>1.311261183648746</v>
      </c>
      <c r="E11" s="2">
        <f t="shared" ref="E11:E12" si="1">$C11/SUM($C$10:$C$12) *100</f>
        <v>37.719613282421207</v>
      </c>
      <c r="F11" s="2">
        <f t="shared" ref="F11:F12" si="2">$C11/$I$4</f>
        <v>343.55776859008927</v>
      </c>
      <c r="G11" s="2">
        <f t="shared" ref="G11:G12" si="3">$C11*8/1024</f>
        <v>223970.140625</v>
      </c>
      <c r="H11" s="2">
        <f t="shared" ref="H11:H12" si="4">$G11/$I$4</f>
        <v>2.6840450671100724</v>
      </c>
      <c r="I11" s="2">
        <v>10</v>
      </c>
      <c r="J11" s="2">
        <f t="shared" ref="J11:J12" si="5">$C11*$I11</f>
        <v>286681780</v>
      </c>
      <c r="K11" s="6">
        <f t="shared" ref="K11:K12" si="6">$J11/MIN($J$10:$J$12)</f>
        <v>13.11261183648746</v>
      </c>
      <c r="L11" s="6">
        <f t="shared" ref="L11:L12" si="7">$J11/SUM($J$10:$J$12)*100</f>
        <v>35.047204634991665</v>
      </c>
    </row>
    <row r="12" spans="1:12" x14ac:dyDescent="0.3">
      <c r="A12" s="2"/>
      <c r="B12" s="2" t="s">
        <v>2</v>
      </c>
      <c r="C12" s="2">
        <v>25472137</v>
      </c>
      <c r="D12" s="2">
        <f t="shared" si="0"/>
        <v>1.1650766404716413</v>
      </c>
      <c r="E12" s="2">
        <f t="shared" si="1"/>
        <v>33.514482752159999</v>
      </c>
      <c r="F12" s="2">
        <f t="shared" si="2"/>
        <v>305.25660015579126</v>
      </c>
      <c r="G12" s="2">
        <f t="shared" si="3"/>
        <v>199001.0703125</v>
      </c>
      <c r="H12" s="2">
        <f t="shared" si="4"/>
        <v>2.3848171887171192</v>
      </c>
      <c r="I12" s="2">
        <v>20</v>
      </c>
      <c r="J12" s="2">
        <f t="shared" si="5"/>
        <v>509442740</v>
      </c>
      <c r="K12" s="6">
        <f t="shared" si="6"/>
        <v>23.301532809432825</v>
      </c>
      <c r="L12" s="6">
        <f t="shared" si="7"/>
        <v>62.280009418773851</v>
      </c>
    </row>
    <row r="13" spans="1:12" x14ac:dyDescent="0.3">
      <c r="B13" s="2" t="s">
        <v>8</v>
      </c>
      <c r="C13" s="2">
        <f>SUM(C10:C12)</f>
        <v>76003372</v>
      </c>
      <c r="D13" s="2">
        <f>SUM(D10:D12)</f>
        <v>3.4763378241203871</v>
      </c>
      <c r="E13" s="2">
        <f>SUM(E10:E12)</f>
        <v>100</v>
      </c>
      <c r="F13" s="2">
        <f>SUM(F10:F12)</f>
        <v>910.81996524656961</v>
      </c>
      <c r="G13" s="2">
        <f t="shared" ref="G13:L13" si="8">SUM(G10:G12)</f>
        <v>593776.34375</v>
      </c>
      <c r="H13" s="2">
        <f t="shared" si="8"/>
        <v>7.1157809784888251</v>
      </c>
      <c r="I13" s="2">
        <f t="shared" si="8"/>
        <v>31</v>
      </c>
      <c r="J13" s="2">
        <f t="shared" si="8"/>
        <v>817987577</v>
      </c>
      <c r="K13" s="6">
        <f t="shared" si="8"/>
        <v>37.414144645920288</v>
      </c>
      <c r="L13" s="6">
        <f t="shared" si="8"/>
        <v>100</v>
      </c>
    </row>
    <row r="14" spans="1:12" x14ac:dyDescent="0.3">
      <c r="B14" s="2"/>
      <c r="C14" s="2"/>
      <c r="D14" s="2"/>
      <c r="E14" s="2"/>
      <c r="F14" s="2"/>
      <c r="G14" s="2"/>
      <c r="I14" s="4" t="s">
        <v>17</v>
      </c>
      <c r="J14" s="10">
        <f>J$13 / $C$5 *$C$6 / 1000</f>
        <v>81798.757699999987</v>
      </c>
      <c r="K14" s="2"/>
      <c r="L14" s="2"/>
    </row>
    <row r="16" spans="1:12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21863057 hits</v>
      </c>
      <c r="D17" s="2" t="str">
        <f>$C11&amp;" missed"</f>
        <v>28668178 missed</v>
      </c>
      <c r="E17" s="2" t="str">
        <f>$C12&amp;" dirtied"</f>
        <v>25472137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2.684 MiB/s</v>
      </c>
      <c r="D18" s="2" t="str">
        <f>"Avg write rate: " &amp;ROUND($H12, 4)&amp;" MiB/s"</f>
        <v>Avg write rate: 2.3848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postgrespro.com/list/thread-id/2425287" xr:uid="{96D3DC39-05A0-4DC5-9CD3-76D0D17C15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FFF3-CE0B-4117-81AA-78C29AFEC49C}">
  <dimension ref="A1:L19"/>
  <sheetViews>
    <sheetView tabSelected="1" workbookViewId="0">
      <selection activeCell="G13" sqref="G13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2" x14ac:dyDescent="0.3">
      <c r="A1" s="1" t="s">
        <v>46</v>
      </c>
    </row>
    <row r="2" spans="1:12" x14ac:dyDescent="0.3">
      <c r="B2" s="4" t="s">
        <v>19</v>
      </c>
      <c r="C2" s="4"/>
      <c r="D2" s="4" t="s">
        <v>35</v>
      </c>
      <c r="E2" s="4"/>
      <c r="F2" s="4"/>
      <c r="G2" s="4"/>
      <c r="H2" s="4"/>
      <c r="I2" s="4"/>
      <c r="J2" s="4"/>
      <c r="K2" s="4"/>
      <c r="L2" s="4"/>
    </row>
    <row r="3" spans="1:12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1.36</v>
      </c>
      <c r="J3" s="2"/>
      <c r="K3" s="2"/>
      <c r="L3" s="2"/>
    </row>
    <row r="4" spans="1:12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21.94</v>
      </c>
      <c r="J4" s="2"/>
      <c r="K4" s="2"/>
      <c r="L4" s="2"/>
    </row>
    <row r="5" spans="1:12" x14ac:dyDescent="0.3">
      <c r="B5" s="2" t="s">
        <v>37</v>
      </c>
      <c r="C5" s="2">
        <v>200</v>
      </c>
      <c r="D5" s="2"/>
      <c r="E5" s="2"/>
      <c r="F5" s="2"/>
      <c r="G5" s="2"/>
      <c r="H5" s="2" t="s">
        <v>16</v>
      </c>
      <c r="I5" s="2"/>
      <c r="J5" s="2"/>
      <c r="K5" s="2"/>
      <c r="L5" s="2"/>
    </row>
    <row r="6" spans="1:12" x14ac:dyDescent="0.3">
      <c r="B6" s="2" t="s">
        <v>22</v>
      </c>
      <c r="C6" s="2">
        <v>2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</row>
    <row r="10" spans="1:12" x14ac:dyDescent="0.3">
      <c r="B10" s="2" t="s">
        <v>0</v>
      </c>
      <c r="C10" s="2">
        <v>95954</v>
      </c>
      <c r="D10" s="2">
        <f>$C10/MIN($C$10:$C$12)</f>
        <v>1.5117532140156289</v>
      </c>
      <c r="E10" s="2">
        <f>$C10/SUM($C$10:$C$12) *100</f>
        <v>40.365652554351485</v>
      </c>
      <c r="F10" s="2">
        <f>$C10/$I$4</f>
        <v>4373.4731084776658</v>
      </c>
      <c r="G10" s="2">
        <f>$C10*8/1024</f>
        <v>749.640625</v>
      </c>
      <c r="H10" s="2">
        <f>$G10/$I$4</f>
        <v>34.167758659981764</v>
      </c>
      <c r="I10" s="2">
        <v>1</v>
      </c>
      <c r="J10" s="2">
        <f>$C10*$I10</f>
        <v>95954</v>
      </c>
      <c r="K10" s="6">
        <f>$J10/MIN($J$10:$J$12)</f>
        <v>1</v>
      </c>
      <c r="L10" s="6">
        <f>$J10/SUM($J$10:$J$12)*100</f>
        <v>4.1784641485738074</v>
      </c>
    </row>
    <row r="11" spans="1:12" x14ac:dyDescent="0.3">
      <c r="B11" s="2" t="s">
        <v>1</v>
      </c>
      <c r="C11" s="2">
        <v>63472</v>
      </c>
      <c r="D11" s="2">
        <f t="shared" ref="D11:D12" si="0">$C11/MIN($C$10:$C$12)</f>
        <v>1</v>
      </c>
      <c r="E11" s="2">
        <f t="shared" ref="E11:E12" si="1">$C11/SUM($C$10:$C$12) *100</f>
        <v>26.70121828094501</v>
      </c>
      <c r="F11" s="2">
        <f t="shared" ref="F11:F12" si="2">$C11/$I$4</f>
        <v>2892.9808568824064</v>
      </c>
      <c r="G11" s="2">
        <f t="shared" ref="G11:G12" si="3">$C11*8/1024</f>
        <v>495.875</v>
      </c>
      <c r="H11" s="2">
        <f t="shared" ref="H11:H12" si="4">$G11/$I$4</f>
        <v>22.6014129443938</v>
      </c>
      <c r="I11" s="2">
        <v>10</v>
      </c>
      <c r="J11" s="2">
        <f t="shared" ref="J11:J12" si="5">$C11*$I11</f>
        <v>634720</v>
      </c>
      <c r="K11" s="6">
        <f t="shared" ref="K11:K12" si="6">$J11/MIN($J$10:$J$12)</f>
        <v>6.6148362757154473</v>
      </c>
      <c r="L11" s="6">
        <f t="shared" ref="L11:L12" si="7">$J11/SUM($J$10:$J$12)*100</f>
        <v>27.639856226762483</v>
      </c>
    </row>
    <row r="12" spans="1:12" x14ac:dyDescent="0.3">
      <c r="B12" s="2" t="s">
        <v>2</v>
      </c>
      <c r="C12" s="2">
        <v>78286</v>
      </c>
      <c r="D12" s="2">
        <f t="shared" si="0"/>
        <v>1.2333942525838164</v>
      </c>
      <c r="E12" s="2">
        <f t="shared" si="1"/>
        <v>32.933129164703509</v>
      </c>
      <c r="F12" s="2">
        <f t="shared" si="2"/>
        <v>3568.1859617137648</v>
      </c>
      <c r="G12" s="2">
        <f t="shared" si="3"/>
        <v>611.609375</v>
      </c>
      <c r="H12" s="2">
        <f t="shared" si="4"/>
        <v>27.876452825888787</v>
      </c>
      <c r="I12" s="2">
        <v>20</v>
      </c>
      <c r="J12" s="2">
        <f t="shared" si="5"/>
        <v>1565720</v>
      </c>
      <c r="K12" s="6">
        <f t="shared" si="6"/>
        <v>16.317402088500739</v>
      </c>
      <c r="L12" s="6">
        <f t="shared" si="7"/>
        <v>68.181679624663715</v>
      </c>
    </row>
    <row r="13" spans="1:12" x14ac:dyDescent="0.3">
      <c r="B13" s="2" t="s">
        <v>8</v>
      </c>
      <c r="C13" s="2">
        <f>SUM(C10:C12)</f>
        <v>237712</v>
      </c>
      <c r="D13" s="2">
        <f>SUM(D10:D12)</f>
        <v>3.7451474665994455</v>
      </c>
      <c r="E13" s="2">
        <f>SUM(E10:E12)</f>
        <v>100</v>
      </c>
      <c r="F13" s="2">
        <f>SUM(F10:F12)</f>
        <v>10834.639927073837</v>
      </c>
      <c r="G13" s="2">
        <f t="shared" ref="G13:L13" si="8">SUM(G10:G12)</f>
        <v>1857.125</v>
      </c>
      <c r="H13" s="2">
        <f t="shared" si="8"/>
        <v>84.645624430264348</v>
      </c>
      <c r="I13" s="2">
        <f t="shared" si="8"/>
        <v>31</v>
      </c>
      <c r="J13" s="2">
        <f t="shared" si="8"/>
        <v>2296394</v>
      </c>
      <c r="K13" s="6">
        <f t="shared" si="8"/>
        <v>23.932238364216186</v>
      </c>
      <c r="L13" s="6">
        <f t="shared" si="8"/>
        <v>100</v>
      </c>
    </row>
    <row r="14" spans="1:12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22.963939999999997</v>
      </c>
      <c r="K14" s="2"/>
      <c r="L14" s="2"/>
    </row>
    <row r="16" spans="1:12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95954 hits</v>
      </c>
      <c r="D17" s="2" t="str">
        <f>$C11&amp;" missed"</f>
        <v>63472 missed</v>
      </c>
      <c r="E17" s="2" t="str">
        <f>$C12&amp;" dirtied"</f>
        <v>78286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22.6014 MiB/s</v>
      </c>
      <c r="D18" s="2" t="str">
        <f>"Avg write rate: " &amp;ROUND($H12, 4)&amp;" MiB/s"</f>
        <v>Avg write rate: 27.8765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www.mssqltips.com/sqlservertip/8150/postgresql-vacuum-autovacuum-analyze-processes/" xr:uid="{EE45550A-A1C6-404D-AC19-B1C0A3AF9A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CD38-6A97-4C95-B5EB-4F29C660A6C2}">
  <dimension ref="A1:L19"/>
  <sheetViews>
    <sheetView workbookViewId="0">
      <selection activeCell="C13" sqref="C13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2" x14ac:dyDescent="0.3">
      <c r="A1" s="1" t="s">
        <v>46</v>
      </c>
    </row>
    <row r="2" spans="1:12" x14ac:dyDescent="0.3">
      <c r="B2" s="4" t="s">
        <v>19</v>
      </c>
      <c r="C2" s="4"/>
      <c r="D2" s="4" t="s">
        <v>36</v>
      </c>
      <c r="E2" s="4"/>
      <c r="F2" s="4"/>
      <c r="G2" s="4"/>
      <c r="H2" s="4"/>
      <c r="I2" s="4"/>
      <c r="J2" s="4"/>
      <c r="K2" s="4"/>
      <c r="L2" s="4"/>
    </row>
    <row r="3" spans="1:12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1.36</v>
      </c>
      <c r="J3" s="2"/>
      <c r="K3" s="2"/>
      <c r="L3" s="2"/>
    </row>
    <row r="4" spans="1:12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4.17</v>
      </c>
      <c r="J4" s="2"/>
      <c r="K4" s="2"/>
      <c r="L4" s="2"/>
    </row>
    <row r="5" spans="1:12" x14ac:dyDescent="0.3">
      <c r="B5" s="2" t="s">
        <v>37</v>
      </c>
      <c r="C5" s="2">
        <v>500</v>
      </c>
      <c r="D5" s="2"/>
      <c r="E5" s="2"/>
      <c r="F5" s="2"/>
      <c r="G5" s="2"/>
      <c r="H5" s="2" t="s">
        <v>16</v>
      </c>
      <c r="I5" s="2"/>
      <c r="J5" s="2"/>
      <c r="K5" s="2"/>
      <c r="L5" s="2"/>
    </row>
    <row r="6" spans="1:12" x14ac:dyDescent="0.3">
      <c r="B6" s="2" t="s">
        <v>22</v>
      </c>
      <c r="C6" s="2">
        <v>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</row>
    <row r="10" spans="1:12" x14ac:dyDescent="0.3">
      <c r="B10" s="2" t="s">
        <v>0</v>
      </c>
      <c r="C10" s="2">
        <v>97502</v>
      </c>
      <c r="D10" s="2">
        <f>$C10/MIN($C$10:$C$12)</f>
        <v>1.4997077552527147</v>
      </c>
      <c r="E10" s="2">
        <f>$C10/SUM($C$10:$C$12) *100</f>
        <v>42.635380955712584</v>
      </c>
      <c r="F10" s="2">
        <f>$C10/$I$4</f>
        <v>23381.774580335732</v>
      </c>
      <c r="G10" s="2">
        <f>$C10*8/1024</f>
        <v>761.734375</v>
      </c>
      <c r="H10" s="2">
        <f>$G10/$I$4</f>
        <v>182.67011390887291</v>
      </c>
      <c r="I10" s="2">
        <v>1</v>
      </c>
      <c r="J10" s="2">
        <f>$C10*$I10</f>
        <v>97502</v>
      </c>
      <c r="K10" s="6">
        <f>$J10/MIN($J$10:$J$12)</f>
        <v>1</v>
      </c>
      <c r="L10" s="6">
        <f>$J10/SUM($J$10:$J$12)*100</f>
        <v>4.7077807638712521</v>
      </c>
    </row>
    <row r="11" spans="1:12" x14ac:dyDescent="0.3">
      <c r="B11" s="2" t="s">
        <v>1</v>
      </c>
      <c r="C11" s="2">
        <v>65014</v>
      </c>
      <c r="D11" s="2">
        <f t="shared" ref="D11:D12" si="0">$C11/MIN($C$10:$C$12)</f>
        <v>1</v>
      </c>
      <c r="E11" s="2">
        <f t="shared" ref="E11:E12" si="1">$C11/SUM($C$10:$C$12) *100</f>
        <v>28.429126145665712</v>
      </c>
      <c r="F11" s="2">
        <f t="shared" ref="F11:F12" si="2">$C11/$I$4</f>
        <v>15590.887290167866</v>
      </c>
      <c r="G11" s="2">
        <f t="shared" ref="G11:G12" si="3">$C11*8/1024</f>
        <v>507.921875</v>
      </c>
      <c r="H11" s="2">
        <f t="shared" ref="H11:H12" si="4">$G11/$I$4</f>
        <v>121.80380695443645</v>
      </c>
      <c r="I11" s="2">
        <v>10</v>
      </c>
      <c r="J11" s="2">
        <f t="shared" ref="J11:J12" si="5">$C11*$I11</f>
        <v>650140</v>
      </c>
      <c r="K11" s="6">
        <f t="shared" ref="K11:K12" si="6">$J11/MIN($J$10:$J$12)</f>
        <v>6.6679657853172243</v>
      </c>
      <c r="L11" s="6">
        <f t="shared" ref="L11:L12" si="7">$J11/SUM($J$10:$J$12)*100</f>
        <v>31.391321058268097</v>
      </c>
    </row>
    <row r="12" spans="1:12" x14ac:dyDescent="0.3">
      <c r="B12" s="2" t="s">
        <v>2</v>
      </c>
      <c r="C12" s="2">
        <v>66172</v>
      </c>
      <c r="D12" s="2">
        <f t="shared" si="0"/>
        <v>1.0178115482819086</v>
      </c>
      <c r="E12" s="2">
        <f t="shared" si="1"/>
        <v>28.9354928986217</v>
      </c>
      <c r="F12" s="2">
        <f t="shared" si="2"/>
        <v>15868.585131894484</v>
      </c>
      <c r="G12" s="2">
        <f t="shared" si="3"/>
        <v>516.96875</v>
      </c>
      <c r="H12" s="2">
        <f t="shared" si="4"/>
        <v>123.97332134292566</v>
      </c>
      <c r="I12" s="2">
        <v>20</v>
      </c>
      <c r="J12" s="2">
        <f t="shared" si="5"/>
        <v>1323440</v>
      </c>
      <c r="K12" s="6">
        <f t="shared" si="6"/>
        <v>13.573465159689032</v>
      </c>
      <c r="L12" s="6">
        <f t="shared" si="7"/>
        <v>63.900898177860654</v>
      </c>
    </row>
    <row r="13" spans="1:12" x14ac:dyDescent="0.3">
      <c r="B13" s="2" t="s">
        <v>8</v>
      </c>
      <c r="C13" s="2">
        <f>SUM(C10:C12)</f>
        <v>228688</v>
      </c>
      <c r="D13" s="2">
        <f>SUM(D10:D12)</f>
        <v>3.5175193035346233</v>
      </c>
      <c r="E13" s="2">
        <f>SUM(E10:E12)</f>
        <v>100</v>
      </c>
      <c r="F13" s="2">
        <f>SUM(F10:F12)</f>
        <v>54841.247002398079</v>
      </c>
      <c r="G13" s="2">
        <f t="shared" ref="G13:L13" si="8">SUM(G10:G12)</f>
        <v>1786.625</v>
      </c>
      <c r="H13" s="2">
        <f t="shared" si="8"/>
        <v>428.44724220623499</v>
      </c>
      <c r="I13" s="2">
        <f t="shared" si="8"/>
        <v>31</v>
      </c>
      <c r="J13" s="2">
        <f t="shared" si="8"/>
        <v>2071082</v>
      </c>
      <c r="K13" s="6">
        <f t="shared" si="8"/>
        <v>21.241430945006258</v>
      </c>
      <c r="L13" s="6">
        <f t="shared" si="8"/>
        <v>100</v>
      </c>
    </row>
    <row r="14" spans="1:12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4.1421640000000002</v>
      </c>
      <c r="K14" s="2"/>
      <c r="L14" s="2"/>
    </row>
    <row r="16" spans="1:12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97502 hits</v>
      </c>
      <c r="D17" s="2" t="str">
        <f>$C11&amp;" missed"</f>
        <v>65014 missed</v>
      </c>
      <c r="E17" s="2" t="str">
        <f>$C12&amp;" dirtied"</f>
        <v>66172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121.8038 MiB/s</v>
      </c>
      <c r="D18" s="2" t="str">
        <f>"Avg write rate: " &amp;ROUND($H12, 4)&amp;" MiB/s"</f>
        <v>Avg write rate: 123.9733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www.mssqltips.com/sqlservertip/8150/postgresql-vacuum-autovacuum-analyze-processes/" xr:uid="{6CE7E4DE-E368-40E3-B3F8-548BBCA2081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DFC9-E02B-4B6F-9161-81030266ACE0}">
  <dimension ref="A1:L19"/>
  <sheetViews>
    <sheetView workbookViewId="0">
      <selection activeCell="I21" sqref="A17:I21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2" x14ac:dyDescent="0.3">
      <c r="A1" s="7" t="s">
        <v>6</v>
      </c>
    </row>
    <row r="2" spans="1:12" x14ac:dyDescent="0.3">
      <c r="B2" s="4" t="s">
        <v>19</v>
      </c>
      <c r="C2" s="4"/>
      <c r="D2" s="4" t="s">
        <v>39</v>
      </c>
      <c r="E2" s="4"/>
      <c r="F2" s="4"/>
      <c r="G2" s="4"/>
      <c r="H2" s="4"/>
      <c r="I2" s="4"/>
      <c r="J2" s="4"/>
      <c r="K2" s="4"/>
      <c r="L2" s="4"/>
    </row>
    <row r="3" spans="1:12" x14ac:dyDescent="0.3">
      <c r="B3" s="2" t="s">
        <v>20</v>
      </c>
      <c r="C3" s="2">
        <v>4800</v>
      </c>
      <c r="D3" s="2"/>
      <c r="E3" s="2"/>
      <c r="F3" s="2"/>
      <c r="G3" s="2"/>
      <c r="H3" s="4" t="s">
        <v>27</v>
      </c>
      <c r="I3" s="2">
        <v>1.36</v>
      </c>
      <c r="J3" s="2"/>
      <c r="K3" s="2"/>
      <c r="L3" s="2"/>
    </row>
    <row r="4" spans="1:12" x14ac:dyDescent="0.3">
      <c r="B4" s="2" t="s">
        <v>21</v>
      </c>
      <c r="C4" s="2">
        <v>8</v>
      </c>
      <c r="D4" s="2"/>
      <c r="E4" s="2"/>
      <c r="F4" s="2"/>
      <c r="G4" s="2"/>
      <c r="H4" s="4" t="s">
        <v>4</v>
      </c>
      <c r="I4" s="2">
        <v>264.08999999999997</v>
      </c>
      <c r="J4" s="2"/>
      <c r="K4" s="2"/>
      <c r="L4" s="2"/>
    </row>
    <row r="5" spans="1:12" x14ac:dyDescent="0.3">
      <c r="B5" s="2" t="s">
        <v>37</v>
      </c>
      <c r="C5" s="2">
        <f>$C$3/$C$4</f>
        <v>600</v>
      </c>
      <c r="D5" s="2"/>
      <c r="E5" s="2"/>
      <c r="F5" s="2"/>
      <c r="G5" s="2"/>
      <c r="H5" s="2" t="s">
        <v>16</v>
      </c>
      <c r="I5" s="2"/>
      <c r="J5" s="2"/>
      <c r="K5" s="2"/>
      <c r="L5" s="2"/>
    </row>
    <row r="6" spans="1:12" x14ac:dyDescent="0.3">
      <c r="B6" s="2" t="s">
        <v>22</v>
      </c>
      <c r="C6" s="2">
        <v>20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</row>
    <row r="10" spans="1:12" x14ac:dyDescent="0.3">
      <c r="B10" s="2" t="s">
        <v>0</v>
      </c>
      <c r="C10" s="2">
        <v>756502</v>
      </c>
      <c r="D10" s="2">
        <f>$C10/MIN($C$10:$C$12)</f>
        <v>6.4212643873289652</v>
      </c>
      <c r="E10" s="2">
        <f>$C10/SUM($C$10:$C$12) *100</f>
        <v>53.133199979772215</v>
      </c>
      <c r="F10" s="2">
        <f>$C10/$I$4</f>
        <v>2864.5613237911321</v>
      </c>
      <c r="G10" s="2">
        <f>$C10*8/1024</f>
        <v>5910.171875</v>
      </c>
      <c r="H10" s="2">
        <f>$G10/$I$4</f>
        <v>22.379385342118219</v>
      </c>
      <c r="I10" s="2">
        <v>1</v>
      </c>
      <c r="J10" s="2">
        <f>$C10*$I10</f>
        <v>756502</v>
      </c>
      <c r="K10" s="6">
        <f>$J10/MIN($J$10:$J$12)</f>
        <v>1</v>
      </c>
      <c r="L10" s="6">
        <f>$J10/SUM($J$10:$J$12)*100</f>
        <v>8.7889293938896138</v>
      </c>
    </row>
    <row r="11" spans="1:12" x14ac:dyDescent="0.3">
      <c r="B11" s="2" t="s">
        <v>1</v>
      </c>
      <c r="C11" s="2">
        <v>549470</v>
      </c>
      <c r="D11" s="2">
        <f t="shared" ref="D11:D12" si="0">$C11/MIN($C$10:$C$12)</f>
        <v>4.6639561335008315</v>
      </c>
      <c r="E11" s="2">
        <f t="shared" ref="E11:E12" si="1">$C11/SUM($C$10:$C$12) *100</f>
        <v>38.592230282121449</v>
      </c>
      <c r="F11" s="2">
        <f t="shared" ref="F11:F12" si="2">$C11/$I$4</f>
        <v>2080.616456511038</v>
      </c>
      <c r="G11" s="2">
        <f t="shared" ref="G11:G12" si="3">$C11*8/1024</f>
        <v>4292.734375</v>
      </c>
      <c r="H11" s="2">
        <f t="shared" ref="H11:H12" si="4">$G11/$I$4</f>
        <v>16.254816066492484</v>
      </c>
      <c r="I11" s="2">
        <v>10</v>
      </c>
      <c r="J11" s="2">
        <f t="shared" ref="J11:J12" si="5">$C11*$I11</f>
        <v>5494700</v>
      </c>
      <c r="K11" s="6">
        <f t="shared" ref="K11:K12" si="6">$J11/MIN($J$10:$J$12)</f>
        <v>7.2632987090582706</v>
      </c>
      <c r="L11" s="6">
        <f t="shared" ref="L11:L12" si="7">$J11/SUM($J$10:$J$12)*100</f>
        <v>63.836619520642721</v>
      </c>
    </row>
    <row r="12" spans="1:12" x14ac:dyDescent="0.3">
      <c r="B12" s="2" t="s">
        <v>2</v>
      </c>
      <c r="C12" s="2">
        <v>117812</v>
      </c>
      <c r="D12" s="2">
        <f t="shared" si="0"/>
        <v>1</v>
      </c>
      <c r="E12" s="2">
        <f t="shared" si="1"/>
        <v>8.2745697381063419</v>
      </c>
      <c r="F12" s="2">
        <f t="shared" si="2"/>
        <v>446.10549433905112</v>
      </c>
      <c r="G12" s="2">
        <f t="shared" si="3"/>
        <v>920.40625</v>
      </c>
      <c r="H12" s="2">
        <f t="shared" si="4"/>
        <v>3.4851991745238369</v>
      </c>
      <c r="I12" s="2">
        <v>20</v>
      </c>
      <c r="J12" s="2">
        <f t="shared" si="5"/>
        <v>2356240</v>
      </c>
      <c r="K12" s="6">
        <f t="shared" si="6"/>
        <v>3.1146513822831929</v>
      </c>
      <c r="L12" s="6">
        <f t="shared" si="7"/>
        <v>27.374451085467665</v>
      </c>
    </row>
    <row r="13" spans="1:12" x14ac:dyDescent="0.3">
      <c r="B13" s="2" t="s">
        <v>8</v>
      </c>
      <c r="C13" s="2">
        <f>SUM(C10:C12)</f>
        <v>1423784</v>
      </c>
      <c r="D13" s="2">
        <f>SUM(D10:D12)</f>
        <v>12.085220520829797</v>
      </c>
      <c r="E13" s="2">
        <f>SUM(E10:E12)</f>
        <v>100</v>
      </c>
      <c r="F13" s="2">
        <f>SUM(F10:F12)</f>
        <v>5391.2832746412214</v>
      </c>
      <c r="G13" s="2">
        <f t="shared" ref="G13:L13" si="8">SUM(G10:G12)</f>
        <v>11123.3125</v>
      </c>
      <c r="H13" s="2">
        <f t="shared" si="8"/>
        <v>42.119400583134542</v>
      </c>
      <c r="I13" s="2">
        <f t="shared" si="8"/>
        <v>31</v>
      </c>
      <c r="J13" s="2">
        <f t="shared" si="8"/>
        <v>8607442</v>
      </c>
      <c r="K13" s="6">
        <f t="shared" si="8"/>
        <v>11.377950091341464</v>
      </c>
      <c r="L13" s="6">
        <f t="shared" si="8"/>
        <v>100</v>
      </c>
    </row>
    <row r="14" spans="1:12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286.91473333333334</v>
      </c>
      <c r="K14" s="2"/>
      <c r="L14" s="2"/>
    </row>
    <row r="16" spans="1:12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756502 hits</v>
      </c>
      <c r="D17" s="2" t="str">
        <f>$C11&amp;" missed"</f>
        <v>549470 missed</v>
      </c>
      <c r="E17" s="2" t="str">
        <f>$C12&amp;" dirtied"</f>
        <v>117812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16.2548 MiB/s</v>
      </c>
      <c r="D18" s="2" t="str">
        <f>"Avg write rate: " &amp;ROUND($H12, 4)&amp;" MiB/s"</f>
        <v>Avg write rate: 3.4852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aws.amazon.com/blogs/database/a-case-study-of-tuning-autovacuum-in-amazon-rds-for-postgresql/" xr:uid="{1A8B4CD9-7DF6-4D6D-8636-C38726F138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395D-B658-4DC5-AFC5-AEC54FB89C5F}">
  <dimension ref="A1:L19"/>
  <sheetViews>
    <sheetView topLeftCell="F1" workbookViewId="0">
      <selection activeCell="M1" sqref="M1:W1048576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2" x14ac:dyDescent="0.3">
      <c r="A1" s="1" t="s">
        <v>33</v>
      </c>
    </row>
    <row r="2" spans="1:12" x14ac:dyDescent="0.3">
      <c r="B2" s="4" t="s">
        <v>19</v>
      </c>
      <c r="C2" s="4"/>
      <c r="D2" s="4" t="s">
        <v>34</v>
      </c>
      <c r="E2" s="4"/>
      <c r="F2" s="4"/>
      <c r="G2" s="4"/>
      <c r="H2" s="4"/>
      <c r="I2" s="4"/>
      <c r="J2" s="4"/>
      <c r="K2" s="4"/>
      <c r="L2" s="4"/>
    </row>
    <row r="3" spans="1:12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1.36</v>
      </c>
      <c r="J3" s="2"/>
      <c r="K3" s="2"/>
      <c r="L3" s="2"/>
    </row>
    <row r="4" spans="1:12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19119.55</v>
      </c>
      <c r="J4" s="2"/>
      <c r="K4" s="2"/>
      <c r="L4" s="2"/>
    </row>
    <row r="5" spans="1:12" x14ac:dyDescent="0.3">
      <c r="B5" s="2" t="s">
        <v>37</v>
      </c>
      <c r="C5" s="2">
        <v>200</v>
      </c>
      <c r="D5" s="2"/>
      <c r="E5" s="2"/>
      <c r="F5" s="2"/>
      <c r="G5" s="2"/>
      <c r="H5" s="2" t="s">
        <v>16</v>
      </c>
      <c r="I5" s="2"/>
      <c r="J5" s="2"/>
      <c r="K5" s="2"/>
      <c r="L5" s="2"/>
    </row>
    <row r="6" spans="1:12" x14ac:dyDescent="0.3">
      <c r="B6" s="2" t="s">
        <v>22</v>
      </c>
      <c r="C6" s="2">
        <v>20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</row>
    <row r="10" spans="1:12" x14ac:dyDescent="0.3">
      <c r="B10" s="2" t="s">
        <v>0</v>
      </c>
      <c r="C10" s="2">
        <v>4808221</v>
      </c>
      <c r="D10" s="2">
        <f>$C10/MIN($C$10:$C$12)</f>
        <v>1</v>
      </c>
      <c r="E10" s="2">
        <f>$C10/SUM($C$10:$C$12) *100</f>
        <v>27.689195237400899</v>
      </c>
      <c r="F10" s="2">
        <f>$C10/$I$4</f>
        <v>251.48191249271036</v>
      </c>
      <c r="G10" s="2">
        <f>$C10*8/1024</f>
        <v>37564.2265625</v>
      </c>
      <c r="H10" s="2">
        <f>$G10/$I$4</f>
        <v>1.9647024413492997</v>
      </c>
      <c r="I10" s="2">
        <v>1</v>
      </c>
      <c r="J10" s="2">
        <f>$C10*$I10</f>
        <v>4808221</v>
      </c>
      <c r="K10" s="6">
        <f>$J10/MIN($J$10:$J$12)</f>
        <v>1</v>
      </c>
      <c r="L10" s="6">
        <f>$J10/SUM($J$10:$J$12)*100</f>
        <v>2.5055637712464764</v>
      </c>
    </row>
    <row r="11" spans="1:12" x14ac:dyDescent="0.3">
      <c r="B11" s="2" t="s">
        <v>1</v>
      </c>
      <c r="C11" s="2">
        <v>6404148</v>
      </c>
      <c r="D11" s="2">
        <f t="shared" ref="D11:D12" si="0">$C11/MIN($C$10:$C$12)</f>
        <v>1.3319163158265812</v>
      </c>
      <c r="E11" s="2">
        <f t="shared" ref="E11:E12" si="1">$C11/SUM($C$10:$C$12) *100</f>
        <v>36.879690908801926</v>
      </c>
      <c r="F11" s="2">
        <f t="shared" ref="F11:F12" si="2">$C11/$I$4</f>
        <v>334.95286238431345</v>
      </c>
      <c r="G11" s="2">
        <f t="shared" ref="G11:G12" si="3">$C11*8/1024</f>
        <v>50032.40625</v>
      </c>
      <c r="H11" s="2">
        <f t="shared" ref="H11:H12" si="4">$G11/$I$4</f>
        <v>2.6168192373774488</v>
      </c>
      <c r="I11" s="2">
        <v>10</v>
      </c>
      <c r="J11" s="2">
        <f t="shared" ref="J11:J12" si="5">$C11*$I11</f>
        <v>64041480</v>
      </c>
      <c r="K11" s="6">
        <f t="shared" ref="K11:K12" si="6">$J11/MIN($J$10:$J$12)</f>
        <v>13.319163158265813</v>
      </c>
      <c r="L11" s="6">
        <f t="shared" ref="L11:L12" si="7">$J11/SUM($J$10:$J$12)*100</f>
        <v>33.372012672671616</v>
      </c>
    </row>
    <row r="12" spans="1:12" x14ac:dyDescent="0.3">
      <c r="B12" s="2" t="s">
        <v>2</v>
      </c>
      <c r="C12" s="2">
        <v>6152603</v>
      </c>
      <c r="D12" s="2">
        <f t="shared" si="0"/>
        <v>1.2796007088692471</v>
      </c>
      <c r="E12" s="2">
        <f t="shared" si="1"/>
        <v>35.431113853797171</v>
      </c>
      <c r="F12" s="2">
        <f t="shared" si="2"/>
        <v>321.79643349346611</v>
      </c>
      <c r="G12" s="2">
        <f t="shared" si="3"/>
        <v>48067.2109375</v>
      </c>
      <c r="H12" s="2">
        <f t="shared" si="4"/>
        <v>2.514034636667704</v>
      </c>
      <c r="I12" s="2">
        <v>20</v>
      </c>
      <c r="J12" s="2">
        <f t="shared" si="5"/>
        <v>123052060</v>
      </c>
      <c r="K12" s="6">
        <f t="shared" si="6"/>
        <v>25.592014177384943</v>
      </c>
      <c r="L12" s="6">
        <f t="shared" si="7"/>
        <v>64.122423556081912</v>
      </c>
    </row>
    <row r="13" spans="1:12" x14ac:dyDescent="0.3">
      <c r="B13" s="2" t="s">
        <v>8</v>
      </c>
      <c r="C13" s="2">
        <f>SUM(C10:C12)</f>
        <v>17364972</v>
      </c>
      <c r="D13" s="2">
        <f>SUM(D10:D12)</f>
        <v>3.6115170246958286</v>
      </c>
      <c r="E13" s="2">
        <f>SUM(E10:E12)</f>
        <v>100</v>
      </c>
      <c r="F13" s="2">
        <f>SUM(F10:F12)</f>
        <v>908.23120837048987</v>
      </c>
      <c r="G13" s="2">
        <f t="shared" ref="G13:L13" si="8">SUM(G10:G12)</f>
        <v>135663.84375</v>
      </c>
      <c r="H13" s="2">
        <f t="shared" si="8"/>
        <v>7.0955563153944521</v>
      </c>
      <c r="I13" s="2">
        <f t="shared" si="8"/>
        <v>31</v>
      </c>
      <c r="J13" s="2">
        <f t="shared" si="8"/>
        <v>191901761</v>
      </c>
      <c r="K13" s="6">
        <f t="shared" si="8"/>
        <v>39.911177335650756</v>
      </c>
      <c r="L13" s="6">
        <f t="shared" si="8"/>
        <v>100</v>
      </c>
    </row>
    <row r="14" spans="1:12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19190.176100000001</v>
      </c>
      <c r="K14" s="2"/>
      <c r="L14" s="2"/>
    </row>
    <row r="16" spans="1:12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4808221 hits</v>
      </c>
      <c r="D17" s="2" t="str">
        <f>$C11&amp;" missed"</f>
        <v>6404148 missed</v>
      </c>
      <c r="E17" s="2" t="str">
        <f>$C12&amp;" dirtied"</f>
        <v>6152603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2.6168 MiB/s</v>
      </c>
      <c r="D18" s="2" t="str">
        <f>"Avg write rate: " &amp;ROUND($H12, 4)&amp;" MiB/s"</f>
        <v>Avg write rate: 2.514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postgrespro.com/list/thread-id/2425287" xr:uid="{AF9FC1B3-786B-49DA-B368-9DBD49DBDC8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6437-5EDB-46A5-8DD3-560939951437}">
  <dimension ref="A1:L19"/>
  <sheetViews>
    <sheetView topLeftCell="F1" workbookViewId="0">
      <selection activeCell="M1" sqref="M1:W1048576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2" x14ac:dyDescent="0.3">
      <c r="A1" s="1" t="s">
        <v>33</v>
      </c>
    </row>
    <row r="2" spans="1:12" x14ac:dyDescent="0.3">
      <c r="B2" s="4" t="s">
        <v>19</v>
      </c>
      <c r="C2" s="4"/>
      <c r="D2" s="4" t="s">
        <v>35</v>
      </c>
      <c r="E2" s="4"/>
      <c r="F2" s="4"/>
      <c r="G2" s="4"/>
      <c r="H2" s="4"/>
      <c r="I2" s="4"/>
      <c r="J2" s="4"/>
      <c r="K2" s="4"/>
      <c r="L2" s="4"/>
    </row>
    <row r="3" spans="1:12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71.22</v>
      </c>
      <c r="J3" s="2"/>
      <c r="K3" s="2"/>
      <c r="L3" s="2"/>
    </row>
    <row r="4" spans="1:12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10384.93</v>
      </c>
      <c r="J4" s="2"/>
      <c r="K4" s="2"/>
      <c r="L4" s="2"/>
    </row>
    <row r="5" spans="1:12" x14ac:dyDescent="0.3">
      <c r="B5" s="2" t="s">
        <v>37</v>
      </c>
      <c r="C5" s="2">
        <v>200</v>
      </c>
      <c r="D5" s="2"/>
      <c r="E5" s="2"/>
      <c r="F5" s="2"/>
      <c r="G5" s="2"/>
      <c r="H5" s="2" t="s">
        <v>16</v>
      </c>
      <c r="I5" s="2"/>
      <c r="J5" s="2"/>
      <c r="K5" s="2"/>
      <c r="L5" s="2"/>
    </row>
    <row r="6" spans="1:12" x14ac:dyDescent="0.3">
      <c r="B6" s="2" t="s">
        <v>22</v>
      </c>
      <c r="C6" s="2">
        <v>20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</row>
    <row r="10" spans="1:12" x14ac:dyDescent="0.3">
      <c r="B10" s="2" t="s">
        <v>0</v>
      </c>
      <c r="C10" s="2">
        <v>2655076</v>
      </c>
      <c r="D10" s="2">
        <f>$C10/MIN($C$10:$C$12)</f>
        <v>1</v>
      </c>
      <c r="E10" s="2">
        <f>$C10/SUM($C$10:$C$12) *100</f>
        <v>27.961522255418192</v>
      </c>
      <c r="F10" s="2">
        <f>$C10/$I$4</f>
        <v>255.66623944504198</v>
      </c>
      <c r="G10" s="2">
        <f>$C10*8/1024</f>
        <v>20742.78125</v>
      </c>
      <c r="H10" s="2">
        <f>$G10/$I$4</f>
        <v>1.9973924956643905</v>
      </c>
      <c r="I10" s="2">
        <v>1</v>
      </c>
      <c r="J10" s="2">
        <f>$C10*$I10</f>
        <v>2655076</v>
      </c>
      <c r="K10" s="6">
        <f>$J10/MIN($J$10:$J$12)</f>
        <v>1</v>
      </c>
      <c r="L10" s="6">
        <f>$J10/SUM($J$10:$J$12)*100</f>
        <v>2.5433424882101487</v>
      </c>
    </row>
    <row r="11" spans="1:12" x14ac:dyDescent="0.3">
      <c r="B11" s="2" t="s">
        <v>1</v>
      </c>
      <c r="C11" s="2">
        <v>3506964</v>
      </c>
      <c r="D11" s="2">
        <f t="shared" ref="D11:D12" si="0">$C11/MIN($C$10:$C$12)</f>
        <v>1.3208525857640234</v>
      </c>
      <c r="E11" s="2">
        <f t="shared" ref="E11:E12" si="1">$C11/SUM($C$10:$C$12) *100</f>
        <v>36.933048972967406</v>
      </c>
      <c r="F11" s="2">
        <f t="shared" ref="F11:F12" si="2">$C11/$I$4</f>
        <v>337.69741346354766</v>
      </c>
      <c r="G11" s="2">
        <f t="shared" ref="G11:G12" si="3">$C11*8/1024</f>
        <v>27398.15625</v>
      </c>
      <c r="H11" s="2">
        <f t="shared" ref="H11:H12" si="4">$G11/$I$4</f>
        <v>2.6382610426839661</v>
      </c>
      <c r="I11" s="2">
        <v>10</v>
      </c>
      <c r="J11" s="2">
        <f t="shared" ref="J11:J12" si="5">$C11*$I11</f>
        <v>35069640</v>
      </c>
      <c r="K11" s="6">
        <f t="shared" ref="K11:K12" si="6">$J11/MIN($J$10:$J$12)</f>
        <v>13.208525857640232</v>
      </c>
      <c r="L11" s="6">
        <f t="shared" ref="L11:L12" si="7">$J11/SUM($J$10:$J$12)*100</f>
        <v>33.593805020358801</v>
      </c>
    </row>
    <row r="12" spans="1:12" x14ac:dyDescent="0.3">
      <c r="B12" s="2" t="s">
        <v>2</v>
      </c>
      <c r="C12" s="2">
        <v>3333423</v>
      </c>
      <c r="D12" s="2">
        <f t="shared" si="0"/>
        <v>1.2554906149579146</v>
      </c>
      <c r="E12" s="2">
        <f t="shared" si="1"/>
        <v>35.105428771614399</v>
      </c>
      <c r="F12" s="2">
        <f t="shared" si="2"/>
        <v>320.98656418483318</v>
      </c>
      <c r="G12" s="2">
        <f t="shared" si="3"/>
        <v>26042.3671875</v>
      </c>
      <c r="H12" s="2">
        <f t="shared" si="4"/>
        <v>2.5077075326940093</v>
      </c>
      <c r="I12" s="2">
        <v>20</v>
      </c>
      <c r="J12" s="2">
        <f t="shared" si="5"/>
        <v>66668460</v>
      </c>
      <c r="K12" s="6">
        <f t="shared" si="6"/>
        <v>25.109812299158293</v>
      </c>
      <c r="L12" s="6">
        <f t="shared" si="7"/>
        <v>63.862852491431042</v>
      </c>
    </row>
    <row r="13" spans="1:12" x14ac:dyDescent="0.3">
      <c r="B13" s="2" t="s">
        <v>8</v>
      </c>
      <c r="C13" s="2">
        <f>SUM(C10:C12)</f>
        <v>9495463</v>
      </c>
      <c r="D13" s="2">
        <f>SUM(D10:D12)</f>
        <v>3.5763432007219382</v>
      </c>
      <c r="E13" s="2">
        <f>SUM(E10:E12)</f>
        <v>100</v>
      </c>
      <c r="F13" s="2">
        <f>SUM(F10:F12)</f>
        <v>914.35021709342277</v>
      </c>
      <c r="G13" s="2">
        <f t="shared" ref="G13:L13" si="8">SUM(G10:G12)</f>
        <v>74183.3046875</v>
      </c>
      <c r="H13" s="2">
        <f t="shared" si="8"/>
        <v>7.1433610710423654</v>
      </c>
      <c r="I13" s="2">
        <f t="shared" si="8"/>
        <v>31</v>
      </c>
      <c r="J13" s="2">
        <f t="shared" si="8"/>
        <v>104393176</v>
      </c>
      <c r="K13" s="6">
        <f t="shared" si="8"/>
        <v>39.318338156798525</v>
      </c>
      <c r="L13" s="6">
        <f t="shared" si="8"/>
        <v>100</v>
      </c>
    </row>
    <row r="14" spans="1:12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10439.3176</v>
      </c>
      <c r="K14" s="2"/>
      <c r="L14" s="2"/>
    </row>
    <row r="16" spans="1:12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2655076 hits</v>
      </c>
      <c r="D17" s="2" t="str">
        <f>$C11&amp;" missed"</f>
        <v>3506964 missed</v>
      </c>
      <c r="E17" s="2" t="str">
        <f>$C12&amp;" dirtied"</f>
        <v>3333423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2.6383 MiB/s</v>
      </c>
      <c r="D18" s="2" t="str">
        <f>"Avg write rate: " &amp;ROUND($H12, 4)&amp;" MiB/s"</f>
        <v>Avg write rate: 2.5077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postgrespro.com/list/thread-id/2425287" xr:uid="{72F46CEC-08F0-44A9-AA81-8C8E8D593E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65E7-0196-4D29-8DDB-24BCEC78EF19}">
  <dimension ref="A1:L19"/>
  <sheetViews>
    <sheetView topLeftCell="F1" workbookViewId="0">
      <selection activeCell="M1" sqref="M1:V1048576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2" x14ac:dyDescent="0.3">
      <c r="A1" s="1" t="s">
        <v>33</v>
      </c>
    </row>
    <row r="2" spans="1:12" x14ac:dyDescent="0.3">
      <c r="B2" s="4" t="s">
        <v>19</v>
      </c>
      <c r="C2" s="4"/>
      <c r="D2" s="4" t="s">
        <v>36</v>
      </c>
      <c r="E2" s="4"/>
      <c r="F2" s="4"/>
      <c r="G2" s="4"/>
      <c r="H2" s="4"/>
      <c r="I2" s="4"/>
      <c r="J2" s="4"/>
      <c r="K2" s="4"/>
      <c r="L2" s="4"/>
    </row>
    <row r="3" spans="1:12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1.55</v>
      </c>
      <c r="J3" s="2"/>
      <c r="K3" s="2"/>
      <c r="L3" s="2"/>
    </row>
    <row r="4" spans="1:12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264.04000000000002</v>
      </c>
      <c r="J4" s="2"/>
      <c r="K4" s="2"/>
      <c r="L4" s="2"/>
    </row>
    <row r="5" spans="1:12" x14ac:dyDescent="0.3">
      <c r="B5" s="2" t="s">
        <v>37</v>
      </c>
      <c r="C5" s="2">
        <v>200</v>
      </c>
      <c r="D5" s="2"/>
      <c r="E5" s="2"/>
      <c r="F5" s="2"/>
      <c r="G5" s="2"/>
      <c r="H5" s="2" t="s">
        <v>16</v>
      </c>
      <c r="I5" s="2"/>
      <c r="J5" s="2"/>
      <c r="K5" s="2"/>
      <c r="L5" s="2"/>
    </row>
    <row r="6" spans="1:12" x14ac:dyDescent="0.3">
      <c r="B6" s="2" t="s">
        <v>22</v>
      </c>
      <c r="C6" s="2">
        <v>20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</row>
    <row r="10" spans="1:12" x14ac:dyDescent="0.3">
      <c r="B10" s="2" t="s">
        <v>0</v>
      </c>
      <c r="C10" s="2">
        <v>200575</v>
      </c>
      <c r="D10" s="2">
        <f>$C10/MIN($C$10:$C$12)</f>
        <v>8.266361688097593</v>
      </c>
      <c r="E10" s="2">
        <f>$C10/SUM($C$10:$C$12) *100</f>
        <v>47.503392676555364</v>
      </c>
      <c r="F10" s="2">
        <f>$C10/$I$4</f>
        <v>759.63869110740791</v>
      </c>
      <c r="G10" s="2">
        <f>$C10*8/1024</f>
        <v>1566.9921875</v>
      </c>
      <c r="H10" s="2">
        <f>$G10/$I$4</f>
        <v>5.9346772742766243</v>
      </c>
      <c r="I10" s="2">
        <v>1</v>
      </c>
      <c r="J10" s="2">
        <f>$C10*$I10</f>
        <v>200575</v>
      </c>
      <c r="K10" s="6">
        <f>$J10/MIN($J$10:$J$12)</f>
        <v>1</v>
      </c>
      <c r="L10" s="6">
        <f>$J10/SUM($J$10:$J$12)*100</f>
        <v>7.5409947007194162</v>
      </c>
    </row>
    <row r="11" spans="1:12" x14ac:dyDescent="0.3">
      <c r="B11" s="2" t="s">
        <v>1</v>
      </c>
      <c r="C11" s="2">
        <v>197394</v>
      </c>
      <c r="D11" s="2">
        <f t="shared" ref="D11:D12" si="0">$C11/MIN($C$10:$C$12)</f>
        <v>8.1352621167161221</v>
      </c>
      <c r="E11" s="2">
        <f t="shared" ref="E11:E12" si="1">$C11/SUM($C$10:$C$12) *100</f>
        <v>46.750017170614328</v>
      </c>
      <c r="F11" s="2">
        <f t="shared" ref="F11:F12" si="2">$C11/$I$4</f>
        <v>747.59127404938636</v>
      </c>
      <c r="G11" s="2">
        <f t="shared" ref="G11:G12" si="3">$C11*8/1024</f>
        <v>1542.140625</v>
      </c>
      <c r="H11" s="2">
        <f t="shared" ref="H11:H12" si="4">$G11/$I$4</f>
        <v>5.8405568285108309</v>
      </c>
      <c r="I11" s="2">
        <v>10</v>
      </c>
      <c r="J11" s="2">
        <f t="shared" ref="J11:J12" si="5">$C11*$I11</f>
        <v>1973940</v>
      </c>
      <c r="K11" s="6">
        <f t="shared" ref="K11:K12" si="6">$J11/MIN($J$10:$J$12)</f>
        <v>9.841405957871121</v>
      </c>
      <c r="L11" s="6">
        <f t="shared" ref="L11:L12" si="7">$J11/SUM($J$10:$J$12)*100</f>
        <v>74.213990175934612</v>
      </c>
    </row>
    <row r="12" spans="1:12" x14ac:dyDescent="0.3">
      <c r="B12" s="2" t="s">
        <v>2</v>
      </c>
      <c r="C12" s="2">
        <v>24264</v>
      </c>
      <c r="D12" s="2">
        <f t="shared" si="0"/>
        <v>1</v>
      </c>
      <c r="E12" s="2">
        <f t="shared" si="1"/>
        <v>5.7465901528303096</v>
      </c>
      <c r="F12" s="2">
        <f t="shared" si="2"/>
        <v>91.895167398878954</v>
      </c>
      <c r="G12" s="2">
        <f t="shared" si="3"/>
        <v>189.5625</v>
      </c>
      <c r="H12" s="2">
        <f t="shared" si="4"/>
        <v>0.71793099530374183</v>
      </c>
      <c r="I12" s="2">
        <v>20</v>
      </c>
      <c r="J12" s="2">
        <f t="shared" si="5"/>
        <v>485280</v>
      </c>
      <c r="K12" s="6">
        <f t="shared" si="6"/>
        <v>2.4194440982176242</v>
      </c>
      <c r="L12" s="6">
        <f t="shared" si="7"/>
        <v>18.245015123345972</v>
      </c>
    </row>
    <row r="13" spans="1:12" x14ac:dyDescent="0.3">
      <c r="B13" s="2" t="s">
        <v>8</v>
      </c>
      <c r="C13" s="2">
        <f>SUM(C10:C12)</f>
        <v>422233</v>
      </c>
      <c r="D13" s="2">
        <f>SUM(D10:D12)</f>
        <v>17.401623804813717</v>
      </c>
      <c r="E13" s="2">
        <f>SUM(E10:E12)</f>
        <v>100</v>
      </c>
      <c r="F13" s="2">
        <f>SUM(F10:F12)</f>
        <v>1599.1251325556732</v>
      </c>
      <c r="G13" s="2">
        <f t="shared" ref="G13:L13" si="8">SUM(G10:G12)</f>
        <v>3298.6953125</v>
      </c>
      <c r="H13" s="2">
        <f t="shared" si="8"/>
        <v>12.493165098091197</v>
      </c>
      <c r="I13" s="2">
        <f t="shared" si="8"/>
        <v>31</v>
      </c>
      <c r="J13" s="2">
        <f t="shared" si="8"/>
        <v>2659795</v>
      </c>
      <c r="K13" s="6">
        <f t="shared" si="8"/>
        <v>13.260850056088746</v>
      </c>
      <c r="L13" s="6">
        <f t="shared" si="8"/>
        <v>100</v>
      </c>
    </row>
    <row r="14" spans="1:12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265.97949999999997</v>
      </c>
      <c r="K14" s="2"/>
      <c r="L14" s="2"/>
    </row>
    <row r="16" spans="1:12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200575 hits</v>
      </c>
      <c r="D17" s="2" t="str">
        <f>$C11&amp;" missed"</f>
        <v>197394 missed</v>
      </c>
      <c r="E17" s="2" t="str">
        <f>$C12&amp;" dirtied"</f>
        <v>24264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5.8406 MiB/s</v>
      </c>
      <c r="D18" s="2" t="str">
        <f>"Avg write rate: " &amp;ROUND($H12, 4)&amp;" MiB/s"</f>
        <v>Avg write rate: 0.7179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postgrespro.com/list/thread-id/2425287" xr:uid="{D496FD63-1C76-475C-96F9-6C895595A40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395A-83A4-4B96-8D5D-73BCC8D25627}">
  <dimension ref="A1:M19"/>
  <sheetViews>
    <sheetView topLeftCell="F1" workbookViewId="0">
      <selection activeCell="N1" sqref="N1:V1048576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3" x14ac:dyDescent="0.3">
      <c r="A1" s="1" t="s">
        <v>33</v>
      </c>
    </row>
    <row r="2" spans="1:13" x14ac:dyDescent="0.3">
      <c r="B2" s="4" t="s">
        <v>19</v>
      </c>
      <c r="C2" s="4"/>
      <c r="D2" s="4" t="s">
        <v>38</v>
      </c>
      <c r="E2" s="4"/>
      <c r="F2" s="4"/>
      <c r="G2" s="4"/>
      <c r="H2" s="4"/>
      <c r="I2" s="4"/>
      <c r="J2" s="4"/>
      <c r="K2" s="4"/>
      <c r="L2" s="4"/>
      <c r="M2" s="2"/>
    </row>
    <row r="3" spans="1:13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1.55</v>
      </c>
      <c r="J3" s="2"/>
      <c r="K3" s="2"/>
      <c r="L3" s="2"/>
      <c r="M3" s="2"/>
    </row>
    <row r="4" spans="1:13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299.5</v>
      </c>
      <c r="J4" s="2"/>
      <c r="K4" s="2"/>
      <c r="L4" s="2"/>
      <c r="M4" s="2"/>
    </row>
    <row r="5" spans="1:13" x14ac:dyDescent="0.3">
      <c r="B5" s="2" t="s">
        <v>37</v>
      </c>
      <c r="C5" s="2">
        <v>200</v>
      </c>
      <c r="D5" s="2"/>
      <c r="E5" s="2"/>
      <c r="F5" s="2"/>
      <c r="G5" s="2"/>
      <c r="H5" s="2" t="s">
        <v>16</v>
      </c>
      <c r="I5" s="2"/>
      <c r="J5" s="2"/>
      <c r="K5" s="2"/>
      <c r="L5" s="2"/>
      <c r="M5" s="2"/>
    </row>
    <row r="6" spans="1:13" x14ac:dyDescent="0.3">
      <c r="B6" s="2" t="s">
        <v>22</v>
      </c>
      <c r="C6" s="2">
        <v>20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  <c r="M9" s="2"/>
    </row>
    <row r="10" spans="1:13" x14ac:dyDescent="0.3">
      <c r="B10" s="2" t="s">
        <v>0</v>
      </c>
      <c r="C10" s="2">
        <v>196811</v>
      </c>
      <c r="D10" s="2">
        <f>$C10/MIN($C$10:$C$12)</f>
        <v>5.7094659278814079</v>
      </c>
      <c r="E10" s="2">
        <f>$C10/SUM($C$10:$C$12) *100</f>
        <v>44.674031719513607</v>
      </c>
      <c r="F10" s="2">
        <f>$C10/$I$4</f>
        <v>657.13188647746244</v>
      </c>
      <c r="G10" s="2">
        <f>$C10*8/1024</f>
        <v>1537.5859375</v>
      </c>
      <c r="H10" s="2">
        <f>$G10/$I$4</f>
        <v>5.1338428631051753</v>
      </c>
      <c r="I10" s="2">
        <v>1</v>
      </c>
      <c r="J10" s="2">
        <f>$C10*$I10</f>
        <v>196811</v>
      </c>
      <c r="K10" s="6">
        <f>$J10/MIN($J$10:$J$12)</f>
        <v>1</v>
      </c>
      <c r="L10" s="6">
        <f>$J10/SUM($J$10:$J$12)*100</f>
        <v>6.6068325197782674</v>
      </c>
      <c r="M10" s="2"/>
    </row>
    <row r="11" spans="1:13" x14ac:dyDescent="0.3">
      <c r="B11" s="2" t="s">
        <v>1</v>
      </c>
      <c r="C11" s="2">
        <v>209267</v>
      </c>
      <c r="D11" s="2">
        <f t="shared" ref="D11:D12" si="0">$C11/MIN($C$10:$C$12)</f>
        <v>6.0708131472832232</v>
      </c>
      <c r="E11" s="2">
        <f t="shared" ref="E11:E12" si="1">$C11/SUM($C$10:$C$12) *100</f>
        <v>47.501413009676561</v>
      </c>
      <c r="F11" s="2">
        <f t="shared" ref="F11:F12" si="2">$C11/$I$4</f>
        <v>698.72120200333893</v>
      </c>
      <c r="G11" s="2">
        <f t="shared" ref="G11:G12" si="3">$C11*8/1024</f>
        <v>1634.8984375</v>
      </c>
      <c r="H11" s="2">
        <f t="shared" ref="H11:H12" si="4">$G11/$I$4</f>
        <v>5.4587593906510854</v>
      </c>
      <c r="I11" s="2">
        <v>10</v>
      </c>
      <c r="J11" s="2">
        <f t="shared" ref="J11:J12" si="5">$C11*$I11</f>
        <v>2092670</v>
      </c>
      <c r="K11" s="6">
        <f t="shared" ref="K11:K12" si="6">$J11/MIN($J$10:$J$12)</f>
        <v>10.632891454237821</v>
      </c>
      <c r="L11" s="6">
        <f t="shared" ref="L11:L12" si="7">$J11/SUM($J$10:$J$12)*100</f>
        <v>70.249733039130874</v>
      </c>
      <c r="M11" s="2"/>
    </row>
    <row r="12" spans="1:13" x14ac:dyDescent="0.3">
      <c r="B12" s="2" t="s">
        <v>2</v>
      </c>
      <c r="C12" s="2">
        <v>34471</v>
      </c>
      <c r="D12" s="2">
        <f t="shared" si="0"/>
        <v>1</v>
      </c>
      <c r="E12" s="2">
        <f t="shared" si="1"/>
        <v>7.8245552708098298</v>
      </c>
      <c r="F12" s="2">
        <f t="shared" si="2"/>
        <v>115.09515859766277</v>
      </c>
      <c r="G12" s="2">
        <f t="shared" si="3"/>
        <v>269.3046875</v>
      </c>
      <c r="H12" s="2">
        <f t="shared" si="4"/>
        <v>0.89918092654424042</v>
      </c>
      <c r="I12" s="2">
        <v>20</v>
      </c>
      <c r="J12" s="2">
        <f t="shared" si="5"/>
        <v>689420</v>
      </c>
      <c r="K12" s="6">
        <f t="shared" si="6"/>
        <v>3.5029546112768086</v>
      </c>
      <c r="L12" s="6">
        <f t="shared" si="7"/>
        <v>23.143434441090861</v>
      </c>
      <c r="M12" s="2"/>
    </row>
    <row r="13" spans="1:13" x14ac:dyDescent="0.3">
      <c r="B13" s="2" t="s">
        <v>8</v>
      </c>
      <c r="C13" s="2">
        <f>SUM(C10:C12)</f>
        <v>440549</v>
      </c>
      <c r="D13" s="2">
        <f>SUM(D10:D12)</f>
        <v>12.780279075164632</v>
      </c>
      <c r="E13" s="2">
        <f>SUM(E10:E12)</f>
        <v>99.999999999999986</v>
      </c>
      <c r="F13" s="2">
        <f>SUM(F10:F12)</f>
        <v>1470.9482470784642</v>
      </c>
      <c r="G13" s="2">
        <f t="shared" ref="G13:L13" si="8">SUM(G10:G12)</f>
        <v>3441.7890625</v>
      </c>
      <c r="H13" s="2">
        <f t="shared" si="8"/>
        <v>11.491783180300501</v>
      </c>
      <c r="I13" s="2">
        <f t="shared" si="8"/>
        <v>31</v>
      </c>
      <c r="J13" s="2">
        <f t="shared" si="8"/>
        <v>2978901</v>
      </c>
      <c r="K13" s="6">
        <f t="shared" si="8"/>
        <v>15.135846065514631</v>
      </c>
      <c r="L13" s="6">
        <f t="shared" si="8"/>
        <v>100</v>
      </c>
    </row>
    <row r="14" spans="1:13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297.89009999999996</v>
      </c>
      <c r="K14" s="2"/>
      <c r="L14" s="2"/>
    </row>
    <row r="16" spans="1:13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196811 hits</v>
      </c>
      <c r="D17" s="2" t="str">
        <f>$C11&amp;" missed"</f>
        <v>209267 missed</v>
      </c>
      <c r="E17" s="2" t="str">
        <f>$C12&amp;" dirtied"</f>
        <v>34471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5.4588 MiB/s</v>
      </c>
      <c r="D18" s="2" t="str">
        <f>"Avg write rate: " &amp;ROUND($H12, 4)&amp;" MiB/s"</f>
        <v>Avg write rate: 0.8992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postgrespro.com/list/thread-id/2425287" xr:uid="{1C379574-F9E4-426F-9224-FA3CA0CEC07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32F4-8990-4B74-81B7-3173BD889A34}">
  <dimension ref="A1:M19"/>
  <sheetViews>
    <sheetView topLeftCell="F1" workbookViewId="0">
      <selection activeCell="N1" sqref="N1:V1048576"/>
    </sheetView>
  </sheetViews>
  <sheetFormatPr defaultRowHeight="14.4" x14ac:dyDescent="0.3"/>
  <cols>
    <col min="1" max="1" width="8.88671875" style="5"/>
    <col min="2" max="2" width="19" style="5" bestFit="1" customWidth="1"/>
    <col min="3" max="3" width="24.88671875" style="5" bestFit="1" customWidth="1"/>
    <col min="4" max="4" width="24.44140625" style="5" bestFit="1" customWidth="1"/>
    <col min="5" max="5" width="18" style="5" bestFit="1" customWidth="1"/>
    <col min="6" max="6" width="18" style="5" customWidth="1"/>
    <col min="7" max="7" width="12" style="5" bestFit="1" customWidth="1"/>
    <col min="8" max="8" width="18" style="5" bestFit="1" customWidth="1"/>
    <col min="9" max="9" width="13.6640625" style="5" bestFit="1" customWidth="1"/>
    <col min="10" max="10" width="8" style="5" bestFit="1" customWidth="1"/>
    <col min="11" max="11" width="16.6640625" style="5" bestFit="1" customWidth="1"/>
    <col min="12" max="12" width="12.5546875" style="5" bestFit="1" customWidth="1"/>
    <col min="13" max="16384" width="8.88671875" style="5"/>
  </cols>
  <sheetData>
    <row r="1" spans="1:13" x14ac:dyDescent="0.3">
      <c r="A1" s="1" t="s">
        <v>33</v>
      </c>
    </row>
    <row r="2" spans="1:13" x14ac:dyDescent="0.3">
      <c r="B2" s="4" t="s">
        <v>19</v>
      </c>
      <c r="C2" s="4"/>
      <c r="D2" s="4" t="s">
        <v>40</v>
      </c>
      <c r="E2" s="4"/>
      <c r="F2" s="4"/>
      <c r="G2" s="4"/>
      <c r="H2" s="4"/>
      <c r="I2" s="4"/>
      <c r="J2" s="4"/>
      <c r="K2" s="4"/>
      <c r="L2" s="4"/>
      <c r="M2" s="2"/>
    </row>
    <row r="3" spans="1:13" x14ac:dyDescent="0.3">
      <c r="B3" s="2" t="s">
        <v>20</v>
      </c>
      <c r="C3" s="2"/>
      <c r="D3" s="2"/>
      <c r="E3" s="2"/>
      <c r="F3" s="2"/>
      <c r="G3" s="2"/>
      <c r="H3" s="4" t="s">
        <v>27</v>
      </c>
      <c r="I3" s="2">
        <v>1.55</v>
      </c>
      <c r="J3" s="2"/>
      <c r="K3" s="2"/>
      <c r="L3" s="2"/>
      <c r="M3" s="2"/>
    </row>
    <row r="4" spans="1:13" x14ac:dyDescent="0.3">
      <c r="B4" s="2" t="s">
        <v>21</v>
      </c>
      <c r="C4" s="2"/>
      <c r="D4" s="2"/>
      <c r="E4" s="2"/>
      <c r="F4" s="2"/>
      <c r="G4" s="2"/>
      <c r="H4" s="4" t="s">
        <v>4</v>
      </c>
      <c r="I4" s="2">
        <v>61000</v>
      </c>
      <c r="J4" s="2"/>
      <c r="K4" s="2"/>
      <c r="L4" s="2"/>
      <c r="M4" s="2"/>
    </row>
    <row r="5" spans="1:13" x14ac:dyDescent="0.3">
      <c r="B5" s="2" t="s">
        <v>37</v>
      </c>
      <c r="C5" s="2">
        <v>200</v>
      </c>
      <c r="D5" s="2"/>
      <c r="E5" s="2"/>
      <c r="F5" s="2"/>
      <c r="G5" s="2"/>
      <c r="H5" s="2" t="s">
        <v>16</v>
      </c>
      <c r="I5" s="2"/>
      <c r="J5" s="2"/>
      <c r="K5" s="2"/>
      <c r="L5" s="2"/>
      <c r="M5" s="2"/>
    </row>
    <row r="6" spans="1:13" x14ac:dyDescent="0.3">
      <c r="B6" s="2" t="s">
        <v>22</v>
      </c>
      <c r="C6" s="2">
        <v>20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B9" s="4" t="s">
        <v>23</v>
      </c>
      <c r="C9" s="4" t="s">
        <v>5</v>
      </c>
      <c r="D9" s="4" t="s">
        <v>29</v>
      </c>
      <c r="E9" s="4" t="s">
        <v>30</v>
      </c>
      <c r="F9" s="4" t="s">
        <v>32</v>
      </c>
      <c r="G9" s="4" t="s">
        <v>7</v>
      </c>
      <c r="H9" s="4" t="s">
        <v>24</v>
      </c>
      <c r="I9" s="4" t="s">
        <v>10</v>
      </c>
      <c r="J9" s="4" t="s">
        <v>3</v>
      </c>
      <c r="K9" s="4" t="s">
        <v>25</v>
      </c>
      <c r="L9" s="4" t="s">
        <v>26</v>
      </c>
      <c r="M9" s="2"/>
    </row>
    <row r="10" spans="1:13" x14ac:dyDescent="0.3">
      <c r="B10" s="2" t="s">
        <v>0</v>
      </c>
      <c r="C10" s="2">
        <v>15031267</v>
      </c>
      <c r="D10" s="2">
        <f>$C10/MIN($C$10:$C$12)</f>
        <v>1</v>
      </c>
      <c r="E10" s="2">
        <f>$C10/SUM($C$10:$C$12) *100</f>
        <v>27.138408480046827</v>
      </c>
      <c r="F10" s="2">
        <f>$C10/$I$4</f>
        <v>246.41421311475409</v>
      </c>
      <c r="G10" s="2">
        <f>$C10*8/1024</f>
        <v>117431.7734375</v>
      </c>
      <c r="H10" s="2">
        <f>$G10/$I$4</f>
        <v>1.9251110399590163</v>
      </c>
      <c r="I10" s="2">
        <v>1</v>
      </c>
      <c r="J10" s="2">
        <f>$C10*$I10</f>
        <v>15031267</v>
      </c>
      <c r="K10" s="6">
        <f>$J10/MIN($J$10:$J$12)</f>
        <v>1</v>
      </c>
      <c r="L10" s="6">
        <f>$J10/SUM($J$10:$J$12)*100</f>
        <v>2.4587482139611834</v>
      </c>
      <c r="M10" s="2"/>
    </row>
    <row r="11" spans="1:13" x14ac:dyDescent="0.3">
      <c r="B11" s="2" t="s">
        <v>1</v>
      </c>
      <c r="C11" s="2">
        <v>21081633</v>
      </c>
      <c r="D11" s="2">
        <f t="shared" ref="D11:D12" si="0">$C11/MIN($C$10:$C$12)</f>
        <v>1.4025186965277112</v>
      </c>
      <c r="E11" s="2">
        <f t="shared" ref="E11:E12" si="1">$C11/SUM($C$10:$C$12) *100</f>
        <v>38.062125287271861</v>
      </c>
      <c r="F11" s="2">
        <f t="shared" ref="F11:F12" si="2">$C11/$I$4</f>
        <v>345.60054098360655</v>
      </c>
      <c r="G11" s="2">
        <f t="shared" ref="G11:G12" si="3">$C11*8/1024</f>
        <v>164700.2578125</v>
      </c>
      <c r="H11" s="2">
        <f t="shared" ref="H11:H12" si="4">$G11/$I$4</f>
        <v>2.7000042264344262</v>
      </c>
      <c r="I11" s="2">
        <v>10</v>
      </c>
      <c r="J11" s="2">
        <f t="shared" ref="J11:J12" si="5">$C11*$I11</f>
        <v>210816330</v>
      </c>
      <c r="K11" s="6">
        <f t="shared" ref="K11:K12" si="6">$J11/MIN($J$10:$J$12)</f>
        <v>14.025186965277111</v>
      </c>
      <c r="L11" s="6">
        <f t="shared" ref="L11:L12" si="7">$J11/SUM($J$10:$J$12)*100</f>
        <v>34.484403401346768</v>
      </c>
      <c r="M11" s="2"/>
    </row>
    <row r="12" spans="1:13" x14ac:dyDescent="0.3">
      <c r="B12" s="2" t="s">
        <v>2</v>
      </c>
      <c r="C12" s="2">
        <v>19274530</v>
      </c>
      <c r="D12" s="2">
        <f t="shared" si="0"/>
        <v>1.2822957638900301</v>
      </c>
      <c r="E12" s="2">
        <f t="shared" si="1"/>
        <v>34.799466232681311</v>
      </c>
      <c r="F12" s="2">
        <f t="shared" si="2"/>
        <v>315.97590163934427</v>
      </c>
      <c r="G12" s="2">
        <f t="shared" si="3"/>
        <v>150582.265625</v>
      </c>
      <c r="H12" s="2">
        <f t="shared" si="4"/>
        <v>2.4685617315573771</v>
      </c>
      <c r="I12" s="2">
        <v>20</v>
      </c>
      <c r="J12" s="2">
        <f t="shared" si="5"/>
        <v>385490600</v>
      </c>
      <c r="K12" s="6">
        <f t="shared" si="6"/>
        <v>25.645915277800601</v>
      </c>
      <c r="L12" s="6">
        <f t="shared" si="7"/>
        <v>63.056848384692053</v>
      </c>
      <c r="M12" s="2"/>
    </row>
    <row r="13" spans="1:13" x14ac:dyDescent="0.3">
      <c r="B13" s="2" t="s">
        <v>8</v>
      </c>
      <c r="C13" s="2">
        <f>SUM(C10:C12)</f>
        <v>55387430</v>
      </c>
      <c r="D13" s="2">
        <f>SUM(D10:D12)</f>
        <v>3.6848144604177415</v>
      </c>
      <c r="E13" s="2">
        <f>SUM(E10:E12)</f>
        <v>100</v>
      </c>
      <c r="F13" s="2">
        <f>SUM(F10:F12)</f>
        <v>907.99065573770486</v>
      </c>
      <c r="G13" s="2">
        <f t="shared" ref="G13:L13" si="8">SUM(G10:G12)</f>
        <v>432714.296875</v>
      </c>
      <c r="H13" s="2">
        <f t="shared" si="8"/>
        <v>7.0936769979508192</v>
      </c>
      <c r="I13" s="2">
        <f t="shared" si="8"/>
        <v>31</v>
      </c>
      <c r="J13" s="2">
        <f t="shared" si="8"/>
        <v>611338197</v>
      </c>
      <c r="K13" s="6">
        <f t="shared" si="8"/>
        <v>40.671102243077712</v>
      </c>
      <c r="L13" s="6">
        <f t="shared" si="8"/>
        <v>100</v>
      </c>
    </row>
    <row r="14" spans="1:13" x14ac:dyDescent="0.3">
      <c r="B14" s="2"/>
      <c r="C14" s="2"/>
      <c r="D14" s="2"/>
      <c r="E14" s="2"/>
      <c r="F14" s="2"/>
      <c r="G14" s="2"/>
      <c r="H14" s="2"/>
      <c r="I14" s="4" t="s">
        <v>17</v>
      </c>
      <c r="J14" s="10">
        <f>J$13 / $C$5 *$C$6 / 1000</f>
        <v>61133.819699999993</v>
      </c>
      <c r="K14" s="2"/>
      <c r="L14" s="2"/>
    </row>
    <row r="16" spans="1:13" x14ac:dyDescent="0.3">
      <c r="B16" s="4" t="s">
        <v>28</v>
      </c>
    </row>
    <row r="17" spans="2:7" x14ac:dyDescent="0.3">
      <c r="B17" s="2" t="s">
        <v>31</v>
      </c>
      <c r="C17" s="2" t="str">
        <f>$C10&amp;" hits"</f>
        <v>15031267 hits</v>
      </c>
      <c r="D17" s="2" t="str">
        <f>$C11&amp;" missed"</f>
        <v>21081633 missed</v>
      </c>
      <c r="E17" s="2" t="str">
        <f>$C12&amp;" dirtied"</f>
        <v>19274530 dirtied</v>
      </c>
      <c r="F17" s="2"/>
      <c r="G17" s="2"/>
    </row>
    <row r="18" spans="2:7" x14ac:dyDescent="0.3">
      <c r="B18" s="2"/>
      <c r="C18" s="2" t="str">
        <f>"Avg read rate: " &amp;ROUND($H11, 4)&amp;" MiB/s"</f>
        <v>Avg read rate: 2.7 MiB/s</v>
      </c>
      <c r="D18" s="2" t="str">
        <f>"Avg write rate: " &amp;ROUND($H12, 4)&amp;" MiB/s"</f>
        <v>Avg write rate: 2.4686 MiB/s</v>
      </c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hyperlinks>
    <hyperlink ref="A1" r:id="rId1" display="https://postgrespro.com/list/thread-id/2425287" xr:uid="{DBABD21E-A86A-4B46-A2AF-39A5161B6C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MSSQLTips (1st)</vt:lpstr>
      <vt:lpstr>MSSQLTips (2nd)</vt:lpstr>
      <vt:lpstr>MSSQLTips (3rd)</vt:lpstr>
      <vt:lpstr>AWS</vt:lpstr>
      <vt:lpstr>PGPro (1st)</vt:lpstr>
      <vt:lpstr>PGPro (2nd)</vt:lpstr>
      <vt:lpstr>PGPro (3rd)</vt:lpstr>
      <vt:lpstr>PGPro (4th)</vt:lpstr>
      <vt:lpstr>PGPro (5th)</vt:lpstr>
      <vt:lpstr>PGPro (6th)</vt:lpstr>
      <vt:lpstr>PGPro (7th)</vt:lpstr>
      <vt:lpstr>PGPro (8th)</vt:lpstr>
      <vt:lpstr>PGPro (9th)</vt:lpstr>
      <vt:lpstr>PGPro (10th)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2025-01-26T05:31:08Z</dcterms:created>
  <dcterms:modified xsi:type="dcterms:W3CDTF">2025-01-27T12:35:22Z</dcterms:modified>
</cp:coreProperties>
</file>