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6" yWindow="0" windowWidth="22260" windowHeight="12648"/>
  </bookViews>
  <sheets>
    <sheet name="Sheet1" sheetId="1" r:id="rId1"/>
  </sheets>
  <definedNames>
    <definedName name="b">Sheet1!$K$4</definedName>
    <definedName name="cb">Sheet1!$N$4</definedName>
    <definedName name="ch">Sheet1!$O$4</definedName>
    <definedName name="CL">Sheet1!$H$4</definedName>
    <definedName name="dist1">Sheet1!$I$4</definedName>
    <definedName name="dist2">Sheet1!$J$4</definedName>
    <definedName name="distRn1">Sheet1!$I$13</definedName>
    <definedName name="distRn2">Sheet1!$J$13</definedName>
    <definedName name="h">Sheet1!$L$4</definedName>
    <definedName name="pNom1">Sheet1!$C$6</definedName>
    <definedName name="pNom2">Sheet1!$D$6</definedName>
    <definedName name="pUlt1">Sheet1!$C$11</definedName>
    <definedName name="pUlt2">Sheet1!$D$11</definedName>
    <definedName name="qu">Sheet1!$C$15</definedName>
    <definedName name="Rn">Sheet1!$C$13</definedName>
    <definedName name="Ru">Sheet1!$C$14</definedName>
    <definedName name="x">Sheet1!$D$22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O24" i="1" s="1"/>
  <c r="F22" i="1"/>
  <c r="F24" i="1"/>
  <c r="N18" i="1"/>
  <c r="D6" i="1"/>
  <c r="C6" i="1"/>
  <c r="C13" i="1" s="1"/>
  <c r="I13" i="1" s="1"/>
  <c r="I4" i="1" s="1"/>
  <c r="D10" i="1"/>
  <c r="C10" i="1"/>
  <c r="D9" i="1"/>
  <c r="C9" i="1"/>
  <c r="C11" i="1" l="1"/>
  <c r="I18" i="1"/>
  <c r="K18" i="1"/>
  <c r="L18" i="1"/>
  <c r="H18" i="1"/>
  <c r="J13" i="1"/>
  <c r="J4" i="1" s="1"/>
  <c r="J14" i="1"/>
  <c r="D11" i="1"/>
  <c r="C14" i="1" l="1"/>
  <c r="C15" i="1" s="1"/>
  <c r="N20" i="1" s="1"/>
  <c r="N19" i="1"/>
  <c r="K20" i="1"/>
  <c r="I19" i="1"/>
  <c r="D22" i="1" s="1"/>
  <c r="J18" i="1" s="1"/>
  <c r="J20" i="1" s="1"/>
  <c r="I20" i="1"/>
  <c r="L19" i="1"/>
  <c r="L20" i="1"/>
  <c r="H19" i="1"/>
  <c r="H20" i="1"/>
  <c r="I14" i="1" l="1"/>
  <c r="I24" i="1"/>
  <c r="K24" i="1"/>
  <c r="L24" i="1"/>
  <c r="K19" i="1"/>
  <c r="J22" i="1"/>
  <c r="J24" i="1" s="1"/>
  <c r="L22" i="1"/>
  <c r="I22" i="1"/>
  <c r="K22" i="1"/>
  <c r="H22" i="1"/>
  <c r="H24" i="1" s="1"/>
</calcChain>
</file>

<file path=xl/sharedStrings.xml><?xml version="1.0" encoding="utf-8"?>
<sst xmlns="http://schemas.openxmlformats.org/spreadsheetml/2006/main" count="31" uniqueCount="26">
  <si>
    <t>DL</t>
  </si>
  <si>
    <t>LL</t>
  </si>
  <si>
    <t>Pn1</t>
  </si>
  <si>
    <t>Pn2</t>
  </si>
  <si>
    <t>Pu1</t>
  </si>
  <si>
    <t>Pu2</t>
  </si>
  <si>
    <t>CL Dist</t>
  </si>
  <si>
    <t>Dist 1</t>
  </si>
  <si>
    <t>Dist 2</t>
  </si>
  <si>
    <t>b</t>
  </si>
  <si>
    <t>h</t>
  </si>
  <si>
    <t>cb</t>
  </si>
  <si>
    <t>ch</t>
  </si>
  <si>
    <t>Ru</t>
  </si>
  <si>
    <t>qu</t>
  </si>
  <si>
    <t>Rn</t>
  </si>
  <si>
    <t>Force points:</t>
  </si>
  <si>
    <t>Vu</t>
  </si>
  <si>
    <t>Mu</t>
  </si>
  <si>
    <t>outer column face</t>
  </si>
  <si>
    <t>inner column face</t>
  </si>
  <si>
    <t>interior</t>
  </si>
  <si>
    <t>edge 1</t>
  </si>
  <si>
    <t>edge 2</t>
  </si>
  <si>
    <t>LR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</si>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</sst>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rgb="FF0000FF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C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/>
    </xf>
  </cellXfs>
  <cellStyles count="1">
    <cellStyle name="Normal" xfId="0" builtinId="0"/>
  </cellStyles>
  <dxfs count="10">
    <dxf>
      <font>
        <color rgb="FFC00000"/>
      </font>
      <fill>
        <patternFill>
          <bgColor rgb="FFC00000"/>
        </patternFill>
      </fill>
    </dxf>
    <dxf>
      <font>
        <b/>
        <i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C00000"/>
        </patternFill>
      </fill>
    </dxf>
    <dxf>
      <font>
        <b/>
        <i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C00000"/>
        </patternFill>
      </fill>
    </dxf>
    <dxf>
      <font>
        <b/>
        <i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rgb="FFC00000"/>
        </patternFill>
      </fill>
    </dxf>
    <dxf>
      <font>
        <b/>
        <i/>
        <color rgb="FFC00000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b/>
        <i/>
        <color rgb="FFC0000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tabSelected="1" workbookViewId="0">
      <selection activeCell="F7" sqref="F7"/>
    </sheetView>
  </sheetViews>
  <sheetFormatPr defaultRowHeight="13.2" x14ac:dyDescent="0.25"/>
  <cols>
    <col min="1" max="2" width="8.88671875" style="1"/>
    <col min="3" max="4" width="8.88671875" style="2"/>
    <col min="5" max="5" width="2.77734375" style="1" customWidth="1"/>
    <col min="6" max="6" width="6.77734375" style="1" customWidth="1"/>
    <col min="7" max="7" width="2.77734375" style="1" customWidth="1"/>
    <col min="8" max="12" width="6.77734375" style="1" customWidth="1"/>
    <col min="13" max="13" width="2.77734375" style="1" customWidth="1"/>
    <col min="14" max="15" width="8.88671875" style="2"/>
    <col min="16" max="16384" width="8.88671875" style="1"/>
  </cols>
  <sheetData>
    <row r="3" spans="2:15" x14ac:dyDescent="0.25">
      <c r="C3" s="2" t="s">
        <v>2</v>
      </c>
      <c r="D3" s="2" t="s">
        <v>3</v>
      </c>
      <c r="H3" s="2" t="s">
        <v>6</v>
      </c>
      <c r="I3" s="7" t="s">
        <v>7</v>
      </c>
      <c r="J3" s="7" t="s">
        <v>8</v>
      </c>
      <c r="K3" s="7" t="s">
        <v>9</v>
      </c>
      <c r="L3" s="7" t="s">
        <v>10</v>
      </c>
      <c r="N3" s="2" t="s">
        <v>11</v>
      </c>
      <c r="O3" s="2" t="s">
        <v>12</v>
      </c>
    </row>
    <row r="4" spans="2:15" x14ac:dyDescent="0.25">
      <c r="B4" s="1" t="s">
        <v>0</v>
      </c>
      <c r="C4" s="3">
        <v>3803</v>
      </c>
      <c r="D4" s="3">
        <v>3393</v>
      </c>
      <c r="H4" s="3">
        <v>7.5</v>
      </c>
      <c r="I4" s="8">
        <f>(h/2)-distRn1</f>
        <v>2.5192352666043032</v>
      </c>
      <c r="J4" s="8">
        <f>(h/2)-distRn2</f>
        <v>1.9807647333956968</v>
      </c>
      <c r="K4" s="3">
        <v>6</v>
      </c>
      <c r="L4" s="3">
        <v>12</v>
      </c>
      <c r="N4" s="3">
        <v>0.4</v>
      </c>
      <c r="O4" s="3">
        <v>0.8</v>
      </c>
    </row>
    <row r="5" spans="2:15" x14ac:dyDescent="0.25">
      <c r="B5" s="1" t="s">
        <v>1</v>
      </c>
      <c r="C5" s="3">
        <v>780</v>
      </c>
      <c r="D5" s="3">
        <v>576</v>
      </c>
    </row>
    <row r="6" spans="2:15" x14ac:dyDescent="0.25">
      <c r="C6" s="6">
        <f>SUM(C4:C5)</f>
        <v>4583</v>
      </c>
      <c r="D6" s="6">
        <f>SUM(D4:D5)</f>
        <v>3969</v>
      </c>
    </row>
    <row r="8" spans="2:15" x14ac:dyDescent="0.25">
      <c r="C8" s="2" t="s">
        <v>4</v>
      </c>
      <c r="D8" s="2" t="s">
        <v>5</v>
      </c>
    </row>
    <row r="9" spans="2:15" x14ac:dyDescent="0.25">
      <c r="B9" s="1" t="s">
        <v>0</v>
      </c>
      <c r="C9" s="4">
        <f>C4*1.2</f>
        <v>4563.5999999999995</v>
      </c>
      <c r="D9" s="4">
        <f>D4*1.2</f>
        <v>4071.6</v>
      </c>
    </row>
    <row r="10" spans="2:15" x14ac:dyDescent="0.25">
      <c r="B10" s="1" t="s">
        <v>1</v>
      </c>
      <c r="C10" s="4">
        <f>C5*1.6</f>
        <v>1248</v>
      </c>
      <c r="D10" s="4">
        <f>D5*1.6</f>
        <v>921.6</v>
      </c>
    </row>
    <row r="11" spans="2:15" x14ac:dyDescent="0.25">
      <c r="C11" s="5">
        <f>SUM(C9:C10)</f>
        <v>5811.5999999999995</v>
      </c>
      <c r="D11" s="5">
        <f>SUM(D9:D10)</f>
        <v>4993.2</v>
      </c>
    </row>
    <row r="13" spans="2:15" x14ac:dyDescent="0.25">
      <c r="B13" s="1" t="s">
        <v>15</v>
      </c>
      <c r="C13" s="6">
        <f>pNom1+pNom2</f>
        <v>8552</v>
      </c>
      <c r="I13" s="9">
        <f>pNom2*CL/Rn</f>
        <v>3.4807647333956968</v>
      </c>
      <c r="J13" s="9">
        <f>CL-distRn1</f>
        <v>4.0192352666043032</v>
      </c>
    </row>
    <row r="14" spans="2:15" x14ac:dyDescent="0.25">
      <c r="B14" s="1" t="s">
        <v>13</v>
      </c>
      <c r="C14" s="5">
        <f>pUlt1+pUlt2</f>
        <v>10804.8</v>
      </c>
      <c r="I14" s="9">
        <f>pUlt2*CL/Ru</f>
        <v>3.4659595735228788</v>
      </c>
      <c r="J14" s="9">
        <f>CL-dist1</f>
        <v>4.9807647333956968</v>
      </c>
    </row>
    <row r="15" spans="2:15" x14ac:dyDescent="0.25">
      <c r="B15" s="1" t="s">
        <v>14</v>
      </c>
      <c r="C15" s="2">
        <f>Ru/h</f>
        <v>900.4</v>
      </c>
    </row>
    <row r="17" spans="2:16" x14ac:dyDescent="0.25">
      <c r="B17" s="16" t="s">
        <v>16</v>
      </c>
      <c r="C17" s="14"/>
      <c r="F17" s="7">
        <v>0</v>
      </c>
      <c r="G17" s="7"/>
      <c r="H17" s="7">
        <v>1</v>
      </c>
      <c r="I17" s="7">
        <v>2</v>
      </c>
      <c r="J17" s="7">
        <v>3</v>
      </c>
      <c r="K17" s="7">
        <v>4</v>
      </c>
      <c r="L17" s="7">
        <v>5</v>
      </c>
      <c r="N17" s="2">
        <v>6</v>
      </c>
    </row>
    <row r="18" spans="2:16" x14ac:dyDescent="0.25">
      <c r="B18" s="16"/>
      <c r="C18" s="14"/>
      <c r="F18" s="18">
        <v>0</v>
      </c>
      <c r="G18" s="18"/>
      <c r="H18" s="17">
        <f>dist1-ch/2</f>
        <v>2.1192352666043033</v>
      </c>
      <c r="I18" s="17">
        <f>dist1+ch/2</f>
        <v>2.9192352666043031</v>
      </c>
      <c r="J18" s="17">
        <f>x+dist1+ch/2</f>
        <v>6.454464682363394</v>
      </c>
      <c r="K18" s="17">
        <f>CL+dist1-ch/2</f>
        <v>9.6192352666043028</v>
      </c>
      <c r="L18" s="17">
        <f>CL+dist1+ch/2</f>
        <v>10.419235266604304</v>
      </c>
      <c r="N18" s="19">
        <f>h</f>
        <v>12</v>
      </c>
    </row>
    <row r="19" spans="2:16" x14ac:dyDescent="0.25">
      <c r="B19" s="13">
        <v>0</v>
      </c>
      <c r="C19" s="15" t="s">
        <v>22</v>
      </c>
      <c r="F19" s="3">
        <v>0</v>
      </c>
      <c r="G19" s="3"/>
      <c r="H19" s="10">
        <f>qu*H18</f>
        <v>1908.1594340505146</v>
      </c>
      <c r="I19" s="11">
        <f>qu*I18-pUlt1</f>
        <v>-3183.1205659494849</v>
      </c>
      <c r="J19" s="3">
        <v>0</v>
      </c>
      <c r="K19" s="11">
        <f>qu*(K18)-pUlt1</f>
        <v>2849.5594340505149</v>
      </c>
      <c r="L19" s="11">
        <f>qu*(L18)-pUlt1-pUlt2</f>
        <v>-1423.3205659494852</v>
      </c>
      <c r="N19" s="5">
        <f>(qu*N18) - pUlt1-pUlt2</f>
        <v>0</v>
      </c>
      <c r="O19" s="2" t="s">
        <v>17</v>
      </c>
    </row>
    <row r="20" spans="2:16" x14ac:dyDescent="0.25">
      <c r="B20" s="13">
        <v>1</v>
      </c>
      <c r="C20" s="15" t="s">
        <v>19</v>
      </c>
      <c r="F20" s="3">
        <v>0</v>
      </c>
      <c r="G20" s="3"/>
      <c r="H20" s="10">
        <f>qu*0.5*H18^2</f>
        <v>2021.9193834717794</v>
      </c>
      <c r="I20" s="10">
        <f>(qu*0.5*I18^2)</f>
        <v>3836.574930712191</v>
      </c>
      <c r="J20" s="10">
        <f>(qu*0.5*J18^2)-(pUlt1*x)</f>
        <v>-1789.9557986139807</v>
      </c>
      <c r="K20" s="10">
        <f>(qu*0.5*K18^2)-(pUlt1*(K18-dist1))</f>
        <v>394.5051388506472</v>
      </c>
      <c r="L20" s="10">
        <f>(qu*0.5*L18^2)-(pUlt1*(L18-dist1))-(pUlt2*ch/2)</f>
        <v>965.0006860910496</v>
      </c>
      <c r="N20" s="11">
        <f>(qu*0.5*N18^2)-(pUlt1*(N18-dist1))-(pUlt2*dist2)</f>
        <v>-159.96679139382104</v>
      </c>
      <c r="O20" s="2" t="s">
        <v>18</v>
      </c>
      <c r="P20" s="1" t="s">
        <v>24</v>
      </c>
    </row>
    <row r="21" spans="2:16" x14ac:dyDescent="0.25">
      <c r="B21" s="13">
        <v>2</v>
      </c>
      <c r="C21" s="15" t="s">
        <v>20</v>
      </c>
      <c r="F21" s="7"/>
      <c r="G21" s="7"/>
      <c r="H21" s="7"/>
      <c r="I21" s="7"/>
      <c r="J21" s="7"/>
      <c r="K21" s="7"/>
      <c r="L21" s="7"/>
    </row>
    <row r="22" spans="2:16" x14ac:dyDescent="0.25">
      <c r="B22" s="13">
        <v>3</v>
      </c>
      <c r="C22" s="15" t="s">
        <v>21</v>
      </c>
      <c r="D22" s="12">
        <f>ABS(I19/qu)</f>
        <v>3.5352294157590904</v>
      </c>
      <c r="F22" s="10">
        <f>(qu*0.5*(N18)^2)-(pUlt2*(N18-dist2))-(pUlt1*dist1)</f>
        <v>159.96679139382286</v>
      </c>
      <c r="G22" s="7"/>
      <c r="H22" s="10">
        <f>(qu*0.5*(N18-H18)^2)-(pUlt2*(N18-H18-dist2))-(pUlt1*(ch/2))</f>
        <v>2181.886174865605</v>
      </c>
      <c r="I22" s="10">
        <f>(qu*0.5*(N18-I18)^2)-(pUlt2*(N18-I18-dist2))</f>
        <v>1671.901722106013</v>
      </c>
      <c r="J22" s="10">
        <f>(qu*0.5*(N18-J18)^2)-(pUlt2*(N18-J18-dist2))</f>
        <v>-3954.6290072201555</v>
      </c>
      <c r="K22" s="10">
        <f>(qu*0.5*(N18-K18)^2)-(pUlt2*ch/2)</f>
        <v>554.47193024446437</v>
      </c>
      <c r="L22" s="10">
        <f>qu*0.5*(N18-L18)^2</f>
        <v>1124.9674774848747</v>
      </c>
      <c r="N22" s="3">
        <v>0</v>
      </c>
      <c r="O22" s="2" t="s">
        <v>18</v>
      </c>
      <c r="P22" s="1" t="s">
        <v>25</v>
      </c>
    </row>
    <row r="23" spans="2:16" x14ac:dyDescent="0.25">
      <c r="B23" s="13">
        <v>4</v>
      </c>
      <c r="C23" s="15" t="s">
        <v>20</v>
      </c>
      <c r="F23" s="7"/>
      <c r="G23" s="7"/>
      <c r="H23" s="7"/>
      <c r="I23" s="7"/>
      <c r="J23" s="7"/>
      <c r="K23" s="7"/>
      <c r="L23" s="7"/>
    </row>
    <row r="24" spans="2:16" x14ac:dyDescent="0.25">
      <c r="B24" s="13">
        <v>5</v>
      </c>
      <c r="C24" s="15" t="s">
        <v>19</v>
      </c>
      <c r="F24" s="20">
        <f>MAX(ABS(F20),ABS(F22))</f>
        <v>159.96679139382286</v>
      </c>
      <c r="G24" s="20"/>
      <c r="H24" s="20">
        <f>MAX(ABS(H20),ABS(H22))</f>
        <v>2181.886174865605</v>
      </c>
      <c r="I24" s="20">
        <f t="shared" ref="I24:N24" si="0">MAX(ABS(I20),ABS(I22))</f>
        <v>3836.574930712191</v>
      </c>
      <c r="J24" s="20">
        <f t="shared" si="0"/>
        <v>3954.6290072201555</v>
      </c>
      <c r="K24" s="20">
        <f t="shared" si="0"/>
        <v>554.47193024446437</v>
      </c>
      <c r="L24" s="20">
        <f t="shared" si="0"/>
        <v>1124.9674774848747</v>
      </c>
      <c r="M24" s="11"/>
      <c r="N24" s="20">
        <f t="shared" si="0"/>
        <v>159.96679139382104</v>
      </c>
      <c r="O24" s="21">
        <f>ABS(CEILING(N24,1)-CEILING(F24,1))/CEILING(F24,1)</f>
        <v>0</v>
      </c>
    </row>
    <row r="25" spans="2:16" x14ac:dyDescent="0.25">
      <c r="B25" s="13">
        <v>6</v>
      </c>
      <c r="C25" s="15" t="s">
        <v>23</v>
      </c>
      <c r="H25" s="7"/>
      <c r="I25" s="7"/>
      <c r="J25" s="7"/>
      <c r="K25" s="7"/>
      <c r="L25" s="7"/>
    </row>
  </sheetData>
  <conditionalFormatting sqref="N19">
    <cfRule type="cellIs" dxfId="3" priority="3" operator="greaterThan">
      <formula>0.1</formula>
    </cfRule>
  </conditionalFormatting>
  <conditionalFormatting sqref="O24">
    <cfRule type="cellIs" dxfId="2" priority="1" operator="greaterThan">
      <formula>0.01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b</vt:lpstr>
      <vt:lpstr>cb</vt:lpstr>
      <vt:lpstr>ch</vt:lpstr>
      <vt:lpstr>CL</vt:lpstr>
      <vt:lpstr>dist1</vt:lpstr>
      <vt:lpstr>dist2</vt:lpstr>
      <vt:lpstr>distRn1</vt:lpstr>
      <vt:lpstr>distRn2</vt:lpstr>
      <vt:lpstr>h</vt:lpstr>
      <vt:lpstr>pNom1</vt:lpstr>
      <vt:lpstr>pNom2</vt:lpstr>
      <vt:lpstr>pUlt1</vt:lpstr>
      <vt:lpstr>pUlt2</vt:lpstr>
      <vt:lpstr>qu</vt:lpstr>
      <vt:lpstr>Rn</vt:lpstr>
      <vt:lpstr>Ru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2019-08-04T07:51:14Z</dcterms:modified>
</cp:coreProperties>
</file>