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gamiu\Documents\实验报告\实验数据\大物\1\"/>
    </mc:Choice>
  </mc:AlternateContent>
  <workbookProtection workbookAlgorithmName="SHA-512" workbookHashValue="U1YudcCnAPfEFFD5wJHBRIDhLa6mpYdh1G1AGYn6P9eDr516jj4aDnMDyOyB7QXYyf9UReT+qtcmU+a384poaA==" workbookSaltValue="owS1iBjXSLFcOFiSQ+tLDw==" workbookSpinCount="100000" lockStructure="1"/>
  <bookViews>
    <workbookView xWindow="0" yWindow="600" windowWidth="14385" windowHeight="4613"/>
  </bookViews>
  <sheets>
    <sheet name="薄透镜焦距" sheetId="1" r:id="rId1"/>
    <sheet name="杨氏模量" sheetId="2" r:id="rId2"/>
    <sheet name="PN结" sheetId="3" r:id="rId3"/>
    <sheet name="电表改装" sheetId="4" r:id="rId4"/>
    <sheet name="金属比热容" sheetId="5" r:id="rId5"/>
    <sheet name="牛顿环" sheetId="6" r:id="rId6"/>
    <sheet name="表面张力" sheetId="7" r:id="rId7"/>
    <sheet name="超声光栅" sheetId="8" r:id="rId8"/>
    <sheet name="电位差计" sheetId="9" r:id="rId9"/>
    <sheet name="弗兰克赫兹实验" sheetId="10" r:id="rId10"/>
    <sheet name="霍尔效应" sheetId="11" r:id="rId11"/>
    <sheet name="迈克尔逊干涉仪" sheetId="12" r:id="rId12"/>
    <sheet name="声速的测量" sheetId="13" r:id="rId13"/>
    <sheet name="RLC谐振电路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4" l="1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J7" i="14"/>
  <c r="J11" i="14"/>
  <c r="I16" i="14"/>
  <c r="J17" i="14"/>
  <c r="J19" i="14"/>
  <c r="J21" i="14"/>
  <c r="J23" i="14"/>
  <c r="I24" i="14"/>
  <c r="J6" i="14" s="1"/>
  <c r="J25" i="14"/>
  <c r="H29" i="14"/>
  <c r="I29" i="14"/>
  <c r="H31" i="14"/>
  <c r="H33" i="14"/>
  <c r="L9" i="13"/>
  <c r="O14" i="13"/>
  <c r="L14" i="13"/>
  <c r="O13" i="13"/>
  <c r="L13" i="13"/>
  <c r="O12" i="13"/>
  <c r="L12" i="13"/>
  <c r="O11" i="13"/>
  <c r="L11" i="13"/>
  <c r="O10" i="13"/>
  <c r="L10" i="13"/>
  <c r="O9" i="13"/>
  <c r="P15" i="13" s="1"/>
  <c r="M15" i="13"/>
  <c r="I5" i="12"/>
  <c r="H5" i="12"/>
  <c r="G5" i="12"/>
  <c r="F5" i="12"/>
  <c r="E5" i="12"/>
  <c r="J45" i="11"/>
  <c r="K45" i="11" s="1"/>
  <c r="E45" i="11"/>
  <c r="K44" i="11"/>
  <c r="J44" i="11"/>
  <c r="E44" i="11"/>
  <c r="J43" i="11"/>
  <c r="K43" i="11" s="1"/>
  <c r="E43" i="11"/>
  <c r="J42" i="11"/>
  <c r="K42" i="11" s="1"/>
  <c r="E42" i="11"/>
  <c r="J41" i="11"/>
  <c r="K41" i="11" s="1"/>
  <c r="E41" i="11"/>
  <c r="J40" i="11"/>
  <c r="K40" i="11" s="1"/>
  <c r="E40" i="11"/>
  <c r="J39" i="11"/>
  <c r="K39" i="11" s="1"/>
  <c r="E39" i="11"/>
  <c r="J38" i="11"/>
  <c r="K38" i="11" s="1"/>
  <c r="E38" i="11"/>
  <c r="J37" i="11"/>
  <c r="K37" i="11" s="1"/>
  <c r="E37" i="11"/>
  <c r="K36" i="11"/>
  <c r="J36" i="11"/>
  <c r="E36" i="11"/>
  <c r="J35" i="11"/>
  <c r="K35" i="11" s="1"/>
  <c r="E35" i="11"/>
  <c r="J34" i="11"/>
  <c r="K34" i="11" s="1"/>
  <c r="E34" i="11"/>
  <c r="J33" i="11"/>
  <c r="K33" i="11" s="1"/>
  <c r="E33" i="11"/>
  <c r="J32" i="11"/>
  <c r="K32" i="11" s="1"/>
  <c r="E32" i="11"/>
  <c r="J31" i="11"/>
  <c r="K31" i="11" s="1"/>
  <c r="E31" i="11"/>
  <c r="J30" i="11"/>
  <c r="K30" i="11" s="1"/>
  <c r="E30" i="11"/>
  <c r="J29" i="11"/>
  <c r="K29" i="11" s="1"/>
  <c r="E29" i="11"/>
  <c r="H24" i="11"/>
  <c r="I24" i="11" s="1"/>
  <c r="H23" i="11"/>
  <c r="I23" i="11" s="1"/>
  <c r="H22" i="11"/>
  <c r="I22" i="11" s="1"/>
  <c r="I21" i="11"/>
  <c r="H21" i="11"/>
  <c r="H20" i="11"/>
  <c r="I20" i="11" s="1"/>
  <c r="H13" i="11"/>
  <c r="I13" i="11" s="1"/>
  <c r="H12" i="11"/>
  <c r="I12" i="11" s="1"/>
  <c r="H11" i="11"/>
  <c r="I11" i="11" s="1"/>
  <c r="I10" i="11"/>
  <c r="H10" i="11"/>
  <c r="H9" i="11"/>
  <c r="I9" i="11" s="1"/>
  <c r="H8" i="11"/>
  <c r="I8" i="11" s="1"/>
  <c r="H7" i="11"/>
  <c r="I7" i="11" s="1"/>
  <c r="J7" i="11" s="1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P59" i="10"/>
  <c r="O59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R50" i="10"/>
  <c r="Q50" i="10"/>
  <c r="P50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E14" i="9"/>
  <c r="F14" i="9" s="1"/>
  <c r="G14" i="9" s="1"/>
  <c r="E13" i="9"/>
  <c r="F13" i="9" s="1"/>
  <c r="G13" i="9" s="1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E7" i="9"/>
  <c r="F7" i="9" s="1"/>
  <c r="G7" i="9" s="1"/>
  <c r="E6" i="9"/>
  <c r="F6" i="9" s="1"/>
  <c r="G6" i="9" s="1"/>
  <c r="E5" i="9"/>
  <c r="F5" i="9" s="1"/>
  <c r="G5" i="9" s="1"/>
  <c r="E3" i="8"/>
  <c r="E7" i="8" s="1"/>
  <c r="G11" i="8"/>
  <c r="G12" i="8"/>
  <c r="E4" i="8" s="1"/>
  <c r="G13" i="8"/>
  <c r="E5" i="8" s="1"/>
  <c r="G14" i="8"/>
  <c r="E6" i="8" s="1"/>
  <c r="H18" i="8"/>
  <c r="I20" i="7"/>
  <c r="H20" i="7"/>
  <c r="G20" i="7"/>
  <c r="F20" i="7"/>
  <c r="E20" i="7"/>
  <c r="D20" i="7"/>
  <c r="C20" i="7"/>
  <c r="B20" i="7"/>
  <c r="G29" i="7"/>
  <c r="G28" i="7"/>
  <c r="G27" i="7"/>
  <c r="G26" i="7"/>
  <c r="G25" i="7"/>
  <c r="G30" i="7" s="1"/>
  <c r="E9" i="7"/>
  <c r="B9" i="7"/>
  <c r="E8" i="7"/>
  <c r="B8" i="7"/>
  <c r="E7" i="7"/>
  <c r="B7" i="7"/>
  <c r="E6" i="7"/>
  <c r="B6" i="7"/>
  <c r="E5" i="7"/>
  <c r="B5" i="7"/>
  <c r="E4" i="7"/>
  <c r="B4" i="7"/>
  <c r="E3" i="7"/>
  <c r="B3" i="7"/>
  <c r="E2" i="7"/>
  <c r="B2" i="7"/>
  <c r="J24" i="14" l="1"/>
  <c r="J15" i="14"/>
  <c r="J12" i="14"/>
  <c r="J8" i="14"/>
  <c r="J4" i="14"/>
  <c r="J22" i="14"/>
  <c r="J20" i="14"/>
  <c r="J18" i="14"/>
  <c r="J16" i="14"/>
  <c r="J13" i="14"/>
  <c r="J9" i="14"/>
  <c r="J5" i="14"/>
  <c r="J14" i="14"/>
  <c r="J10" i="14"/>
  <c r="D6" i="12"/>
  <c r="K7" i="11"/>
  <c r="J20" i="11"/>
  <c r="K20" i="11" s="1"/>
  <c r="P52" i="10"/>
  <c r="G16" i="9"/>
  <c r="H14" i="8"/>
  <c r="H13" i="8"/>
  <c r="H12" i="8"/>
  <c r="H11" i="8"/>
  <c r="H17" i="8" s="1"/>
  <c r="I12" i="8" s="1"/>
  <c r="F3" i="8" s="1"/>
  <c r="L26" i="11" l="1"/>
  <c r="M26" i="11" s="1"/>
  <c r="M23" i="6" l="1"/>
  <c r="N23" i="6" s="1"/>
  <c r="O23" i="6" s="1"/>
  <c r="L23" i="6"/>
  <c r="D23" i="6"/>
  <c r="E23" i="6" s="1"/>
  <c r="B35" i="6" s="1"/>
  <c r="M22" i="6"/>
  <c r="N22" i="6" s="1"/>
  <c r="O22" i="6" s="1"/>
  <c r="L22" i="6"/>
  <c r="D22" i="6"/>
  <c r="E22" i="6" s="1"/>
  <c r="B34" i="6" s="1"/>
  <c r="N21" i="6"/>
  <c r="O21" i="6" s="1"/>
  <c r="M21" i="6"/>
  <c r="L21" i="6"/>
  <c r="D21" i="6"/>
  <c r="E21" i="6" s="1"/>
  <c r="B33" i="6" s="1"/>
  <c r="M20" i="6"/>
  <c r="N20" i="6" s="1"/>
  <c r="O20" i="6" s="1"/>
  <c r="L20" i="6"/>
  <c r="D20" i="6"/>
  <c r="E20" i="6" s="1"/>
  <c r="B32" i="6" s="1"/>
  <c r="M19" i="6"/>
  <c r="N19" i="6" s="1"/>
  <c r="O19" i="6" s="1"/>
  <c r="L19" i="6"/>
  <c r="D19" i="6"/>
  <c r="E19" i="6" s="1"/>
  <c r="B31" i="6" s="1"/>
  <c r="M18" i="6"/>
  <c r="L18" i="6"/>
  <c r="D18" i="6"/>
  <c r="E18" i="6" s="1"/>
  <c r="B30" i="6" s="1"/>
  <c r="M17" i="6"/>
  <c r="N17" i="6" s="1"/>
  <c r="O17" i="6" s="1"/>
  <c r="L17" i="6"/>
  <c r="D17" i="6"/>
  <c r="E17" i="6" s="1"/>
  <c r="B29" i="6" s="1"/>
  <c r="M16" i="6"/>
  <c r="L16" i="6"/>
  <c r="D16" i="6"/>
  <c r="E16" i="6" s="1"/>
  <c r="B28" i="6" s="1"/>
  <c r="M15" i="6"/>
  <c r="L15" i="6"/>
  <c r="N15" i="6" s="1"/>
  <c r="O15" i="6" s="1"/>
  <c r="D15" i="6"/>
  <c r="E15" i="6" s="1"/>
  <c r="B27" i="6" s="1"/>
  <c r="M14" i="6"/>
  <c r="N14" i="6" s="1"/>
  <c r="O14" i="6" s="1"/>
  <c r="L14" i="6"/>
  <c r="D14" i="6"/>
  <c r="E14" i="6" s="1"/>
  <c r="B26" i="6" s="1"/>
  <c r="M11" i="6"/>
  <c r="N11" i="6" s="1"/>
  <c r="O11" i="6" s="1"/>
  <c r="L11" i="6"/>
  <c r="D11" i="6"/>
  <c r="E11" i="6" s="1"/>
  <c r="M10" i="6"/>
  <c r="L10" i="6"/>
  <c r="D10" i="6"/>
  <c r="E10" i="6" s="1"/>
  <c r="N9" i="6"/>
  <c r="O9" i="6" s="1"/>
  <c r="M9" i="6"/>
  <c r="L9" i="6"/>
  <c r="D9" i="6"/>
  <c r="E9" i="6" s="1"/>
  <c r="M8" i="6"/>
  <c r="N8" i="6" s="1"/>
  <c r="O8" i="6" s="1"/>
  <c r="L8" i="6"/>
  <c r="D8" i="6"/>
  <c r="E8" i="6" s="1"/>
  <c r="M7" i="6"/>
  <c r="N7" i="6" s="1"/>
  <c r="O7" i="6" s="1"/>
  <c r="L7" i="6"/>
  <c r="D7" i="6"/>
  <c r="E7" i="6" s="1"/>
  <c r="M6" i="6"/>
  <c r="L6" i="6"/>
  <c r="D6" i="6"/>
  <c r="E6" i="6" s="1"/>
  <c r="M5" i="6"/>
  <c r="N5" i="6" s="1"/>
  <c r="O5" i="6" s="1"/>
  <c r="L5" i="6"/>
  <c r="D5" i="6"/>
  <c r="E5" i="6" s="1"/>
  <c r="M4" i="6"/>
  <c r="L4" i="6"/>
  <c r="D4" i="6"/>
  <c r="E4" i="6" s="1"/>
  <c r="M3" i="6"/>
  <c r="N3" i="6" s="1"/>
  <c r="O3" i="6" s="1"/>
  <c r="L3" i="6"/>
  <c r="D3" i="6"/>
  <c r="E3" i="6" s="1"/>
  <c r="M2" i="6"/>
  <c r="L2" i="6"/>
  <c r="D2" i="6"/>
  <c r="E2" i="6" s="1"/>
  <c r="G3" i="5"/>
  <c r="I3" i="5" s="1"/>
  <c r="G4" i="5"/>
  <c r="G2" i="5"/>
  <c r="B24" i="5"/>
  <c r="B25" i="5"/>
  <c r="B26" i="5"/>
  <c r="B27" i="5"/>
  <c r="B28" i="5"/>
  <c r="B29" i="5"/>
  <c r="B30" i="5"/>
  <c r="B31" i="5"/>
  <c r="B32" i="5"/>
  <c r="B33" i="5"/>
  <c r="B34" i="5"/>
  <c r="B35" i="5"/>
  <c r="M2" i="5"/>
  <c r="B7" i="5"/>
  <c r="B8" i="5"/>
  <c r="B9" i="5"/>
  <c r="D8" i="5" s="1"/>
  <c r="C24" i="5" s="1"/>
  <c r="D9" i="5"/>
  <c r="C25" i="5" s="1"/>
  <c r="B10" i="5"/>
  <c r="B11" i="5"/>
  <c r="D11" i="5"/>
  <c r="C27" i="5" s="1"/>
  <c r="B12" i="5"/>
  <c r="B13" i="5"/>
  <c r="D12" i="5" s="1"/>
  <c r="C28" i="5" s="1"/>
  <c r="B14" i="5"/>
  <c r="D15" i="5" s="1"/>
  <c r="C31" i="5" s="1"/>
  <c r="B15" i="5"/>
  <c r="D14" i="5" s="1"/>
  <c r="C30" i="5" s="1"/>
  <c r="B16" i="5"/>
  <c r="B17" i="5"/>
  <c r="D16" i="5" s="1"/>
  <c r="C32" i="5" s="1"/>
  <c r="D17" i="5"/>
  <c r="C33" i="5" s="1"/>
  <c r="B18" i="5"/>
  <c r="B19" i="5"/>
  <c r="D19" i="5"/>
  <c r="C35" i="5" s="1"/>
  <c r="B20" i="5"/>
  <c r="J27" i="2"/>
  <c r="C27" i="2"/>
  <c r="D28" i="2" s="1"/>
  <c r="I21" i="2"/>
  <c r="E18" i="2"/>
  <c r="E17" i="2"/>
  <c r="E16" i="2"/>
  <c r="E15" i="2"/>
  <c r="E14" i="2"/>
  <c r="E13" i="2"/>
  <c r="E12" i="2"/>
  <c r="E11" i="2"/>
  <c r="P8" i="2"/>
  <c r="P6" i="2"/>
  <c r="P4" i="2"/>
  <c r="P2" i="2"/>
  <c r="K2" i="2"/>
  <c r="I2" i="2"/>
  <c r="H2" i="2"/>
  <c r="G2" i="2"/>
  <c r="N18" i="6" l="1"/>
  <c r="O18" i="6" s="1"/>
  <c r="N16" i="6"/>
  <c r="O16" i="6" s="1"/>
  <c r="L35" i="6"/>
  <c r="M35" i="6" s="1"/>
  <c r="E35" i="6" s="1"/>
  <c r="L29" i="6"/>
  <c r="M29" i="6" s="1"/>
  <c r="E29" i="6" s="1"/>
  <c r="L31" i="6"/>
  <c r="M31" i="6" s="1"/>
  <c r="N2" i="6"/>
  <c r="O2" i="6" s="1"/>
  <c r="L26" i="6" s="1"/>
  <c r="M26" i="6" s="1"/>
  <c r="N10" i="6"/>
  <c r="O10" i="6" s="1"/>
  <c r="L34" i="6" s="1"/>
  <c r="M34" i="6" s="1"/>
  <c r="E34" i="6" s="1"/>
  <c r="N6" i="6"/>
  <c r="O6" i="6" s="1"/>
  <c r="L30" i="6" s="1"/>
  <c r="M30" i="6" s="1"/>
  <c r="N4" i="6"/>
  <c r="O4" i="6" s="1"/>
  <c r="L28" i="6" s="1"/>
  <c r="M28" i="6" s="1"/>
  <c r="A31" i="6"/>
  <c r="C31" i="6"/>
  <c r="A27" i="6"/>
  <c r="C27" i="6"/>
  <c r="A28" i="6"/>
  <c r="C28" i="6"/>
  <c r="L32" i="6"/>
  <c r="M32" i="6" s="1"/>
  <c r="L33" i="6"/>
  <c r="M33" i="6" s="1"/>
  <c r="A35" i="6"/>
  <c r="C35" i="6"/>
  <c r="E28" i="6"/>
  <c r="A32" i="6"/>
  <c r="C32" i="6"/>
  <c r="L27" i="6"/>
  <c r="M27" i="6" s="1"/>
  <c r="C29" i="6"/>
  <c r="A29" i="6"/>
  <c r="C30" i="6"/>
  <c r="A30" i="6"/>
  <c r="A26" i="6"/>
  <c r="C26" i="6"/>
  <c r="E30" i="6"/>
  <c r="E31" i="6"/>
  <c r="A33" i="6"/>
  <c r="C33" i="6"/>
  <c r="C34" i="6"/>
  <c r="A34" i="6"/>
  <c r="I2" i="5"/>
  <c r="I4" i="5"/>
  <c r="D18" i="5"/>
  <c r="C34" i="5" s="1"/>
  <c r="D13" i="5"/>
  <c r="C29" i="5" s="1"/>
  <c r="D10" i="5"/>
  <c r="C26" i="5" s="1"/>
  <c r="R4" i="5"/>
  <c r="S4" i="5"/>
  <c r="Q4" i="5"/>
  <c r="P4" i="5"/>
  <c r="T4" i="5"/>
  <c r="S3" i="5"/>
  <c r="P3" i="5"/>
  <c r="T3" i="5"/>
  <c r="R3" i="5"/>
  <c r="Q3" i="5"/>
  <c r="P2" i="5"/>
  <c r="T2" i="5"/>
  <c r="Q2" i="5"/>
  <c r="R2" i="5"/>
  <c r="S2" i="5"/>
  <c r="C23" i="2"/>
  <c r="C22" i="2"/>
  <c r="C24" i="2"/>
  <c r="C21" i="2"/>
  <c r="D21" i="2" s="1"/>
  <c r="D27" i="2"/>
  <c r="D30" i="2"/>
  <c r="D29" i="2"/>
  <c r="D31" i="2"/>
  <c r="E33" i="6" l="1"/>
  <c r="E26" i="6"/>
  <c r="N26" i="6"/>
  <c r="E32" i="6"/>
  <c r="E27" i="6"/>
  <c r="U4" i="5"/>
  <c r="O4" i="5" s="1"/>
  <c r="U3" i="5"/>
  <c r="O3" i="5" s="1"/>
  <c r="U2" i="5"/>
  <c r="O2" i="5" s="1"/>
  <c r="R21" i="2"/>
  <c r="J23" i="2"/>
  <c r="J24" i="2"/>
  <c r="J22" i="2"/>
  <c r="K29" i="2"/>
  <c r="E27" i="2"/>
  <c r="J21" i="2"/>
  <c r="O35" i="6" l="1"/>
  <c r="O30" i="6"/>
  <c r="O29" i="6"/>
  <c r="O34" i="6"/>
  <c r="O28" i="6"/>
  <c r="O31" i="6"/>
  <c r="O32" i="6"/>
  <c r="O33" i="6"/>
  <c r="F26" i="6"/>
  <c r="O27" i="6"/>
  <c r="O26" i="6"/>
  <c r="H21" i="2"/>
  <c r="F21" i="2" s="1"/>
  <c r="F25" i="2" s="1"/>
  <c r="S27" i="2"/>
  <c r="B34" i="2" s="1"/>
  <c r="K28" i="2"/>
  <c r="K30" i="2"/>
  <c r="K27" i="2"/>
  <c r="K31" i="2"/>
  <c r="G28" i="6" l="1"/>
  <c r="I28" i="6" s="1"/>
  <c r="G34" i="6"/>
  <c r="I34" i="6" s="1"/>
  <c r="G35" i="6"/>
  <c r="I35" i="6" s="1"/>
  <c r="G29" i="6"/>
  <c r="I29" i="6" s="1"/>
  <c r="G31" i="6"/>
  <c r="I31" i="6" s="1"/>
  <c r="G30" i="6"/>
  <c r="I30" i="6" s="1"/>
  <c r="G33" i="6"/>
  <c r="I33" i="6" s="1"/>
  <c r="G26" i="6"/>
  <c r="G32" i="6"/>
  <c r="I32" i="6" s="1"/>
  <c r="G27" i="6"/>
  <c r="I27" i="6" s="1"/>
  <c r="L2" i="2"/>
  <c r="I27" i="2"/>
  <c r="G27" i="2" s="1"/>
  <c r="I26" i="6" l="1"/>
  <c r="H26" i="6"/>
  <c r="H36" i="6" s="1"/>
  <c r="J2" i="2"/>
  <c r="B36" i="2" s="1"/>
  <c r="B38" i="2" s="1"/>
  <c r="G32" i="2"/>
  <c r="D46" i="1" l="1"/>
  <c r="D47" i="1"/>
  <c r="C43" i="1"/>
  <c r="C44" i="1"/>
  <c r="C45" i="1"/>
  <c r="C46" i="1"/>
  <c r="C47" i="1"/>
  <c r="C42" i="1"/>
  <c r="B43" i="1"/>
  <c r="D43" i="1" s="1"/>
  <c r="B44" i="1"/>
  <c r="B45" i="1"/>
  <c r="B46" i="1"/>
  <c r="B47" i="1"/>
  <c r="B42" i="1"/>
  <c r="B48" i="1" s="1"/>
  <c r="J28" i="1"/>
  <c r="J22" i="1"/>
  <c r="J23" i="1"/>
  <c r="J24" i="1"/>
  <c r="J25" i="1"/>
  <c r="J26" i="1"/>
  <c r="J27" i="1"/>
  <c r="I22" i="1"/>
  <c r="I23" i="1"/>
  <c r="I24" i="1"/>
  <c r="I25" i="1"/>
  <c r="I26" i="1"/>
  <c r="I27" i="1"/>
  <c r="G26" i="1"/>
  <c r="G27" i="1"/>
  <c r="E22" i="1"/>
  <c r="E23" i="1"/>
  <c r="E24" i="1"/>
  <c r="E25" i="1"/>
  <c r="E26" i="1"/>
  <c r="E27" i="1"/>
  <c r="B23" i="1"/>
  <c r="B24" i="1"/>
  <c r="G24" i="1" s="1"/>
  <c r="B25" i="1"/>
  <c r="G25" i="1" s="1"/>
  <c r="B26" i="1"/>
  <c r="B27" i="1"/>
  <c r="B22" i="1"/>
  <c r="B28" i="1" s="1"/>
  <c r="B8" i="1"/>
  <c r="C8" i="1"/>
  <c r="D3" i="1"/>
  <c r="D4" i="1"/>
  <c r="D5" i="1"/>
  <c r="D6" i="1"/>
  <c r="D8" i="1" s="1"/>
  <c r="D7" i="1"/>
  <c r="D2" i="1"/>
  <c r="D44" i="1" l="1"/>
  <c r="C48" i="1"/>
  <c r="D45" i="1"/>
  <c r="D42" i="1"/>
  <c r="E28" i="1"/>
  <c r="G23" i="1"/>
  <c r="G22" i="1"/>
  <c r="H22" i="1" s="1"/>
  <c r="E2" i="1"/>
  <c r="E42" i="1" l="1"/>
  <c r="F3" i="1"/>
  <c r="G3" i="1" s="1"/>
  <c r="F5" i="1"/>
  <c r="G5" i="1" s="1"/>
  <c r="F2" i="1"/>
  <c r="G2" i="1" s="1"/>
  <c r="F6" i="1"/>
  <c r="G6" i="1" s="1"/>
  <c r="F4" i="1"/>
  <c r="G4" i="1" s="1"/>
  <c r="F7" i="1"/>
  <c r="G7" i="1" s="1"/>
  <c r="F46" i="1" l="1"/>
  <c r="G46" i="1" s="1"/>
  <c r="F47" i="1"/>
  <c r="G47" i="1" s="1"/>
  <c r="F45" i="1"/>
  <c r="G45" i="1" s="1"/>
  <c r="F44" i="1"/>
  <c r="G44" i="1" s="1"/>
  <c r="F43" i="1"/>
  <c r="G43" i="1" s="1"/>
  <c r="F42" i="1"/>
  <c r="G42" i="1" s="1"/>
  <c r="G48" i="1" s="1"/>
  <c r="G8" i="1"/>
</calcChain>
</file>

<file path=xl/sharedStrings.xml><?xml version="1.0" encoding="utf-8"?>
<sst xmlns="http://schemas.openxmlformats.org/spreadsheetml/2006/main" count="387" uniqueCount="294">
  <si>
    <t>k</t>
    <phoneticPr fontId="1" type="noConversion"/>
  </si>
  <si>
    <t>透镜距离</t>
    <phoneticPr fontId="1" type="noConversion"/>
  </si>
  <si>
    <t>屏位置</t>
    <phoneticPr fontId="1" type="noConversion"/>
  </si>
  <si>
    <t>焦距f</t>
    <phoneticPr fontId="1" type="noConversion"/>
  </si>
  <si>
    <t>△f</t>
    <phoneticPr fontId="3" type="noConversion"/>
  </si>
  <si>
    <t>平均值</t>
    <phoneticPr fontId="1" type="noConversion"/>
  </si>
  <si>
    <t>|△f|</t>
    <phoneticPr fontId="3" type="noConversion"/>
  </si>
  <si>
    <t>自准法</t>
    <phoneticPr fontId="1" type="noConversion"/>
  </si>
  <si>
    <t>位置一</t>
    <phoneticPr fontId="1" type="noConversion"/>
  </si>
  <si>
    <t>位置二</t>
    <phoneticPr fontId="1" type="noConversion"/>
  </si>
  <si>
    <t>D</t>
    <phoneticPr fontId="1" type="noConversion"/>
  </si>
  <si>
    <t>d</t>
    <phoneticPr fontId="1" type="noConversion"/>
  </si>
  <si>
    <t>f</t>
    <phoneticPr fontId="1" type="noConversion"/>
  </si>
  <si>
    <t>△f</t>
    <phoneticPr fontId="3" type="noConversion"/>
  </si>
  <si>
    <t>|△f|</t>
    <phoneticPr fontId="3" type="noConversion"/>
  </si>
  <si>
    <t>位移法</t>
    <phoneticPr fontId="1" type="noConversion"/>
  </si>
  <si>
    <t>虚像位置</t>
    <phoneticPr fontId="1" type="noConversion"/>
  </si>
  <si>
    <t>凹透镜位置</t>
    <phoneticPr fontId="1" type="noConversion"/>
  </si>
  <si>
    <t>屏位置</t>
    <phoneticPr fontId="1" type="noConversion"/>
  </si>
  <si>
    <t>u</t>
    <phoneticPr fontId="1" type="noConversion"/>
  </si>
  <si>
    <t>v</t>
    <phoneticPr fontId="1" type="noConversion"/>
  </si>
  <si>
    <t>f</t>
    <phoneticPr fontId="1" type="noConversion"/>
  </si>
  <si>
    <t>凹透镜</t>
    <phoneticPr fontId="1" type="noConversion"/>
  </si>
  <si>
    <t>金属丝长度L/cm</t>
    <phoneticPr fontId="3" type="noConversion"/>
  </si>
  <si>
    <t>仪器误差/mm</t>
    <phoneticPr fontId="3" type="noConversion"/>
  </si>
  <si>
    <t>E</t>
    <phoneticPr fontId="3" type="noConversion"/>
  </si>
  <si>
    <t>F</t>
    <phoneticPr fontId="3" type="noConversion"/>
  </si>
  <si>
    <t>L</t>
    <phoneticPr fontId="3" type="noConversion"/>
  </si>
  <si>
    <t>D</t>
    <phoneticPr fontId="3" type="noConversion"/>
  </si>
  <si>
    <t>d</t>
    <phoneticPr fontId="3" type="noConversion"/>
  </si>
  <si>
    <t>b</t>
    <phoneticPr fontId="3" type="noConversion"/>
  </si>
  <si>
    <t>l</t>
    <phoneticPr fontId="3" type="noConversion"/>
  </si>
  <si>
    <t>国际单位</t>
    <phoneticPr fontId="3" type="noConversion"/>
  </si>
  <si>
    <t>金属丝长度L/cm</t>
  </si>
  <si>
    <t>仪器误差/mm</t>
  </si>
  <si>
    <t>D/cm</t>
    <phoneticPr fontId="3" type="noConversion"/>
  </si>
  <si>
    <t>误差/mm</t>
    <phoneticPr fontId="3" type="noConversion"/>
  </si>
  <si>
    <t>D/cm</t>
  </si>
  <si>
    <t>误差/mm</t>
  </si>
  <si>
    <t>b</t>
    <phoneticPr fontId="3" type="noConversion"/>
  </si>
  <si>
    <t>误差/mm</t>
    <phoneticPr fontId="3" type="noConversion"/>
  </si>
  <si>
    <t>b</t>
  </si>
  <si>
    <t>砝码/g</t>
    <phoneticPr fontId="3" type="noConversion"/>
  </si>
  <si>
    <t>误差/g</t>
    <phoneticPr fontId="3" type="noConversion"/>
  </si>
  <si>
    <t>砝码/g</t>
  </si>
  <si>
    <t>误差/g</t>
  </si>
  <si>
    <t>r</t>
    <phoneticPr fontId="3" type="noConversion"/>
  </si>
  <si>
    <t>r</t>
  </si>
  <si>
    <t>k</t>
    <phoneticPr fontId="3" type="noConversion"/>
  </si>
  <si>
    <t>质量/g</t>
    <phoneticPr fontId="3" type="noConversion"/>
  </si>
  <si>
    <t>r1</t>
    <phoneticPr fontId="3" type="noConversion"/>
  </si>
  <si>
    <t>r2</t>
    <phoneticPr fontId="3" type="noConversion"/>
  </si>
  <si>
    <t>r平均</t>
    <phoneticPr fontId="3" type="noConversion"/>
  </si>
  <si>
    <t>k</t>
  </si>
  <si>
    <t>质量/g</t>
  </si>
  <si>
    <t>r1</t>
  </si>
  <si>
    <t>r2</t>
  </si>
  <si>
    <t>r平均</t>
  </si>
  <si>
    <t>Dr</t>
  </si>
  <si>
    <t>tp</t>
  </si>
  <si>
    <t>DA</t>
  </si>
  <si>
    <t>DB</t>
  </si>
  <si>
    <t>平均值差值平方</t>
  </si>
  <si>
    <t>l</t>
    <phoneticPr fontId="3" type="noConversion"/>
  </si>
  <si>
    <t>l</t>
  </si>
  <si>
    <t>l/cm</t>
    <phoneticPr fontId="3" type="noConversion"/>
  </si>
  <si>
    <t>平均/cm</t>
    <phoneticPr fontId="3" type="noConversion"/>
  </si>
  <si>
    <t>仪器误差/mm</t>
    <phoneticPr fontId="3" type="noConversion"/>
  </si>
  <si>
    <t>Dr</t>
    <phoneticPr fontId="3" type="noConversion"/>
  </si>
  <si>
    <t>tp</t>
    <phoneticPr fontId="3" type="noConversion"/>
  </si>
  <si>
    <t>DA</t>
    <phoneticPr fontId="3" type="noConversion"/>
  </si>
  <si>
    <t>DB</t>
    <phoneticPr fontId="3" type="noConversion"/>
  </si>
  <si>
    <t>平均值差值平方</t>
    <phoneticPr fontId="3" type="noConversion"/>
  </si>
  <si>
    <t>l/cm</t>
  </si>
  <si>
    <t>平均/cm</t>
  </si>
  <si>
    <t>d测量/mm</t>
    <phoneticPr fontId="3" type="noConversion"/>
  </si>
  <si>
    <t>修正</t>
    <phoneticPr fontId="3" type="noConversion"/>
  </si>
  <si>
    <t>d真实/mm</t>
    <phoneticPr fontId="3" type="noConversion"/>
  </si>
  <si>
    <t>平均</t>
    <phoneticPr fontId="3" type="noConversion"/>
  </si>
  <si>
    <t>仪器误差/mm</t>
    <phoneticPr fontId="3" type="noConversion"/>
  </si>
  <si>
    <t>Dd</t>
    <phoneticPr fontId="3" type="noConversion"/>
  </si>
  <si>
    <t>tp</t>
    <phoneticPr fontId="3" type="noConversion"/>
  </si>
  <si>
    <t>DA</t>
    <phoneticPr fontId="3" type="noConversion"/>
  </si>
  <si>
    <t>平均值差值平方</t>
    <phoneticPr fontId="3" type="noConversion"/>
  </si>
  <si>
    <t>d测量/mm</t>
  </si>
  <si>
    <t>修正</t>
  </si>
  <si>
    <t>d真实/mm</t>
  </si>
  <si>
    <t>平均</t>
  </si>
  <si>
    <t>Dd</t>
  </si>
  <si>
    <t>杨氏模量</t>
    <phoneticPr fontId="3" type="noConversion"/>
  </si>
  <si>
    <t>δE</t>
    <phoneticPr fontId="3" type="noConversion"/>
  </si>
  <si>
    <t>正向</t>
    <phoneticPr fontId="3" type="noConversion"/>
  </si>
  <si>
    <t>k</t>
    <phoneticPr fontId="3" type="noConversion"/>
  </si>
  <si>
    <t>U(V)</t>
    <phoneticPr fontId="3" type="noConversion"/>
  </si>
  <si>
    <t>I(mA)</t>
    <phoneticPr fontId="3" type="noConversion"/>
  </si>
  <si>
    <t>反向</t>
    <phoneticPr fontId="3" type="noConversion"/>
  </si>
  <si>
    <t>k</t>
    <phoneticPr fontId="3" type="noConversion"/>
  </si>
  <si>
    <t>U(V)</t>
    <phoneticPr fontId="3" type="noConversion"/>
  </si>
  <si>
    <t>I(mA)</t>
    <phoneticPr fontId="3" type="noConversion"/>
  </si>
  <si>
    <t>辅助数据</t>
    <phoneticPr fontId="1" type="noConversion"/>
  </si>
  <si>
    <t>辅助数据已隐藏</t>
    <phoneticPr fontId="1" type="noConversion"/>
  </si>
  <si>
    <t>改装电流表示数/mA</t>
    <phoneticPr fontId="3" type="noConversion"/>
  </si>
  <si>
    <t>标准表示数/mA</t>
    <phoneticPr fontId="3" type="noConversion"/>
  </si>
  <si>
    <t>改装电压表示数/V</t>
    <phoneticPr fontId="3" type="noConversion"/>
  </si>
  <si>
    <t>标准表示数/</t>
    <phoneticPr fontId="3" type="noConversion"/>
  </si>
  <si>
    <t>并没有计算</t>
    <phoneticPr fontId="1" type="noConversion"/>
  </si>
  <si>
    <t>斜率</t>
    <phoneticPr fontId="3" type="noConversion"/>
  </si>
  <si>
    <t>时间/s</t>
    <phoneticPr fontId="3" type="noConversion"/>
  </si>
  <si>
    <t>温度</t>
    <phoneticPr fontId="3" type="noConversion"/>
  </si>
  <si>
    <t>电压/mV</t>
    <phoneticPr fontId="3" type="noConversion"/>
  </si>
  <si>
    <t>Al</t>
    <phoneticPr fontId="3" type="noConversion"/>
  </si>
  <si>
    <t>Cu</t>
    <phoneticPr fontId="3" type="noConversion"/>
  </si>
  <si>
    <t>Fe</t>
    <phoneticPr fontId="3" type="noConversion"/>
  </si>
  <si>
    <t>δa</t>
    <phoneticPr fontId="3" type="noConversion"/>
  </si>
  <si>
    <t>δt</t>
    <phoneticPr fontId="3" type="noConversion"/>
  </si>
  <si>
    <t>tp</t>
    <phoneticPr fontId="3" type="noConversion"/>
  </si>
  <si>
    <t>δb</t>
    <phoneticPr fontId="3" type="noConversion"/>
  </si>
  <si>
    <t>δ仪</t>
    <phoneticPr fontId="3" type="noConversion"/>
  </si>
  <si>
    <t>C/Cu</t>
    <phoneticPr fontId="3" type="noConversion"/>
  </si>
  <si>
    <t>M</t>
    <phoneticPr fontId="3" type="noConversion"/>
  </si>
  <si>
    <t>C</t>
    <phoneticPr fontId="3" type="noConversion"/>
  </si>
  <si>
    <t>δT</t>
    <phoneticPr fontId="3" type="noConversion"/>
  </si>
  <si>
    <t>平均值</t>
    <phoneticPr fontId="3" type="noConversion"/>
  </si>
  <si>
    <t>次数</t>
    <phoneticPr fontId="3" type="noConversion"/>
  </si>
  <si>
    <t>中间数据</t>
    <phoneticPr fontId="1" type="noConversion"/>
  </si>
  <si>
    <t>作图数据</t>
    <phoneticPr fontId="1" type="noConversion"/>
  </si>
  <si>
    <t>环的级数/m</t>
    <phoneticPr fontId="1" type="noConversion"/>
  </si>
  <si>
    <t>右侧（mm）</t>
    <phoneticPr fontId="1" type="noConversion"/>
  </si>
  <si>
    <t>左侧（mm）</t>
    <phoneticPr fontId="1" type="noConversion"/>
  </si>
  <si>
    <t>环的直径（mm）</t>
    <phoneticPr fontId="1" type="noConversion"/>
  </si>
  <si>
    <t>Dm^2/mm^2</t>
    <phoneticPr fontId="1" type="noConversion"/>
  </si>
  <si>
    <t>环的级数/m</t>
  </si>
  <si>
    <t>右侧（mm）</t>
  </si>
  <si>
    <t>左侧（mm）</t>
  </si>
  <si>
    <t>环的直径（mm）</t>
  </si>
  <si>
    <t>Dm^2</t>
  </si>
  <si>
    <t>环的级数/n</t>
    <phoneticPr fontId="1" type="noConversion"/>
  </si>
  <si>
    <t>右侧（mm）</t>
    <phoneticPr fontId="1" type="noConversion"/>
  </si>
  <si>
    <t>环的直径（mm）</t>
    <phoneticPr fontId="1" type="noConversion"/>
  </si>
  <si>
    <t>Dn^2/mm^2</t>
    <phoneticPr fontId="1" type="noConversion"/>
  </si>
  <si>
    <t>环的级数/n</t>
  </si>
  <si>
    <t>Dn^2</t>
  </si>
  <si>
    <t>Dm^2/mm^2</t>
  </si>
  <si>
    <t>Dn^2/mm^2</t>
  </si>
  <si>
    <t>Dm^2 - Dn^2</t>
    <phoneticPr fontId="1" type="noConversion"/>
  </si>
  <si>
    <t>λ/nm</t>
    <phoneticPr fontId="1" type="noConversion"/>
  </si>
  <si>
    <t>R/m</t>
    <phoneticPr fontId="1" type="noConversion"/>
  </si>
  <si>
    <t>R(Ave)/m</t>
    <phoneticPr fontId="1" type="noConversion"/>
  </si>
  <si>
    <t>R - R(Ave)</t>
    <phoneticPr fontId="1" type="noConversion"/>
  </si>
  <si>
    <t>ΔR</t>
    <phoneticPr fontId="1" type="noConversion"/>
  </si>
  <si>
    <t>？？？</t>
    <phoneticPr fontId="1" type="noConversion"/>
  </si>
  <si>
    <t>λ</t>
  </si>
  <si>
    <t>Dm^2 - Dn^2</t>
  </si>
  <si>
    <t>R</t>
  </si>
  <si>
    <t>R(Ave)</t>
  </si>
  <si>
    <t>ΔR</t>
  </si>
  <si>
    <t>处理过程→</t>
    <phoneticPr fontId="1" type="noConversion"/>
  </si>
  <si>
    <t>砝码/g</t>
    <rPh sb="0" eb="1">
      <t>fa'ma</t>
    </rPh>
    <phoneticPr fontId="1" type="noConversion"/>
  </si>
  <si>
    <t>F/N</t>
    <phoneticPr fontId="1" type="noConversion"/>
  </si>
  <si>
    <t>电压+/mV</t>
    <rPh sb="0" eb="1">
      <t>dian'ya</t>
    </rPh>
    <phoneticPr fontId="1" type="noConversion"/>
  </si>
  <si>
    <t>电压-/mV</t>
    <rPh sb="0" eb="1">
      <t>dian'ya</t>
    </rPh>
    <phoneticPr fontId="1" type="noConversion"/>
  </si>
  <si>
    <t>电压平均值/mV</t>
    <rPh sb="0" eb="1">
      <t>dian'ya'ping'jun'hzi</t>
    </rPh>
    <phoneticPr fontId="1" type="noConversion"/>
  </si>
  <si>
    <t>测定力传感器灵敏度</t>
  </si>
  <si>
    <t>F/N</t>
  </si>
  <si>
    <t>测定水的表面张力系数</t>
  </si>
  <si>
    <t>次数</t>
    <rPh sb="0" eb="1">
      <t>ci'shu</t>
    </rPh>
    <phoneticPr fontId="1" type="noConversion"/>
  </si>
  <si>
    <t>U1/mV</t>
    <phoneticPr fontId="1" type="noConversion"/>
  </si>
  <si>
    <t>U2/mV</t>
    <phoneticPr fontId="1" type="noConversion"/>
  </si>
  <si>
    <t>D1/mm</t>
    <phoneticPr fontId="1" type="noConversion"/>
  </si>
  <si>
    <t>D2/mm</t>
    <phoneticPr fontId="1" type="noConversion"/>
  </si>
  <si>
    <t>B/(V/N)</t>
    <phoneticPr fontId="1" type="noConversion"/>
  </si>
  <si>
    <t>平均值</t>
    <rPh sb="0" eb="1">
      <t>ping'jun'zhi</t>
    </rPh>
    <phoneticPr fontId="1" type="noConversion"/>
  </si>
  <si>
    <t>单位忘了</t>
    <phoneticPr fontId="1" type="noConversion"/>
  </si>
  <si>
    <t>δvB</t>
    <phoneticPr fontId="1" type="noConversion"/>
  </si>
  <si>
    <t>δvA</t>
    <phoneticPr fontId="1" type="noConversion"/>
  </si>
  <si>
    <t>δv</t>
    <phoneticPr fontId="1" type="noConversion"/>
  </si>
  <si>
    <t>λ</t>
    <phoneticPr fontId="1" type="noConversion"/>
  </si>
  <si>
    <t>Y4</t>
  </si>
  <si>
    <t>Y3</t>
  </si>
  <si>
    <t>Y2</t>
    <phoneticPr fontId="1" type="noConversion"/>
  </si>
  <si>
    <t>Y1</t>
    <phoneticPr fontId="1" type="noConversion"/>
  </si>
  <si>
    <t>Y0</t>
    <phoneticPr fontId="1" type="noConversion"/>
  </si>
  <si>
    <t>Ev</t>
    <phoneticPr fontId="1" type="noConversion"/>
  </si>
  <si>
    <t>u (m/s)</t>
    <phoneticPr fontId="1" type="noConversion"/>
  </si>
  <si>
    <t>μ</t>
    <phoneticPr fontId="1" type="noConversion"/>
  </si>
  <si>
    <t>d/mm</t>
    <phoneticPr fontId="1" type="noConversion"/>
  </si>
  <si>
    <t>误差计算</t>
    <phoneticPr fontId="1" type="noConversion"/>
  </si>
  <si>
    <t>I/µA</t>
    <phoneticPr fontId="1" type="noConversion"/>
  </si>
  <si>
    <t>校准值</t>
    <rPh sb="0" eb="1">
      <t>jiao'zhun'zhi</t>
    </rPh>
    <phoneticPr fontId="1" type="noConversion"/>
  </si>
  <si>
    <t>△I/µA</t>
    <phoneticPr fontId="1" type="noConversion"/>
  </si>
  <si>
    <t>上行</t>
    <rPh sb="0" eb="1">
      <t>shang'xing</t>
    </rPh>
    <phoneticPr fontId="1" type="noConversion"/>
  </si>
  <si>
    <t>下行</t>
    <rPh sb="0" eb="1">
      <t>xia'xing</t>
    </rPh>
    <phoneticPr fontId="1" type="noConversion"/>
  </si>
  <si>
    <t>电压/mV</t>
    <rPh sb="0" eb="1">
      <t>dian'ya</t>
    </rPh>
    <phoneticPr fontId="1" type="noConversion"/>
  </si>
  <si>
    <t>电流/µA</t>
    <rPh sb="0" eb="1">
      <t>dian'liu</t>
    </rPh>
    <phoneticPr fontId="1" type="noConversion"/>
  </si>
  <si>
    <t>误差</t>
    <phoneticPr fontId="1" type="noConversion"/>
  </si>
  <si>
    <t>标准化</t>
    <phoneticPr fontId="3" type="noConversion"/>
  </si>
  <si>
    <t>UG2(*10V)</t>
    <phoneticPr fontId="3" type="noConversion"/>
  </si>
  <si>
    <t>IP(*10^-8A)</t>
    <phoneticPr fontId="3" type="noConversion"/>
  </si>
  <si>
    <t>UG2</t>
    <phoneticPr fontId="3" type="noConversion"/>
  </si>
  <si>
    <t>IP</t>
    <phoneticPr fontId="3" type="noConversion"/>
  </si>
  <si>
    <t>峰值序号</t>
    <phoneticPr fontId="3" type="noConversion"/>
  </si>
  <si>
    <t>峰值位置</t>
    <phoneticPr fontId="3" type="noConversion"/>
  </si>
  <si>
    <t>e</t>
    <phoneticPr fontId="3" type="noConversion"/>
  </si>
  <si>
    <t>eU0理论</t>
    <phoneticPr fontId="3" type="noConversion"/>
  </si>
  <si>
    <t>eU0计算</t>
    <phoneticPr fontId="3" type="noConversion"/>
  </si>
  <si>
    <t>h普朗克常量</t>
    <phoneticPr fontId="3" type="noConversion"/>
  </si>
  <si>
    <t>c</t>
    <phoneticPr fontId="3" type="noConversion"/>
  </si>
  <si>
    <t>波长</t>
    <phoneticPr fontId="3" type="noConversion"/>
  </si>
  <si>
    <t>理论</t>
    <phoneticPr fontId="3" type="noConversion"/>
  </si>
  <si>
    <t>实际计算</t>
    <phoneticPr fontId="3" type="noConversion"/>
  </si>
  <si>
    <t>逐差法（忘了要干什么）</t>
    <phoneticPr fontId="1" type="noConversion"/>
  </si>
  <si>
    <t>IS/mA</t>
    <phoneticPr fontId="1" type="noConversion"/>
  </si>
  <si>
    <t>V1/mV</t>
    <phoneticPr fontId="1" type="noConversion"/>
  </si>
  <si>
    <t>V2/mV</t>
  </si>
  <si>
    <t>V3/mV</t>
  </si>
  <si>
    <t>V4/mV</t>
  </si>
  <si>
    <t>VH</t>
    <phoneticPr fontId="1" type="noConversion"/>
  </si>
  <si>
    <t>VH</t>
    <phoneticPr fontId="1" type="noConversion"/>
  </si>
  <si>
    <t>RH</t>
    <phoneticPr fontId="1" type="noConversion"/>
  </si>
  <si>
    <t>RH</t>
    <phoneticPr fontId="1" type="noConversion"/>
  </si>
  <si>
    <t>RH（平均）</t>
    <phoneticPr fontId="1" type="noConversion"/>
  </si>
  <si>
    <t>KH</t>
    <phoneticPr fontId="1" type="noConversion"/>
  </si>
  <si>
    <t>K/KGS/A</t>
    <phoneticPr fontId="1" type="noConversion"/>
  </si>
  <si>
    <t>+B, +Is</t>
  </si>
  <si>
    <t>-B, +Is</t>
  </si>
  <si>
    <t>-B, -Is</t>
  </si>
  <si>
    <t>+B, -Is</t>
  </si>
  <si>
    <t>IM</t>
    <phoneticPr fontId="1" type="noConversion"/>
  </si>
  <si>
    <t>IM/A</t>
    <phoneticPr fontId="1" type="noConversion"/>
  </si>
  <si>
    <t>V1/mV</t>
    <phoneticPr fontId="1" type="noConversion"/>
  </si>
  <si>
    <t>K/KGS/A</t>
    <phoneticPr fontId="1" type="noConversion"/>
  </si>
  <si>
    <t>RH总平均</t>
    <phoneticPr fontId="1" type="noConversion"/>
  </si>
  <si>
    <t>X1/cm</t>
    <phoneticPr fontId="1" type="noConversion"/>
  </si>
  <si>
    <t>X2/cm</t>
    <phoneticPr fontId="1" type="noConversion"/>
  </si>
  <si>
    <t>X/cm</t>
    <phoneticPr fontId="1" type="noConversion"/>
  </si>
  <si>
    <t>V1/mV</t>
    <phoneticPr fontId="1" type="noConversion"/>
  </si>
  <si>
    <t>B/GS</t>
    <phoneticPr fontId="1" type="noConversion"/>
  </si>
  <si>
    <t>KH/mV/mA*KGS</t>
    <phoneticPr fontId="1" type="noConversion"/>
  </si>
  <si>
    <t>IM/A</t>
    <phoneticPr fontId="1" type="noConversion"/>
  </si>
  <si>
    <t>迈克尔逊干涉仪数据记录表</t>
    <rPh sb="0" eb="1">
      <t>mai'ke'er'xun'gan'she'yi</t>
    </rPh>
    <rPh sb="7" eb="8">
      <t>shu'ju'ji'lu</t>
    </rPh>
    <rPh sb="11" eb="12">
      <t>biao</t>
    </rPh>
    <phoneticPr fontId="1" type="noConversion"/>
  </si>
  <si>
    <t>条纹变化数K</t>
    <phoneticPr fontId="1" type="noConversion"/>
  </si>
  <si>
    <t>读数位置d/mm</t>
    <rPh sb="2" eb="3">
      <t>wei'zhi</t>
    </rPh>
    <phoneticPr fontId="1" type="noConversion"/>
  </si>
  <si>
    <t>钠光灯波长/nm</t>
    <rPh sb="3" eb="4">
      <t>bo'chang</t>
    </rPh>
    <phoneticPr fontId="1" type="noConversion"/>
  </si>
  <si>
    <t>平均值/nm</t>
    <rPh sb="0" eb="1">
      <t>ping'jun'zhi</t>
    </rPh>
    <phoneticPr fontId="1" type="noConversion"/>
  </si>
  <si>
    <t>结果</t>
    <rPh sb="0" eb="1">
      <t>jie'guo</t>
    </rPh>
    <phoneticPr fontId="1" type="noConversion"/>
  </si>
  <si>
    <t>相比较法数据记录</t>
    <rPh sb="1" eb="2">
      <t>bi'jiao</t>
    </rPh>
    <rPh sb="4" eb="5">
      <t>shu'ju'ji'l</t>
    </rPh>
    <phoneticPr fontId="1" type="noConversion"/>
  </si>
  <si>
    <t>压电陶瓷谐振频率f0/Hz</t>
    <rPh sb="0" eb="1">
      <t>ya'dian'tao'ci</t>
    </rPh>
    <rPh sb="4" eb="5">
      <t>xie'zhen'pin'lv</t>
    </rPh>
    <phoneticPr fontId="1" type="noConversion"/>
  </si>
  <si>
    <t>室温</t>
    <rPh sb="0" eb="1">
      <t>shi'wen</t>
    </rPh>
    <phoneticPr fontId="1" type="noConversion"/>
  </si>
  <si>
    <t>李萨如图形</t>
    <rPh sb="0" eb="1">
      <t>lisa'ru'tu</t>
    </rPh>
    <rPh sb="4" eb="5">
      <t>xing</t>
    </rPh>
    <phoneticPr fontId="1" type="noConversion"/>
  </si>
  <si>
    <t>/</t>
    <phoneticPr fontId="1" type="noConversion"/>
  </si>
  <si>
    <t>\</t>
    <phoneticPr fontId="1" type="noConversion"/>
  </si>
  <si>
    <t>/</t>
    <phoneticPr fontId="1" type="noConversion"/>
  </si>
  <si>
    <t>接收头位置</t>
    <rPh sb="0" eb="1">
      <t>jie'shou'tou</t>
    </rPh>
    <rPh sb="3" eb="4">
      <t>wei'zhi</t>
    </rPh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</si>
  <si>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</si>
  <si>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</si>
  <si>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</si>
  <si>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</si>
  <si>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</si>
  <si>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</si>
  <si>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卡尺读数/mm</t>
    <rPh sb="0" eb="1">
      <t>ka'chi</t>
    </rPh>
    <rPh sb="2" eb="3">
      <t>du'shu</t>
    </rPh>
    <phoneticPr fontId="1" type="noConversion"/>
  </si>
  <si>
    <t>\</t>
    <phoneticPr fontId="1" type="noConversion"/>
  </si>
  <si>
    <t>L7</t>
  </si>
  <si>
    <t>L8</t>
  </si>
  <si>
    <t>L9</t>
  </si>
  <si>
    <t>L10</t>
  </si>
  <si>
    <t>L11</t>
  </si>
  <si>
    <t>L12</t>
  </si>
  <si>
    <t>干涉共振法数据记录</t>
    <rPh sb="0" eb="1">
      <t>gan'she</t>
    </rPh>
    <rPh sb="2" eb="3">
      <t>gong'zhen'fa</t>
    </rPh>
    <rPh sb="5" eb="6">
      <t>shu'ju'ji'lu</t>
    </rPh>
    <phoneticPr fontId="1" type="noConversion"/>
  </si>
  <si>
    <t>请自行按照对应行使用转置</t>
    <phoneticPr fontId="1" type="noConversion"/>
  </si>
  <si>
    <t>第三种</t>
    <phoneticPr fontId="3" type="noConversion"/>
  </si>
  <si>
    <t>第二种</t>
    <phoneticPr fontId="3" type="noConversion"/>
  </si>
  <si>
    <t>第一种</t>
    <phoneticPr fontId="3" type="noConversion"/>
  </si>
  <si>
    <t>Q</t>
    <phoneticPr fontId="3" type="noConversion"/>
  </si>
  <si>
    <t>UR/V</t>
    <phoneticPr fontId="3" type="noConversion"/>
  </si>
  <si>
    <t>UC/V</t>
    <phoneticPr fontId="3" type="noConversion"/>
  </si>
  <si>
    <t>UL/V</t>
    <phoneticPr fontId="3" type="noConversion"/>
  </si>
  <si>
    <t>U/V</t>
    <phoneticPr fontId="3" type="noConversion"/>
  </si>
  <si>
    <t>f0（理论）</t>
    <phoneticPr fontId="3" type="noConversion"/>
  </si>
  <si>
    <t>f0</t>
    <phoneticPr fontId="3" type="noConversion"/>
  </si>
  <si>
    <t>f2</t>
    <phoneticPr fontId="3" type="noConversion"/>
  </si>
  <si>
    <t>f1</t>
    <phoneticPr fontId="3" type="noConversion"/>
  </si>
  <si>
    <t>C/F</t>
    <phoneticPr fontId="3" type="noConversion"/>
  </si>
  <si>
    <t>L/H</t>
    <phoneticPr fontId="3" type="noConversion"/>
  </si>
  <si>
    <t>i/√2/mA</t>
    <phoneticPr fontId="3" type="noConversion"/>
  </si>
  <si>
    <t>R</t>
    <phoneticPr fontId="3" type="noConversion"/>
  </si>
  <si>
    <t>i/mA</t>
    <phoneticPr fontId="3" type="noConversion"/>
  </si>
  <si>
    <t>u/mV</t>
    <phoneticPr fontId="3" type="noConversion"/>
  </si>
  <si>
    <t>f/Hz</t>
    <phoneticPr fontId="3" type="noConversion"/>
  </si>
  <si>
    <t>u/mV</t>
    <phoneticPr fontId="3" type="noConversion"/>
  </si>
  <si>
    <t>辅助数据</t>
    <phoneticPr fontId="3" type="noConversion"/>
  </si>
  <si>
    <t>R1 = 100Ω</t>
    <phoneticPr fontId="3" type="noConversion"/>
  </si>
  <si>
    <t>通频带基准线</t>
    <phoneticPr fontId="1" type="noConversion"/>
  </si>
  <si>
    <t>只是移了过来</t>
    <phoneticPr fontId="1" type="noConversion"/>
  </si>
  <si>
    <t>自行记录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</si>
</sst>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"/>
    <numFmt numFmtId="177" formatCode="0.000_ "/>
    <numFmt numFmtId="178" formatCode="0.0_ "/>
    <numFmt numFmtId="179" formatCode="0.000000_ "/>
    <numFmt numFmtId="180" formatCode="0.000_);[Red]\(0.000\)"/>
    <numFmt numFmtId="181" formatCode="0.00_);[Red]\(0.00\)"/>
    <numFmt numFmtId="182" formatCode="0_ "/>
    <numFmt numFmtId="183" formatCode="0.0000_ 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</font>
    <font>
      <sz val="12"/>
      <color theme="1"/>
      <name val="DengXian Regular"/>
    </font>
    <font>
      <sz val="12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7" fillId="0" borderId="0"/>
    <xf numFmtId="0" fontId="15" fillId="0" borderId="0" applyNumberFormat="0" applyFill="0" applyBorder="0" applyAlignment="0" applyProtection="0"/>
  </cellStyleXfs>
  <cellXfs count="16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Border="1">
      <alignment vertical="center"/>
    </xf>
    <xf numFmtId="176" fontId="0" fillId="3" borderId="0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>
      <alignment vertical="center"/>
    </xf>
    <xf numFmtId="176" fontId="4" fillId="4" borderId="0" xfId="0" applyNumberFormat="1" applyFont="1" applyFill="1" applyBorder="1" applyAlignment="1">
      <alignment horizontal="center" vertical="center" wrapText="1"/>
    </xf>
    <xf numFmtId="176" fontId="5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3" borderId="0" xfId="1" applyFill="1" applyAlignment="1">
      <alignment horizontal="center" vertical="center"/>
    </xf>
    <xf numFmtId="0" fontId="6" fillId="0" borderId="0" xfId="1" applyAlignment="1">
      <alignment vertical="center"/>
    </xf>
    <xf numFmtId="177" fontId="6" fillId="0" borderId="0" xfId="1" applyNumberFormat="1" applyAlignment="1">
      <alignment horizontal="center" vertical="center"/>
    </xf>
    <xf numFmtId="0" fontId="6" fillId="2" borderId="0" xfId="1" applyFill="1" applyAlignment="1">
      <alignment horizontal="center" vertical="center"/>
    </xf>
    <xf numFmtId="0" fontId="6" fillId="0" borderId="0" xfId="1" applyAlignment="1">
      <alignment horizontal="center"/>
    </xf>
    <xf numFmtId="0" fontId="6" fillId="0" borderId="0" xfId="1"/>
    <xf numFmtId="177" fontId="6" fillId="0" borderId="0" xfId="1" applyNumberFormat="1"/>
    <xf numFmtId="0" fontId="6" fillId="0" borderId="0" xfId="1" applyAlignment="1">
      <alignment horizontal="center" vertical="center" wrapText="1"/>
    </xf>
    <xf numFmtId="0" fontId="6" fillId="7" borderId="0" xfId="1" applyFill="1"/>
    <xf numFmtId="177" fontId="6" fillId="7" borderId="0" xfId="1" applyNumberFormat="1" applyFill="1"/>
    <xf numFmtId="0" fontId="6" fillId="0" borderId="0" xfId="1" applyFill="1"/>
    <xf numFmtId="177" fontId="6" fillId="0" borderId="0" xfId="1" applyNumberFormat="1" applyFill="1"/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1" applyBorder="1" applyAlignment="1">
      <alignment horizontal="center" vertical="center"/>
    </xf>
    <xf numFmtId="176" fontId="6" fillId="3" borderId="0" xfId="1" applyNumberFormat="1" applyFill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176" fontId="6" fillId="2" borderId="0" xfId="1" applyNumberFormat="1" applyFill="1" applyBorder="1" applyAlignment="1">
      <alignment horizontal="center" vertical="center"/>
    </xf>
    <xf numFmtId="0" fontId="6" fillId="5" borderId="0" xfId="1" applyFill="1" applyBorder="1" applyAlignment="1">
      <alignment horizontal="center" vertical="center"/>
    </xf>
    <xf numFmtId="0" fontId="6" fillId="3" borderId="0" xfId="1" applyFill="1" applyBorder="1" applyAlignment="1">
      <alignment horizontal="center" vertical="center"/>
    </xf>
    <xf numFmtId="0" fontId="6" fillId="3" borderId="0" xfId="1" applyFill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0" fontId="6" fillId="0" borderId="0" xfId="1" applyBorder="1" applyAlignment="1">
      <alignment vertical="center"/>
    </xf>
    <xf numFmtId="176" fontId="6" fillId="2" borderId="0" xfId="1" applyNumberFormat="1" applyFill="1" applyBorder="1" applyAlignment="1">
      <alignment horizontal="center" vertical="center"/>
    </xf>
    <xf numFmtId="177" fontId="6" fillId="0" borderId="0" xfId="1" applyNumberFormat="1" applyBorder="1" applyAlignment="1">
      <alignment horizontal="center" vertical="center"/>
    </xf>
    <xf numFmtId="177" fontId="6" fillId="0" borderId="0" xfId="1" applyNumberFormat="1" applyBorder="1" applyAlignment="1">
      <alignment horizontal="center" vertical="center"/>
    </xf>
    <xf numFmtId="0" fontId="6" fillId="0" borderId="0" xfId="1" applyNumberFormat="1" applyBorder="1" applyAlignment="1">
      <alignment horizontal="center" vertical="center"/>
    </xf>
    <xf numFmtId="176" fontId="6" fillId="7" borderId="0" xfId="1" applyNumberFormat="1" applyFill="1" applyBorder="1" applyAlignment="1">
      <alignment horizontal="center" vertical="center"/>
    </xf>
    <xf numFmtId="11" fontId="6" fillId="3" borderId="0" xfId="1" applyNumberForma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0" fontId="8" fillId="0" borderId="0" xfId="1" applyFont="1" applyBorder="1"/>
    <xf numFmtId="0" fontId="9" fillId="3" borderId="0" xfId="1" applyFont="1" applyFill="1" applyBorder="1" applyAlignment="1">
      <alignment horizontal="center" vertical="center"/>
    </xf>
    <xf numFmtId="176" fontId="6" fillId="0" borderId="0" xfId="1" applyNumberFormat="1" applyAlignment="1">
      <alignment vertical="center"/>
    </xf>
    <xf numFmtId="178" fontId="6" fillId="0" borderId="0" xfId="1" applyNumberFormat="1" applyAlignment="1">
      <alignment vertical="center"/>
    </xf>
    <xf numFmtId="177" fontId="10" fillId="6" borderId="0" xfId="1" applyNumberFormat="1" applyFont="1" applyFill="1" applyAlignment="1">
      <alignment vertical="center"/>
    </xf>
    <xf numFmtId="179" fontId="6" fillId="0" borderId="0" xfId="1" applyNumberFormat="1"/>
    <xf numFmtId="0" fontId="6" fillId="9" borderId="0" xfId="1" applyFill="1" applyAlignment="1">
      <alignment vertical="center"/>
    </xf>
    <xf numFmtId="177" fontId="6" fillId="0" borderId="0" xfId="1" applyNumberFormat="1" applyAlignment="1">
      <alignment vertical="center"/>
    </xf>
    <xf numFmtId="176" fontId="6" fillId="3" borderId="0" xfId="1" applyNumberFormat="1" applyFill="1" applyAlignment="1">
      <alignment vertical="center"/>
    </xf>
    <xf numFmtId="176" fontId="6" fillId="7" borderId="0" xfId="1" applyNumberForma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2" borderId="0" xfId="1" applyFill="1" applyAlignment="1">
      <alignment vertical="center"/>
    </xf>
    <xf numFmtId="176" fontId="6" fillId="2" borderId="0" xfId="1" applyNumberFormat="1" applyFill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11" fontId="11" fillId="0" borderId="0" xfId="0" applyNumberFormat="1" applyFont="1" applyBorder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7" fontId="11" fillId="11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 vertical="center"/>
    </xf>
    <xf numFmtId="11" fontId="11" fillId="0" borderId="0" xfId="0" applyNumberFormat="1" applyFont="1" applyBorder="1" applyAlignment="1">
      <alignment horizontal="center" vertical="center"/>
    </xf>
    <xf numFmtId="10" fontId="11" fillId="11" borderId="0" xfId="0" applyNumberFormat="1" applyFont="1" applyFill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3" fillId="0" borderId="0" xfId="2" applyFont="1"/>
    <xf numFmtId="178" fontId="13" fillId="0" borderId="0" xfId="2" applyNumberFormat="1" applyFont="1" applyAlignment="1">
      <alignment vertical="center"/>
    </xf>
    <xf numFmtId="0" fontId="14" fillId="0" borderId="0" xfId="2" applyFont="1" applyAlignment="1">
      <alignment horizontal="center" vertical="center" readingOrder="1"/>
    </xf>
    <xf numFmtId="0" fontId="13" fillId="0" borderId="0" xfId="2" applyFont="1" applyAlignment="1">
      <alignment horizontal="center"/>
    </xf>
    <xf numFmtId="0" fontId="13" fillId="0" borderId="0" xfId="2" applyFont="1" applyAlignment="1"/>
    <xf numFmtId="176" fontId="13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7" fontId="13" fillId="0" borderId="0" xfId="2" applyNumberFormat="1" applyFont="1"/>
    <xf numFmtId="177" fontId="13" fillId="5" borderId="0" xfId="2" applyNumberFormat="1" applyFont="1" applyFill="1"/>
    <xf numFmtId="176" fontId="13" fillId="0" borderId="0" xfId="2" applyNumberFormat="1" applyFont="1" applyAlignment="1">
      <alignment vertical="center"/>
    </xf>
    <xf numFmtId="178" fontId="13" fillId="7" borderId="0" xfId="2" applyNumberFormat="1" applyFont="1" applyFill="1" applyAlignment="1">
      <alignment vertical="center"/>
    </xf>
    <xf numFmtId="0" fontId="13" fillId="7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76" fontId="8" fillId="0" borderId="0" xfId="2" applyNumberFormat="1" applyFont="1" applyAlignment="1">
      <alignment horizontal="center" vertical="center"/>
    </xf>
    <xf numFmtId="176" fontId="8" fillId="5" borderId="0" xfId="2" applyNumberFormat="1" applyFont="1" applyFill="1" applyAlignment="1">
      <alignment horizontal="center" vertical="center"/>
    </xf>
    <xf numFmtId="11" fontId="8" fillId="0" borderId="0" xfId="2" applyNumberFormat="1" applyFont="1" applyAlignment="1">
      <alignment horizontal="center" vertical="center"/>
    </xf>
    <xf numFmtId="11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11" fontId="2" fillId="3" borderId="0" xfId="2" applyNumberFormat="1" applyFont="1" applyFill="1" applyAlignment="1">
      <alignment horizontal="center" vertical="center"/>
    </xf>
    <xf numFmtId="0" fontId="7" fillId="0" borderId="0" xfId="2" applyAlignment="1">
      <alignment horizontal="center" vertical="center"/>
    </xf>
    <xf numFmtId="0" fontId="7" fillId="0" borderId="0" xfId="2" applyBorder="1" applyAlignment="1">
      <alignment horizontal="center" vertical="center"/>
    </xf>
    <xf numFmtId="0" fontId="7" fillId="0" borderId="0" xfId="2" applyBorder="1" applyAlignment="1">
      <alignment horizontal="center" vertical="center"/>
    </xf>
    <xf numFmtId="177" fontId="7" fillId="7" borderId="0" xfId="2" applyNumberFormat="1" applyFill="1" applyBorder="1" applyAlignment="1">
      <alignment horizontal="center" vertical="center"/>
    </xf>
    <xf numFmtId="10" fontId="7" fillId="3" borderId="0" xfId="2" applyNumberFormat="1" applyFill="1" applyAlignment="1">
      <alignment horizontal="center" vertical="center"/>
    </xf>
    <xf numFmtId="177" fontId="7" fillId="3" borderId="0" xfId="2" applyNumberFormat="1" applyFill="1" applyBorder="1" applyAlignment="1">
      <alignment horizontal="center" vertical="center"/>
    </xf>
    <xf numFmtId="0" fontId="7" fillId="3" borderId="0" xfId="2" applyFill="1" applyBorder="1" applyAlignment="1">
      <alignment horizontal="center" vertical="center"/>
    </xf>
    <xf numFmtId="0" fontId="10" fillId="0" borderId="0" xfId="3" applyNumberFormat="1" applyFont="1"/>
    <xf numFmtId="11" fontId="6" fillId="0" borderId="0" xfId="1" applyNumberFormat="1"/>
    <xf numFmtId="0" fontId="6" fillId="3" borderId="0" xfId="1" applyFill="1"/>
    <xf numFmtId="176" fontId="6" fillId="0" borderId="0" xfId="1" applyNumberFormat="1"/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5" borderId="0" xfId="2" applyFont="1" applyFill="1" applyBorder="1" applyAlignment="1">
      <alignment horizontal="center" vertical="center"/>
    </xf>
    <xf numFmtId="49" fontId="13" fillId="0" borderId="0" xfId="2" applyNumberFormat="1" applyFont="1" applyBorder="1" applyAlignment="1">
      <alignment horizontal="center" vertical="center"/>
    </xf>
    <xf numFmtId="176" fontId="13" fillId="0" borderId="0" xfId="2" applyNumberFormat="1" applyFont="1" applyBorder="1" applyAlignment="1">
      <alignment horizontal="center" vertical="center"/>
    </xf>
    <xf numFmtId="11" fontId="13" fillId="0" borderId="0" xfId="2" applyNumberFormat="1" applyFont="1" applyBorder="1" applyAlignment="1">
      <alignment horizontal="center" vertical="center"/>
    </xf>
    <xf numFmtId="11" fontId="13" fillId="0" borderId="0" xfId="2" applyNumberFormat="1" applyFont="1" applyBorder="1" applyAlignment="1">
      <alignment horizontal="center" vertical="center"/>
    </xf>
    <xf numFmtId="177" fontId="13" fillId="0" borderId="0" xfId="2" applyNumberFormat="1" applyFont="1" applyBorder="1" applyAlignment="1">
      <alignment horizontal="center" vertical="center"/>
    </xf>
    <xf numFmtId="11" fontId="13" fillId="0" borderId="0" xfId="2" applyNumberFormat="1" applyFont="1" applyBorder="1" applyAlignment="1">
      <alignment vertical="center"/>
    </xf>
    <xf numFmtId="177" fontId="13" fillId="0" borderId="0" xfId="2" applyNumberFormat="1" applyFont="1" applyBorder="1" applyAlignment="1">
      <alignment vertical="center"/>
    </xf>
    <xf numFmtId="0" fontId="13" fillId="3" borderId="0" xfId="2" applyFont="1" applyFill="1" applyBorder="1" applyAlignment="1">
      <alignment horizontal="center" vertical="center"/>
    </xf>
    <xf numFmtId="11" fontId="13" fillId="3" borderId="0" xfId="2" applyNumberFormat="1" applyFont="1" applyFill="1" applyBorder="1" applyAlignment="1">
      <alignment horizontal="center" vertical="center"/>
    </xf>
    <xf numFmtId="176" fontId="13" fillId="3" borderId="0" xfId="2" applyNumberFormat="1" applyFont="1" applyFill="1" applyBorder="1" applyAlignment="1">
      <alignment horizontal="center" vertical="center"/>
    </xf>
    <xf numFmtId="178" fontId="13" fillId="0" borderId="0" xfId="2" applyNumberFormat="1" applyFont="1" applyBorder="1" applyAlignment="1">
      <alignment horizontal="center" vertical="center"/>
    </xf>
    <xf numFmtId="177" fontId="13" fillId="0" borderId="0" xfId="2" applyNumberFormat="1" applyFont="1" applyBorder="1" applyAlignment="1">
      <alignment horizontal="center" vertical="center"/>
    </xf>
    <xf numFmtId="0" fontId="7" fillId="0" borderId="0" xfId="2"/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/>
    <xf numFmtId="0" fontId="12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right" vertical="center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 vertical="center"/>
    </xf>
    <xf numFmtId="0" fontId="8" fillId="0" borderId="0" xfId="2" applyFont="1" applyBorder="1" applyAlignment="1">
      <alignment horizontal="left"/>
    </xf>
    <xf numFmtId="0" fontId="8" fillId="7" borderId="0" xfId="2" applyFont="1" applyFill="1" applyBorder="1" applyAlignment="1">
      <alignment horizontal="right" vertical="center"/>
    </xf>
    <xf numFmtId="0" fontId="8" fillId="3" borderId="0" xfId="2" applyFont="1" applyFill="1" applyBorder="1" applyAlignment="1">
      <alignment horizontal="center"/>
    </xf>
    <xf numFmtId="176" fontId="13" fillId="7" borderId="0" xfId="2" applyNumberFormat="1" applyFont="1" applyFill="1" applyBorder="1" applyAlignment="1">
      <alignment horizontal="center" vertical="center"/>
    </xf>
    <xf numFmtId="177" fontId="12" fillId="3" borderId="0" xfId="2" applyNumberFormat="1" applyFont="1" applyFill="1" applyBorder="1"/>
    <xf numFmtId="177" fontId="12" fillId="0" borderId="0" xfId="2" applyNumberFormat="1" applyFont="1" applyBorder="1"/>
    <xf numFmtId="11" fontId="12" fillId="0" borderId="0" xfId="2" applyNumberFormat="1" applyFont="1" applyBorder="1"/>
    <xf numFmtId="181" fontId="12" fillId="0" borderId="0" xfId="2" applyNumberFormat="1" applyFont="1" applyBorder="1"/>
    <xf numFmtId="181" fontId="12" fillId="12" borderId="0" xfId="2" applyNumberFormat="1" applyFont="1" applyFill="1" applyBorder="1"/>
    <xf numFmtId="176" fontId="12" fillId="0" borderId="0" xfId="2" applyNumberFormat="1" applyFont="1" applyBorder="1"/>
    <xf numFmtId="11" fontId="12" fillId="0" borderId="0" xfId="2" applyNumberFormat="1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11" fontId="12" fillId="5" borderId="0" xfId="2" applyNumberFormat="1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0" fontId="16" fillId="5" borderId="0" xfId="2" applyFont="1" applyFill="1" applyBorder="1" applyAlignment="1">
      <alignment horizontal="center" vertical="center" wrapText="1"/>
    </xf>
    <xf numFmtId="0" fontId="12" fillId="5" borderId="0" xfId="2" applyFont="1" applyFill="1" applyBorder="1" applyAlignment="1">
      <alignment horizontal="center" vertical="center" wrapText="1"/>
    </xf>
    <xf numFmtId="177" fontId="12" fillId="7" borderId="0" xfId="2" applyNumberFormat="1" applyFont="1" applyFill="1" applyBorder="1" applyAlignment="1">
      <alignment vertical="center"/>
    </xf>
    <xf numFmtId="0" fontId="6" fillId="0" borderId="0" xfId="1" applyAlignment="1">
      <alignment horizontal="right" vertical="center"/>
    </xf>
    <xf numFmtId="176" fontId="6" fillId="5" borderId="0" xfId="1" applyNumberFormat="1" applyFill="1" applyAlignment="1">
      <alignment horizontal="center" vertical="center"/>
    </xf>
    <xf numFmtId="182" fontId="6" fillId="0" borderId="0" xfId="1" applyNumberFormat="1" applyAlignment="1">
      <alignment horizontal="center" vertical="center"/>
    </xf>
    <xf numFmtId="182" fontId="6" fillId="5" borderId="0" xfId="1" applyNumberFormat="1" applyFill="1" applyAlignment="1">
      <alignment horizontal="center" vertical="center"/>
    </xf>
    <xf numFmtId="176" fontId="6" fillId="5" borderId="0" xfId="1" applyNumberFormat="1" applyFill="1" applyAlignment="1">
      <alignment horizontal="right" vertical="center"/>
    </xf>
    <xf numFmtId="0" fontId="6" fillId="5" borderId="0" xfId="1" applyFill="1" applyAlignment="1">
      <alignment horizontal="right" vertical="center"/>
    </xf>
    <xf numFmtId="0" fontId="6" fillId="10" borderId="0" xfId="1" applyFill="1" applyAlignment="1">
      <alignment horizontal="right" vertical="center"/>
    </xf>
    <xf numFmtId="0" fontId="6" fillId="7" borderId="0" xfId="1" applyFill="1" applyAlignment="1">
      <alignment horizontal="right" vertical="center"/>
    </xf>
    <xf numFmtId="0" fontId="6" fillId="9" borderId="0" xfId="1" applyFill="1" applyAlignment="1">
      <alignment horizontal="right" vertical="center"/>
    </xf>
    <xf numFmtId="182" fontId="6" fillId="9" borderId="0" xfId="1" applyNumberFormat="1" applyFill="1" applyAlignment="1">
      <alignment horizontal="right" vertical="center"/>
    </xf>
    <xf numFmtId="0" fontId="6" fillId="2" borderId="0" xfId="1" applyFill="1" applyAlignment="1">
      <alignment horizontal="right" vertical="center"/>
    </xf>
    <xf numFmtId="0" fontId="6" fillId="8" borderId="0" xfId="1" applyFill="1" applyAlignment="1">
      <alignment horizontal="right" vertical="center"/>
    </xf>
    <xf numFmtId="11" fontId="6" fillId="9" borderId="0" xfId="1" applyNumberFormat="1" applyFill="1" applyAlignment="1">
      <alignment horizontal="right" vertical="center"/>
    </xf>
    <xf numFmtId="0" fontId="6" fillId="3" borderId="0" xfId="1" applyFill="1" applyAlignment="1">
      <alignment horizontal="right" vertical="center"/>
    </xf>
    <xf numFmtId="0" fontId="6" fillId="6" borderId="0" xfId="1" applyFill="1" applyAlignment="1">
      <alignment horizontal="center" vertical="center"/>
    </xf>
    <xf numFmtId="183" fontId="6" fillId="6" borderId="0" xfId="1" applyNumberFormat="1" applyFill="1" applyAlignment="1">
      <alignment horizontal="right" vertical="center"/>
    </xf>
    <xf numFmtId="0" fontId="6" fillId="6" borderId="0" xfId="1" applyFill="1" applyAlignment="1">
      <alignment horizontal="center" vertical="center" wrapText="1"/>
    </xf>
    <xf numFmtId="0" fontId="6" fillId="0" borderId="0" xfId="1" applyFill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结的反向特性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PN结!$F$18:$F$69</c:f>
              <c:strCache>
                <c:ptCount val="52"/>
                <c:pt idx="0">
                  <c:v>辅助数据</c:v>
                </c:pt>
                <c:pt idx="41">
                  <c:v>辅助数据已隐藏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PN结!$F$18:$F$69</c:f>
              <c:numCache>
                <c:formatCode>0.000_ </c:formatCode>
                <c:ptCount val="11"/>
              </c:numCache>
            </c:numRef>
          </c:cat>
          <c:val>
            <c:numRef>
              <c:f>PN结!$C$18:$C$69</c:f>
              <c:numCache>
                <c:formatCode>0.000_ 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A-4BBA-8F1B-290C4BEF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994127"/>
        <c:axId val="1190990799"/>
      </c:lineChart>
      <c:catAx>
        <c:axId val="11909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90990799"/>
        <c:crosses val="autoZero"/>
        <c:auto val="1"/>
        <c:lblAlgn val="ctr"/>
        <c:lblOffset val="100"/>
        <c:tickMarkSkip val="1"/>
        <c:noMultiLvlLbl val="0"/>
      </c:catAx>
      <c:valAx>
        <c:axId val="119099079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909941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0000603398293"/>
          <c:y val="0.11707054236587482"/>
          <c:w val="0.86378244861347964"/>
          <c:h val="0.69226915310648918"/>
        </c:manualLayout>
      </c:layout>
      <c:lineChart>
        <c:grouping val="standard"/>
        <c:varyColors val="0"/>
        <c:ser>
          <c:idx val="0"/>
          <c:order val="0"/>
          <c:tx>
            <c:strRef>
              <c:f>弗兰克赫兹实验!$O$48</c:f>
              <c:strCache>
                <c:ptCount val="1"/>
                <c:pt idx="0">
                  <c:v>峰值位置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6.525627638806919E-2"/>
                  <c:y val="-4.9650656745581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B-4684-B753-40183B851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5400" cap="flat" cmpd="sng">
                <a:solidFill>
                  <a:schemeClr val="tx1"/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5843318823856"/>
                  <c:y val="0.4729317888575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弗兰克赫兹实验!$P$47:$U$47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弗兰克赫兹实验!$P$48:$U$48</c:f>
              <c:numCache>
                <c:formatCode>General</c:formatCode>
                <c:ptCount val="6"/>
                <c:pt idx="0">
                  <c:v>29.5</c:v>
                </c:pt>
                <c:pt idx="1">
                  <c:v>39.9</c:v>
                </c:pt>
                <c:pt idx="2">
                  <c:v>51.6</c:v>
                </c:pt>
                <c:pt idx="3">
                  <c:v>63.4</c:v>
                </c:pt>
                <c:pt idx="4">
                  <c:v>75.099999999999994</c:v>
                </c:pt>
                <c:pt idx="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B-4684-B753-40183B8513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9160047"/>
        <c:axId val="1373101535"/>
      </c:lineChart>
      <c:catAx>
        <c:axId val="13691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峰值序号</a:t>
                </a:r>
                <a:r>
                  <a:rPr lang="en-US"/>
                  <a:t>/n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003861749073731"/>
              <c:y val="0.8825029988146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373101535"/>
        <c:crosses val="autoZero"/>
        <c:auto val="1"/>
        <c:lblAlgn val="ctr"/>
        <c:lblOffset val="100"/>
        <c:noMultiLvlLbl val="0"/>
      </c:catAx>
      <c:valAx>
        <c:axId val="137310153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峰值位置</a:t>
                </a:r>
                <a:r>
                  <a:rPr lang="en-US"/>
                  <a:t>/V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350795069921691E-2"/>
              <c:y val="2.29559363083953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3691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/>
              <a:t>螺线管轴线上磁场分布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B/KGS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霍尔效应!$E$27:$E$45</c15:sqref>
                  </c15:fullRef>
                </c:ext>
              </c:extLst>
              <c:f>霍尔效应!$E$29:$E$45</c:f>
              <c:strCache>
                <c:ptCount val="17"/>
                <c:pt idx="0">
                  <c:v>14.0 </c:v>
                </c:pt>
                <c:pt idx="1">
                  <c:v>13.5 </c:v>
                </c:pt>
                <c:pt idx="2">
                  <c:v>13.0 </c:v>
                </c:pt>
                <c:pt idx="3">
                  <c:v>12.5 </c:v>
                </c:pt>
                <c:pt idx="4">
                  <c:v>12.0 </c:v>
                </c:pt>
                <c:pt idx="5">
                  <c:v>9.0 </c:v>
                </c:pt>
                <c:pt idx="6">
                  <c:v>6.0 </c:v>
                </c:pt>
                <c:pt idx="7">
                  <c:v>3.0 </c:v>
                </c:pt>
                <c:pt idx="8">
                  <c:v>0.0 </c:v>
                </c:pt>
                <c:pt idx="9">
                  <c:v>-3.0 </c:v>
                </c:pt>
                <c:pt idx="10">
                  <c:v>-6.0 </c:v>
                </c:pt>
                <c:pt idx="11">
                  <c:v>-9.0 </c:v>
                </c:pt>
                <c:pt idx="12">
                  <c:v>-12.0 </c:v>
                </c:pt>
                <c:pt idx="13">
                  <c:v>-12.5 </c:v>
                </c:pt>
                <c:pt idx="14">
                  <c:v>-13.0 </c:v>
                </c:pt>
                <c:pt idx="15">
                  <c:v>-13.5 </c:v>
                </c:pt>
                <c:pt idx="16">
                  <c:v>-14.0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霍尔效应!$K$27:$K$45</c15:sqref>
                  </c15:fullRef>
                </c:ext>
              </c:extLst>
              <c:f>霍尔效应!$K$29:$K$45</c:f>
              <c:numCache>
                <c:formatCode>General</c:formatCode>
                <c:ptCount val="17"/>
                <c:pt idx="0" formatCode="0.000_ ">
                  <c:v>0</c:v>
                </c:pt>
                <c:pt idx="1" formatCode="0.000_ ">
                  <c:v>0</c:v>
                </c:pt>
                <c:pt idx="2" formatCode="0.000_ ">
                  <c:v>0</c:v>
                </c:pt>
                <c:pt idx="3" formatCode="0.000_ ">
                  <c:v>0</c:v>
                </c:pt>
                <c:pt idx="4" formatCode="0.000_ ">
                  <c:v>0</c:v>
                </c:pt>
                <c:pt idx="5" formatCode="0.000_ ">
                  <c:v>0</c:v>
                </c:pt>
                <c:pt idx="6" formatCode="0.000_ ">
                  <c:v>0</c:v>
                </c:pt>
                <c:pt idx="7" formatCode="0.000_ ">
                  <c:v>0</c:v>
                </c:pt>
                <c:pt idx="8" formatCode="0.000_ ">
                  <c:v>0</c:v>
                </c:pt>
                <c:pt idx="9" formatCode="0.000_ ">
                  <c:v>0</c:v>
                </c:pt>
                <c:pt idx="10" formatCode="0.000_ ">
                  <c:v>0</c:v>
                </c:pt>
                <c:pt idx="11" formatCode="0.000_ ">
                  <c:v>0</c:v>
                </c:pt>
                <c:pt idx="12" formatCode="0.000_ ">
                  <c:v>0</c:v>
                </c:pt>
                <c:pt idx="13" formatCode="0.000_ ">
                  <c:v>0</c:v>
                </c:pt>
                <c:pt idx="14" formatCode="0.000_ ">
                  <c:v>0</c:v>
                </c:pt>
                <c:pt idx="15" formatCode="0.000_ ">
                  <c:v>0</c:v>
                </c:pt>
                <c:pt idx="16" formatCode="0.000_ 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E0-46EE-A666-A422B3BF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366160"/>
        <c:axId val="-1242052400"/>
      </c:lineChart>
      <c:catAx>
        <c:axId val="-21383661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X/cm</a:t>
                </a:r>
              </a:p>
            </c:rich>
          </c:tx>
          <c:layout>
            <c:manualLayout>
              <c:xMode val="edge"/>
              <c:yMode val="edge"/>
              <c:x val="0.87114810658114028"/>
              <c:y val="0.84608952088195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1242052400"/>
        <c:crosses val="autoZero"/>
        <c:auto val="1"/>
        <c:lblAlgn val="ctr"/>
        <c:lblOffset val="100"/>
        <c:noMultiLvlLbl val="0"/>
      </c:catAx>
      <c:valAx>
        <c:axId val="-1242052400"/>
        <c:scaling>
          <c:orientation val="minMax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B/GS</a:t>
                </a:r>
              </a:p>
            </c:rich>
          </c:tx>
          <c:layout>
            <c:manualLayout>
              <c:xMode val="edge"/>
              <c:yMode val="edge"/>
              <c:x val="8.9387928605325403E-3"/>
              <c:y val="8.41621570737191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21383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VH-IS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7640036033498"/>
          <c:y val="0.19982071471835253"/>
          <c:w val="0.86008295806111434"/>
          <c:h val="0.6448713910761154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霍尔效应!$C$5:$C$13</c15:sqref>
                  </c15:fullRef>
                </c:ext>
              </c:extLst>
              <c:f>霍尔效应!$C$7:$C$13</c:f>
              <c:strCache>
                <c:ptCount val="7"/>
                <c:pt idx="0">
                  <c:v>1.00 </c:v>
                </c:pt>
                <c:pt idx="1">
                  <c:v>1.50 </c:v>
                </c:pt>
                <c:pt idx="2">
                  <c:v>2.00 </c:v>
                </c:pt>
                <c:pt idx="3">
                  <c:v>1.50 </c:v>
                </c:pt>
                <c:pt idx="4">
                  <c:v>3.00 </c:v>
                </c:pt>
                <c:pt idx="5">
                  <c:v>3.50 </c:v>
                </c:pt>
                <c:pt idx="6">
                  <c:v>4.00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霍尔效应!$H$5:$H$13</c15:sqref>
                  </c15:fullRef>
                </c:ext>
              </c:extLst>
              <c:f>霍尔效应!$H$7:$H$13</c:f>
              <c:numCache>
                <c:formatCode>General</c:formatCode>
                <c:ptCount val="7"/>
                <c:pt idx="0" formatCode="0.00_ ">
                  <c:v>0</c:v>
                </c:pt>
                <c:pt idx="1" formatCode="0.00_ ">
                  <c:v>0</c:v>
                </c:pt>
                <c:pt idx="2" formatCode="0.00_ ">
                  <c:v>0</c:v>
                </c:pt>
                <c:pt idx="3" formatCode="0.00_ ">
                  <c:v>0</c:v>
                </c:pt>
                <c:pt idx="4" formatCode="0.00_ ">
                  <c:v>0</c:v>
                </c:pt>
                <c:pt idx="5" formatCode="0.00_ ">
                  <c:v>0</c:v>
                </c:pt>
                <c:pt idx="6" formatCode="0.00_ 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6-402F-A610-6869FB10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251440"/>
        <c:axId val="1212687824"/>
      </c:lineChart>
      <c:catAx>
        <c:axId val="-21382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IS/mA</a:t>
                </a:r>
              </a:p>
            </c:rich>
          </c:tx>
          <c:layout>
            <c:manualLayout>
              <c:xMode val="edge"/>
              <c:yMode val="edge"/>
              <c:x val="0.85728976354973208"/>
              <c:y val="0.91512820512820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212687824"/>
        <c:crosses val="autoZero"/>
        <c:auto val="1"/>
        <c:lblAlgn val="ctr"/>
        <c:lblOffset val="100"/>
        <c:noMultiLvlLbl val="0"/>
      </c:catAx>
      <c:valAx>
        <c:axId val="1212687824"/>
        <c:scaling>
          <c:orientation val="minMax"/>
          <c:max val="11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VH/mA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7538020910292332E-2"/>
              <c:y val="0.1182818493842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21382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en-US"/>
              <a:t>VH-IM</a:t>
            </a:r>
            <a:r>
              <a:rPr lang="zh-CN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41110087676295"/>
          <c:y val="0.21863178850430895"/>
          <c:w val="0.86243586078770107"/>
          <c:h val="0.5889957771904665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霍尔效应!$C$18:$C$24</c15:sqref>
                  </c15:fullRef>
                </c:ext>
              </c:extLst>
              <c:f>霍尔效应!$C$20:$C$24</c:f>
              <c:strCache>
                <c:ptCount val="5"/>
                <c:pt idx="0">
                  <c:v>0.30 </c:v>
                </c:pt>
                <c:pt idx="1">
                  <c:v>0.40 </c:v>
                </c:pt>
                <c:pt idx="2">
                  <c:v>0.50 </c:v>
                </c:pt>
                <c:pt idx="3">
                  <c:v>0.60 </c:v>
                </c:pt>
                <c:pt idx="4">
                  <c:v>0.70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霍尔效应!$H$18:$H$24</c15:sqref>
                  </c15:fullRef>
                </c:ext>
              </c:extLst>
              <c:f>霍尔效应!$H$20:$H$24</c:f>
              <c:numCache>
                <c:formatCode>General</c:formatCode>
                <c:ptCount val="5"/>
                <c:pt idx="0" formatCode="0.00_ ">
                  <c:v>0</c:v>
                </c:pt>
                <c:pt idx="1" formatCode="0.00_ ">
                  <c:v>0</c:v>
                </c:pt>
                <c:pt idx="2" formatCode="0.00_ ">
                  <c:v>0</c:v>
                </c:pt>
                <c:pt idx="3" formatCode="0.00_ ">
                  <c:v>0</c:v>
                </c:pt>
                <c:pt idx="4" formatCode="0.00_ 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09-4FFA-9828-FABF759F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391456"/>
        <c:axId val="1212245280"/>
      </c:lineChart>
      <c:catAx>
        <c:axId val="-18843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IM/A</a:t>
                </a:r>
              </a:p>
            </c:rich>
          </c:tx>
          <c:layout>
            <c:manualLayout>
              <c:xMode val="edge"/>
              <c:yMode val="edge"/>
              <c:x val="0.83398606072574266"/>
              <c:y val="0.89591644863397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1212245280"/>
        <c:crosses val="autoZero"/>
        <c:auto val="1"/>
        <c:lblAlgn val="ctr"/>
        <c:lblOffset val="100"/>
        <c:noMultiLvlLbl val="0"/>
      </c:catAx>
      <c:valAx>
        <c:axId val="121224528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en-US"/>
                  <a:t>VH/mV</a:t>
                </a:r>
              </a:p>
            </c:rich>
          </c:tx>
          <c:layout>
            <c:manualLayout>
              <c:xMode val="edge"/>
              <c:yMode val="edge"/>
              <c:x val="1.461501742524361E-2"/>
              <c:y val="8.7957968067819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zh-CN"/>
          </a:p>
        </c:txPr>
        <c:crossAx val="-18843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en-US" sz="2000"/>
              <a:t>RLC</a:t>
            </a:r>
            <a:r>
              <a:rPr lang="zh-CN" sz="2000"/>
              <a:t>谐振</a:t>
            </a:r>
            <a:r>
              <a:rPr lang="en-US" sz="2000"/>
              <a:t>i-f</a:t>
            </a:r>
            <a:r>
              <a:rPr lang="zh-CN" sz="2000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RLC谐振电路!$D$3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4.4007880636507901E-2"/>
                  <c:y val="-4.5966640710637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3B-48C5-8211-B3D2809BED84}"/>
                </c:ext>
              </c:extLst>
            </c:dLbl>
            <c:dLbl>
              <c:idx val="6"/>
              <c:layout>
                <c:manualLayout>
                  <c:x val="-5.5360472914791875E-2"/>
                  <c:y val="-5.118937490245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3B-48C5-8211-B3D2809BED84}"/>
                </c:ext>
              </c:extLst>
            </c:dLbl>
            <c:dLbl>
              <c:idx val="7"/>
              <c:layout>
                <c:manualLayout>
                  <c:x val="-5.9764366068506013E-2"/>
                  <c:y val="-4.8578007806548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3B-48C5-8211-B3D2809BED84}"/>
                </c:ext>
              </c:extLst>
            </c:dLbl>
            <c:dLbl>
              <c:idx val="8"/>
              <c:layout>
                <c:manualLayout>
                  <c:x val="-5.5360472914791813E-2"/>
                  <c:y val="-6.4246210382014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3B-48C5-8211-B3D2809BED84}"/>
                </c:ext>
              </c:extLst>
            </c:dLbl>
            <c:dLbl>
              <c:idx val="9"/>
              <c:layout>
                <c:manualLayout>
                  <c:x val="-8.0610873806540848E-2"/>
                  <c:y val="-3.2909805231082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3B-48C5-8211-B3D2809BED84}"/>
                </c:ext>
              </c:extLst>
            </c:dLbl>
            <c:dLbl>
              <c:idx val="10"/>
              <c:layout>
                <c:manualLayout>
                  <c:x val="-8.4085291762880071E-2"/>
                  <c:y val="3.46036983126661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3B-48C5-8211-B3D2809BED84}"/>
                </c:ext>
              </c:extLst>
            </c:dLbl>
            <c:dLbl>
              <c:idx val="11"/>
              <c:layout>
                <c:manualLayout>
                  <c:x val="-6.9926081074038341E-4"/>
                  <c:y val="-3.2909805231082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3B-48C5-8211-B3D2809BED84}"/>
                </c:ext>
              </c:extLst>
            </c:dLbl>
            <c:dLbl>
              <c:idx val="12"/>
              <c:layout>
                <c:manualLayout>
                  <c:x val="-1.459693263609705E-2"/>
                  <c:y val="-3.5521172326993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3B-48C5-8211-B3D2809BED84}"/>
                </c:ext>
              </c:extLst>
            </c:dLbl>
            <c:dLbl>
              <c:idx val="13"/>
              <c:layout>
                <c:manualLayout>
                  <c:x val="2.3021438663447066E-4"/>
                  <c:y val="-4.0743906518815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3B-48C5-8211-B3D2809BED84}"/>
                </c:ext>
              </c:extLst>
            </c:dLbl>
            <c:dLbl>
              <c:idx val="14"/>
              <c:layout>
                <c:manualLayout>
                  <c:x val="1.3776067196884734E-2"/>
                  <c:y val="-4.5966640710637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3B-48C5-8211-B3D2809BED84}"/>
                </c:ext>
              </c:extLst>
            </c:dLbl>
            <c:dLbl>
              <c:idx val="15"/>
              <c:layout>
                <c:manualLayout>
                  <c:x val="-6.7186215260437035E-3"/>
                  <c:y val="-4.0743906518815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3B-48C5-8211-B3D2809BED84}"/>
                </c:ext>
              </c:extLst>
            </c:dLbl>
            <c:dLbl>
              <c:idx val="16"/>
              <c:layout>
                <c:manualLayout>
                  <c:x val="-1.0193039482382855E-2"/>
                  <c:y val="-4.3355273614726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3B-48C5-8211-B3D2809BE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RLC谐振电路!$B$4:$B$25</c:f>
              <c:numCache>
                <c:formatCode>General</c:formatCode>
                <c:ptCount val="22"/>
              </c:numCache>
            </c:numRef>
          </c:xVal>
          <c:yVal>
            <c:numRef>
              <c:f>RLC谐振电路!$D$4:$D$25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3B-48C5-8211-B3D2809BED84}"/>
            </c:ext>
          </c:extLst>
        </c:ser>
        <c:ser>
          <c:idx val="1"/>
          <c:order val="1"/>
          <c:tx>
            <c:strRef>
              <c:f>RLC谐振电路!$J$3</c:f>
              <c:strCache>
                <c:ptCount val="1"/>
                <c:pt idx="0">
                  <c:v>i/√2/mA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RLC谐振电路!$B$4:$B$25</c:f>
              <c:numCache>
                <c:formatCode>General</c:formatCode>
                <c:ptCount val="22"/>
              </c:numCache>
            </c:numRef>
          </c:xVal>
          <c:yVal>
            <c:numRef>
              <c:f>RLC谐振电路!$J$4:$J$25</c:f>
              <c:numCache>
                <c:formatCode>0.0000_ </c:formatCode>
                <c:ptCount val="22"/>
                <c:pt idx="0">
                  <c:v>15.365430355183676</c:v>
                </c:pt>
                <c:pt idx="1">
                  <c:v>15.365430355183676</c:v>
                </c:pt>
                <c:pt idx="2">
                  <c:v>15.365430355183676</c:v>
                </c:pt>
                <c:pt idx="3">
                  <c:v>15.365430355183676</c:v>
                </c:pt>
                <c:pt idx="4">
                  <c:v>15.365430355183676</c:v>
                </c:pt>
                <c:pt idx="5">
                  <c:v>15.365430355183676</c:v>
                </c:pt>
                <c:pt idx="6">
                  <c:v>15.365430355183676</c:v>
                </c:pt>
                <c:pt idx="7">
                  <c:v>15.365430355183676</c:v>
                </c:pt>
                <c:pt idx="8">
                  <c:v>15.365430355183676</c:v>
                </c:pt>
                <c:pt idx="9">
                  <c:v>15.365430355183676</c:v>
                </c:pt>
                <c:pt idx="10">
                  <c:v>15.365430355183676</c:v>
                </c:pt>
                <c:pt idx="11">
                  <c:v>15.365430355183676</c:v>
                </c:pt>
                <c:pt idx="12">
                  <c:v>15.365430355183676</c:v>
                </c:pt>
                <c:pt idx="13">
                  <c:v>15.365430355183676</c:v>
                </c:pt>
                <c:pt idx="14">
                  <c:v>15.365430355183676</c:v>
                </c:pt>
                <c:pt idx="15">
                  <c:v>15.365430355183676</c:v>
                </c:pt>
                <c:pt idx="16">
                  <c:v>15.365430355183676</c:v>
                </c:pt>
                <c:pt idx="17">
                  <c:v>15.365430355183676</c:v>
                </c:pt>
                <c:pt idx="18">
                  <c:v>15.365430355183676</c:v>
                </c:pt>
                <c:pt idx="19">
                  <c:v>15.365430355183676</c:v>
                </c:pt>
                <c:pt idx="20">
                  <c:v>15.365430355183676</c:v>
                </c:pt>
                <c:pt idx="21">
                  <c:v>15.365430355183676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3B-48C5-8211-B3D2809BE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62720"/>
        <c:axId val="1618030720"/>
      </c:scatterChart>
      <c:valAx>
        <c:axId val="1616362720"/>
        <c:scaling>
          <c:orientation val="minMax"/>
          <c:max val="32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/>
                  <a:t>f/Hz</a:t>
                </a:r>
              </a:p>
            </c:rich>
          </c:tx>
          <c:layout>
            <c:manualLayout>
              <c:xMode val="edge"/>
              <c:yMode val="edge"/>
              <c:x val="0.94498956785490396"/>
              <c:y val="0.9316212497838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18030720"/>
        <c:crosses val="autoZero"/>
        <c:crossBetween val="midCat"/>
      </c:valAx>
      <c:valAx>
        <c:axId val="1618030720"/>
        <c:scaling>
          <c:orientation val="minMax"/>
          <c:max val="22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/>
                  <a:t>i/mA</a:t>
                </a:r>
              </a:p>
            </c:rich>
          </c:tx>
          <c:layout>
            <c:manualLayout>
              <c:xMode val="edge"/>
              <c:yMode val="edge"/>
              <c:x val="5.3853478323256834E-2"/>
              <c:y val="4.48799418837168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16362720"/>
        <c:crosses val="autoZero"/>
        <c:crossBetween val="midCat"/>
        <c:majorUnit val="4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en-US" b="0"/>
              <a:t>PN</a:t>
            </a:r>
            <a:r>
              <a:rPr lang="zh-CN"/>
              <a:t>结的正向特性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PN结!$B$3:$B$13</c:f>
              <c:numCache>
                <c:formatCode>0.000_ </c:formatCode>
                <c:ptCount val="11"/>
              </c:numCache>
            </c:numRef>
          </c:cat>
          <c:val>
            <c:numRef>
              <c:f>PN结!$C$3:$C$13</c:f>
              <c:numCache>
                <c:formatCode>0.000_ 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C-42DE-80AB-0BF35F96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773728"/>
        <c:axId val="1049774560"/>
      </c:lineChart>
      <c:catAx>
        <c:axId val="10497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049774560"/>
        <c:crossesAt val="0"/>
        <c:auto val="1"/>
        <c:lblAlgn val="ctr"/>
        <c:lblOffset val="100"/>
        <c:noMultiLvlLbl val="0"/>
      </c:catAx>
      <c:valAx>
        <c:axId val="10497745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04977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j-cs"/>
              </a:defRPr>
            </a:pPr>
            <a:r>
              <a:rPr lang="en-US"/>
              <a:t>PN</a:t>
            </a:r>
            <a:r>
              <a:rPr lang="zh-CN"/>
              <a:t>结的反向特性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PN结!$B$18:$B$69</c:f>
              <c:numCache>
                <c:formatCode>0.000_ </c:formatCode>
                <c:ptCount val="11"/>
              </c:numCache>
            </c:numRef>
          </c:cat>
          <c:val>
            <c:numRef>
              <c:f>PN结!$C$18:$C$69</c:f>
              <c:numCache>
                <c:formatCode>0.000_ 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0-4FAB-82EA-8ED45778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244912"/>
        <c:axId val="1182234928"/>
      </c:lineChart>
      <c:catAx>
        <c:axId val="1182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U/V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82234928"/>
        <c:crosses val="autoZero"/>
        <c:auto val="1"/>
        <c:lblAlgn val="ctr"/>
        <c:lblOffset val="100"/>
        <c:noMultiLvlLbl val="0"/>
      </c:catAx>
      <c:valAx>
        <c:axId val="11822349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r>
                  <a:rPr lang="en-US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118224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en-US" altLang="zh-CN"/>
              <a:t>PN</a:t>
            </a:r>
            <a:r>
              <a:rPr lang="zh-CN" altLang="en-US"/>
              <a:t>结反向特性</a:t>
            </a:r>
            <a:endParaRPr lang="en-US" altLang="zh-CN"/>
          </a:p>
        </c:rich>
      </c:tx>
      <c:layout>
        <c:manualLayout>
          <c:xMode val="edge"/>
          <c:yMode val="edge"/>
          <c:x val="0.354256780402449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05555555555561E-2"/>
          <c:y val="0.24222222222222223"/>
          <c:w val="0.80184689413823274"/>
          <c:h val="0.70685185185185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PN结!$C$17</c:f>
              <c:strCache>
                <c:ptCount val="1"/>
                <c:pt idx="0">
                  <c:v>I(mA)</c:v>
                </c:pt>
              </c:strCache>
            </c:strRef>
          </c:tx>
          <c:spPr>
            <a:ln w="12700" cap="rnd" cmpd="sng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PN结!$B$18:$B$69</c:f>
              <c:numCache>
                <c:formatCode>0.000_ </c:formatCode>
                <c:ptCount val="11"/>
              </c:numCache>
            </c:numRef>
          </c:xVal>
          <c:yVal>
            <c:numRef>
              <c:f>PN结!$C$18:$C$69</c:f>
              <c:numCache>
                <c:formatCode>0.000_ 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2-4443-A97C-E847EA33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78079"/>
        <c:axId val="1129734063"/>
      </c:scatterChart>
      <c:valAx>
        <c:axId val="1127878079"/>
        <c:scaling>
          <c:orientation val="maxMin"/>
          <c:max val="8.9"/>
          <c:min val="8.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U/V</a:t>
                </a:r>
              </a:p>
            </c:rich>
          </c:tx>
          <c:layout>
            <c:manualLayout>
              <c:xMode val="edge"/>
              <c:yMode val="edge"/>
              <c:x val="0.83501159230096222"/>
              <c:y val="0.1064814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129734063"/>
        <c:crosses val="autoZero"/>
        <c:crossBetween val="midCat"/>
      </c:valAx>
      <c:valAx>
        <c:axId val="1129734063"/>
        <c:scaling>
          <c:orientation val="maxMin"/>
          <c:max val="2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1278780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en-US"/>
              <a:t>Cu</a:t>
            </a:r>
            <a:r>
              <a:rPr lang="zh-CN"/>
              <a:t>的冷却曲线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11137677015658E-2"/>
          <c:y val="0.16759151042536266"/>
          <c:w val="0.84034574872643719"/>
          <c:h val="0.65714718240718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金属比热容!$B$6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flat" cmpd="dbl" algn="ctr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8575" cap="flat" cmpd="dbl" algn="ctr">
                <a:solidFill>
                  <a:sysClr val="windowText" lastClr="0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金属比热容!$C$7:$C$20</c:f>
              <c:numCache>
                <c:formatCode>0.00_ </c:formatCode>
                <c:ptCount val="14"/>
                <c:pt idx="0">
                  <c:v>0</c:v>
                </c:pt>
              </c:numCache>
            </c:numRef>
          </c:xVal>
          <c:yVal>
            <c:numRef>
              <c:f>金属比热容!$B$7:$B$20</c:f>
              <c:numCache>
                <c:formatCode>General</c:formatCode>
                <c:ptCount val="14"/>
                <c:pt idx="0">
                  <c:v>161.6</c:v>
                </c:pt>
                <c:pt idx="1">
                  <c:v>151.5</c:v>
                </c:pt>
                <c:pt idx="2">
                  <c:v>141.4</c:v>
                </c:pt>
                <c:pt idx="3">
                  <c:v>131.29999999999998</c:v>
                </c:pt>
                <c:pt idx="4">
                  <c:v>121.19999999999999</c:v>
                </c:pt>
                <c:pt idx="5">
                  <c:v>111.1</c:v>
                </c:pt>
                <c:pt idx="6">
                  <c:v>101</c:v>
                </c:pt>
                <c:pt idx="7">
                  <c:v>90.899999999999991</c:v>
                </c:pt>
                <c:pt idx="8">
                  <c:v>80.8</c:v>
                </c:pt>
                <c:pt idx="9">
                  <c:v>70.7</c:v>
                </c:pt>
                <c:pt idx="10">
                  <c:v>60.599999999999994</c:v>
                </c:pt>
                <c:pt idx="11">
                  <c:v>50.5</c:v>
                </c:pt>
                <c:pt idx="12">
                  <c:v>40.4</c:v>
                </c:pt>
                <c:pt idx="13">
                  <c:v>30.299999999999997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366-B6D5-918149E63B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974272"/>
        <c:axId val="427983008"/>
      </c:scatterChart>
      <c:valAx>
        <c:axId val="427974272"/>
        <c:scaling>
          <c:orientation val="minMax"/>
          <c:max val="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  <a:r>
                  <a:rPr lang="en-US"/>
                  <a:t>t/s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511623751467006"/>
              <c:y val="0.90301078553525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427983008"/>
        <c:crosses val="autoZero"/>
        <c:crossBetween val="midCat"/>
        <c:majorUnit val="30"/>
      </c:valAx>
      <c:valAx>
        <c:axId val="427983008"/>
        <c:scaling>
          <c:orientation val="minMax"/>
          <c:max val="1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温度</a:t>
                </a:r>
                <a:r>
                  <a:rPr lang="en-US"/>
                  <a:t>T/°C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9230166955097482E-2"/>
              <c:y val="3.6917775999398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4279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zh-CN"/>
              <a:t>对数坐标中</a:t>
            </a:r>
            <a:r>
              <a:rPr lang="en-US"/>
              <a:t>Cu</a:t>
            </a:r>
            <a:r>
              <a:rPr lang="zh-CN"/>
              <a:t>的冷却速率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34319375457833"/>
          <c:y val="0.21384953478944535"/>
          <c:w val="0.75863414564741471"/>
          <c:h val="0.66202139091402623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noFill/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tx1">
                    <a:alpha val="47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064697009546781E-2"/>
                  <c:y val="0.41725727449234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金属比热容!$B$24:$B$35</c:f>
              <c:numCache>
                <c:formatCode>General</c:formatCode>
                <c:ptCount val="12"/>
                <c:pt idx="0">
                  <c:v>151.5</c:v>
                </c:pt>
                <c:pt idx="1">
                  <c:v>141.4</c:v>
                </c:pt>
                <c:pt idx="2">
                  <c:v>131.29999999999998</c:v>
                </c:pt>
                <c:pt idx="3">
                  <c:v>121.19999999999999</c:v>
                </c:pt>
                <c:pt idx="4">
                  <c:v>111.1</c:v>
                </c:pt>
                <c:pt idx="5">
                  <c:v>101</c:v>
                </c:pt>
                <c:pt idx="6">
                  <c:v>90.899999999999991</c:v>
                </c:pt>
                <c:pt idx="7">
                  <c:v>80.8</c:v>
                </c:pt>
                <c:pt idx="8">
                  <c:v>70.7</c:v>
                </c:pt>
                <c:pt idx="9">
                  <c:v>60.599999999999994</c:v>
                </c:pt>
                <c:pt idx="10">
                  <c:v>50.5</c:v>
                </c:pt>
                <c:pt idx="11">
                  <c:v>40.4</c:v>
                </c:pt>
              </c:numCache>
            </c:numRef>
          </c:xVal>
          <c:yVal>
            <c:numRef>
              <c:f>金属比热容!$C$24:$C$35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2-4AEE-A168-CAD4101C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23984"/>
        <c:axId val="608721072"/>
      </c:scatterChart>
      <c:valAx>
        <c:axId val="608723984"/>
        <c:scaling>
          <c:logBase val="2"/>
          <c:orientation val="minMax"/>
          <c:max val="25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en-US"/>
                  <a:t>-</a:t>
                </a:r>
                <a:r>
                  <a:rPr lang="el-GR"/>
                  <a:t>θ</a:t>
                </a:r>
                <a:r>
                  <a:rPr lang="en-US"/>
                  <a:t>0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9480215654606132"/>
              <c:y val="0.79845154464534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08721072"/>
        <c:crosses val="autoZero"/>
        <c:crossBetween val="midCat"/>
      </c:valAx>
      <c:valAx>
        <c:axId val="608721072"/>
        <c:scaling>
          <c:logBase val="2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l-GR"/>
                  <a:t>Δθ</a:t>
                </a:r>
                <a:r>
                  <a:rPr lang="en-US"/>
                  <a:t>/</a:t>
                </a:r>
                <a:r>
                  <a:rPr lang="el-GR"/>
                  <a:t>Δ</a:t>
                </a:r>
                <a:r>
                  <a:rPr lang="en-US"/>
                  <a:t>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9230166955097482E-2"/>
              <c:y val="0.11048348505071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08723984"/>
        <c:crossesAt val="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r>
              <a:rPr lang="zh-CN" altLang="en-US"/>
              <a:t>测定力传感器灵敏度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DengXian" charset="0"/>
              <a:ea typeface="DengXian" charset="0"/>
              <a:cs typeface="DengXian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9364021805001"/>
          <c:y val="0.172254640044994"/>
          <c:w val="0.82324994952553998"/>
          <c:h val="0.70533464566929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表面张力!$E$1</c:f>
              <c:strCache>
                <c:ptCount val="1"/>
                <c:pt idx="0">
                  <c:v>电压平均值/mV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3206137694327E-2"/>
                  <c:y val="0.43935250281214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DengXian" charset="0"/>
                      <a:ea typeface="DengXian" charset="0"/>
                      <a:cs typeface="DengXian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表面张力!$B$2:$B$9</c:f>
              <c:numCache>
                <c:formatCode>0.0_ 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表面张力!$E$2:$E$9</c:f>
              <c:numCache>
                <c:formatCode>0.0_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6-4C62-91CC-390AA1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5024"/>
        <c:axId val="2138172592"/>
      </c:scatterChart>
      <c:valAx>
        <c:axId val="2137025024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en-US" altLang="zh-CN"/>
                  <a:t>F/N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9118271754492195"/>
              <c:y val="0.93116071428571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38172592"/>
        <c:crosses val="autoZero"/>
        <c:crossBetween val="midCat"/>
      </c:valAx>
      <c:valAx>
        <c:axId val="213817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zh-CN" altLang="en-US"/>
                  <a:t>电压平均值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0512820512820499E-2"/>
              <c:y val="6.86273200224972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370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DengXian" charset="0"/>
          <a:ea typeface="DengXian" charset="0"/>
          <a:cs typeface="DengXi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r>
              <a:rPr lang="zh-CN"/>
              <a:t>用</a:t>
            </a:r>
            <a:r>
              <a:rPr lang="en-US"/>
              <a:t>UJ33a</a:t>
            </a:r>
            <a:r>
              <a:rPr lang="zh-CN"/>
              <a:t>型直流携带式电位差计校准毫安表</a:t>
            </a:r>
            <a:endParaRPr lang="mr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ngXian" charset="0"/>
              <a:ea typeface="DengXian" charset="0"/>
              <a:cs typeface="DengXian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电位差计!$G$2</c:f>
              <c:strCache>
                <c:ptCount val="1"/>
                <c:pt idx="0">
                  <c:v>△I/µA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noFill/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115687462144103E-2"/>
                  <c:y val="0.441844269466317"/>
                </c:manualLayout>
              </c:layout>
              <c:numFmt formatCode="#,##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DengXian" charset="0"/>
                      <a:ea typeface="DengXian" charset="0"/>
                      <a:cs typeface="DengXian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电位差计!$A$3:$A$14</c:f>
              <c:numCache>
                <c:formatCode>General</c:formatCode>
                <c:ptCount val="12"/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  <c:pt idx="11">
                  <c:v>1999</c:v>
                </c:pt>
              </c:numCache>
            </c:numRef>
          </c:xVal>
          <c:yVal>
            <c:numRef>
              <c:f>电位差计!$G$3:$G$14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F-4034-BEFD-9560A62E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78224"/>
        <c:axId val="2141981520"/>
      </c:scatterChart>
      <c:valAx>
        <c:axId val="21419782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mr-IN"/>
                  <a:t>I/µA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1882576216434497"/>
              <c:y val="0.87464426946631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41981520"/>
        <c:crosses val="autoZero"/>
        <c:crossBetween val="midCat"/>
      </c:valAx>
      <c:valAx>
        <c:axId val="21419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charset="0"/>
                    <a:ea typeface="DengXian" charset="0"/>
                    <a:cs typeface="DengXian" charset="0"/>
                  </a:defRPr>
                </a:pPr>
                <a:r>
                  <a:rPr lang="mr-IN"/>
                  <a:t>△I/µA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charset="0"/>
                  <a:ea typeface="DengXian" charset="0"/>
                  <a:cs typeface="DengXian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ngXian" charset="0"/>
                <a:ea typeface="DengXian" charset="0"/>
                <a:cs typeface="DengXian" charset="0"/>
              </a:defRPr>
            </a:pPr>
            <a:endParaRPr lang="zh-CN"/>
          </a:p>
        </c:txPr>
        <c:crossAx val="21419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ngXian" charset="0"/>
          <a:ea typeface="DengXian" charset="0"/>
          <a:cs typeface="DengXian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zh-CN"/>
              <a:t>弗兰克赫兹管</a:t>
            </a:r>
            <a:r>
              <a:rPr lang="en-US"/>
              <a:t>IP-UG2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82087412557209"/>
          <c:y val="0.11810267232287719"/>
          <c:w val="0.87170076189348955"/>
          <c:h val="0.76706991698469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弗兰克赫兹实验!$E$3:$F$3</c:f>
              <c:strCache>
                <c:ptCount val="1"/>
                <c:pt idx="0">
                  <c:v>UG2 IP</c:v>
                </c:pt>
              </c:strCache>
            </c:strRef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弗兰克赫兹实验!$E$4:$E$79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弗兰克赫兹实验!$F$4:$F$79</c:f>
              <c:numCache>
                <c:formatCode>0.00E+00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9-4644-8E29-38DF755A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23472"/>
        <c:axId val="656580224"/>
      </c:scatterChart>
      <c:valAx>
        <c:axId val="648123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100"/>
                  <a:t>UG2/V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94523618981827273"/>
              <c:y val="0.9335630462215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56580224"/>
        <c:crosses val="autoZero"/>
        <c:crossBetween val="midCat"/>
      </c:valAx>
      <c:valAx>
        <c:axId val="6565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100"/>
                  <a:t>Ip/A</a:t>
                </a:r>
              </a:p>
            </c:rich>
          </c:tx>
          <c:layout>
            <c:manualLayout>
              <c:xMode val="edge"/>
              <c:yMode val="edge"/>
              <c:x val="5.0760236722949027E-2"/>
              <c:y val="5.14569711273218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481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649431</xdr:colOff>
      <xdr:row>22</xdr:row>
      <xdr:rowOff>61554</xdr:rowOff>
    </xdr:from>
    <xdr:to>
      <xdr:col>29</xdr:col>
      <xdr:colOff>-1</xdr:colOff>
      <xdr:row>43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EE8C34-807F-4FE3-8991-A341340DA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0</xdr:colOff>
      <xdr:row>15</xdr:row>
      <xdr:rowOff>174373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BCAB4-A8B7-40B9-BF16-D33395E50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18</xdr:col>
      <xdr:colOff>-1</xdr:colOff>
      <xdr:row>44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6C8ACC6-C38C-4C0B-A363-4F84EDAC8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-1</xdr:rowOff>
    </xdr:from>
    <xdr:to>
      <xdr:col>16</xdr:col>
      <xdr:colOff>0</xdr:colOff>
      <xdr:row>73</xdr:row>
      <xdr:rowOff>176892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CD8A50-8245-4D93-BC14-692A51C3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649940</xdr:colOff>
      <xdr:row>6</xdr:row>
      <xdr:rowOff>0</xdr:rowOff>
    </xdr:from>
    <xdr:to>
      <xdr:col>13</xdr:col>
      <xdr:colOff>392204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14</xdr:row>
      <xdr:rowOff>163286</xdr:rowOff>
    </xdr:from>
    <xdr:to>
      <xdr:col>16</xdr:col>
      <xdr:colOff>0</xdr:colOff>
      <xdr:row>28</xdr:row>
      <xdr:rowOff>163286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19B8CC-CAF6-43A5-9C3A-A111B5CB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7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240777-EFFB-47E5-B8AB-DE059908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EE4064-9CA1-4052-996B-2623065D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22</xdr:col>
      <xdr:colOff>1</xdr:colOff>
      <xdr:row>45</xdr:row>
      <xdr:rowOff>3711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E15397-F1ED-45C9-8FF4-2D8EA3422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97366</xdr:colOff>
      <xdr:row>32</xdr:row>
      <xdr:rowOff>125940</xdr:rowOff>
    </xdr:from>
    <xdr:to>
      <xdr:col>19</xdr:col>
      <xdr:colOff>563737</xdr:colOff>
      <xdr:row>44</xdr:row>
      <xdr:rowOff>113242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2072BA-8642-454F-A55A-ED77A11C2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231777</xdr:colOff>
      <xdr:row>13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8D9E50-8A9B-4C06-9A45-2A8E495A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13</xdr:row>
      <xdr:rowOff>22578</xdr:rowOff>
    </xdr:from>
    <xdr:to>
      <xdr:col>18</xdr:col>
      <xdr:colOff>231777</xdr:colOff>
      <xdr:row>25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6300CC-4F76-42B6-B2AC-D146264BB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27</xdr:col>
      <xdr:colOff>0</xdr:colOff>
      <xdr:row>41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F9CC22-8A5F-4B67-BB2B-FBD7F513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&#3246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iu/Documents/&#23454;&#39564;&#25253;&#21578;/&#23454;&#39564;&#25968;&#25454;/&#22823;&#29289;/2/&#34920;&#38754;&#24352;&#2114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iu/Documents/&#23454;&#39564;&#25253;&#21578;/&#23454;&#39564;&#25968;&#25454;/&#22823;&#29289;/2/&#30005;&#20301;&#24046;&#3574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iu/Documents/&#23454;&#39564;&#25253;&#21578;/&#23454;&#39564;&#25968;&#25454;/&#22823;&#29289;/2/&#24343;&#20848;&#20811;-&#36203;&#2085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iu/Documents/&#23454;&#39564;&#25253;&#21578;/&#23454;&#39564;&#25968;&#25454;/&#22823;&#29289;/2/&#38669;&#23572;&#25928;&#242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结"/>
      <sheetName val="PN结 (2)"/>
    </sheetNames>
    <sheetDataSet>
      <sheetData sheetId="0">
        <row r="3">
          <cell r="B3">
            <v>0.624</v>
          </cell>
          <cell r="C3">
            <v>6.5000000000000002E-2</v>
          </cell>
          <cell r="F3">
            <v>0.61399999999999999</v>
          </cell>
          <cell r="G3">
            <v>0.111</v>
          </cell>
        </row>
        <row r="4">
          <cell r="B4">
            <v>0.66400000000000003</v>
          </cell>
          <cell r="C4">
            <v>0.188</v>
          </cell>
          <cell r="F4">
            <v>0.63</v>
          </cell>
          <cell r="G4">
            <v>0.16800000000000001</v>
          </cell>
        </row>
        <row r="5">
          <cell r="B5">
            <v>0.68300000000000005</v>
          </cell>
          <cell r="C5">
            <v>0.36</v>
          </cell>
          <cell r="F5">
            <v>0.65980000000000005</v>
          </cell>
          <cell r="G5">
            <v>0.38</v>
          </cell>
        </row>
        <row r="6">
          <cell r="B6">
            <v>0.70099999999999996</v>
          </cell>
          <cell r="C6">
            <v>0.58599999999999997</v>
          </cell>
          <cell r="F6">
            <v>0.67549999999999999</v>
          </cell>
          <cell r="G6">
            <v>0.58099999999999996</v>
          </cell>
        </row>
        <row r="7">
          <cell r="B7">
            <v>0.70799999999999996</v>
          </cell>
          <cell r="C7">
            <v>0.73499999999999999</v>
          </cell>
          <cell r="F7">
            <v>0.68700000000000006</v>
          </cell>
          <cell r="G7">
            <v>0.79300000000000004</v>
          </cell>
        </row>
        <row r="8">
          <cell r="B8">
            <v>0.71799999999999997</v>
          </cell>
          <cell r="C8">
            <v>0.96499999999999997</v>
          </cell>
          <cell r="F8">
            <v>0.69479999999999997</v>
          </cell>
          <cell r="G8">
            <v>0.98199999999999998</v>
          </cell>
        </row>
        <row r="9">
          <cell r="B9">
            <v>0.72299999999999998</v>
          </cell>
          <cell r="C9">
            <v>1.1299999999999999</v>
          </cell>
          <cell r="F9">
            <v>0.70150000000000001</v>
          </cell>
          <cell r="G9">
            <v>1.1919999999999999</v>
          </cell>
        </row>
        <row r="10">
          <cell r="B10">
            <v>0.73</v>
          </cell>
          <cell r="C10">
            <v>1.3759999999999999</v>
          </cell>
          <cell r="F10">
            <v>0.70750000000000002</v>
          </cell>
          <cell r="G10">
            <v>1.3620000000000001</v>
          </cell>
        </row>
        <row r="11">
          <cell r="B11">
            <v>0.73299999999999998</v>
          </cell>
          <cell r="C11">
            <v>1.548</v>
          </cell>
          <cell r="F11">
            <v>0.71209999999999996</v>
          </cell>
          <cell r="G11">
            <v>1.58</v>
          </cell>
        </row>
        <row r="12">
          <cell r="B12">
            <v>0.73699999999999999</v>
          </cell>
          <cell r="C12">
            <v>1.7190000000000001</v>
          </cell>
          <cell r="F12">
            <v>0.71799999999999997</v>
          </cell>
          <cell r="G12">
            <v>1.7629999999999999</v>
          </cell>
        </row>
        <row r="13">
          <cell r="B13">
            <v>0.74199999999999999</v>
          </cell>
          <cell r="C13">
            <v>1.984</v>
          </cell>
          <cell r="F13">
            <v>0.72130000000000005</v>
          </cell>
          <cell r="G13">
            <v>1.9410000000000001</v>
          </cell>
        </row>
        <row r="18">
          <cell r="B18">
            <v>0</v>
          </cell>
          <cell r="C18">
            <v>0.01</v>
          </cell>
          <cell r="F18">
            <v>0</v>
          </cell>
        </row>
        <row r="19">
          <cell r="B19">
            <v>0.2</v>
          </cell>
          <cell r="C19">
            <v>0.01</v>
          </cell>
          <cell r="F19">
            <v>0.2</v>
          </cell>
        </row>
        <row r="20">
          <cell r="B20">
            <v>0.4</v>
          </cell>
          <cell r="C20">
            <v>0.01</v>
          </cell>
          <cell r="F20">
            <v>0.4</v>
          </cell>
        </row>
        <row r="21">
          <cell r="B21">
            <v>0.6</v>
          </cell>
          <cell r="C21">
            <v>0.01</v>
          </cell>
          <cell r="F21">
            <v>0.6</v>
          </cell>
        </row>
        <row r="22">
          <cell r="B22">
            <v>0.8</v>
          </cell>
          <cell r="C22">
            <v>0.01</v>
          </cell>
          <cell r="F22">
            <v>0.8</v>
          </cell>
        </row>
        <row r="23">
          <cell r="B23">
            <v>1</v>
          </cell>
          <cell r="C23">
            <v>0.01</v>
          </cell>
          <cell r="F23">
            <v>1</v>
          </cell>
        </row>
        <row r="24">
          <cell r="B24">
            <v>1.2</v>
          </cell>
          <cell r="C24">
            <v>0.01</v>
          </cell>
          <cell r="F24">
            <v>1.2</v>
          </cell>
        </row>
        <row r="25">
          <cell r="B25">
            <v>1.4</v>
          </cell>
          <cell r="C25">
            <v>0.01</v>
          </cell>
          <cell r="F25">
            <v>1.4</v>
          </cell>
        </row>
        <row r="26">
          <cell r="B26">
            <v>1.6</v>
          </cell>
          <cell r="C26">
            <v>0.01</v>
          </cell>
          <cell r="F26">
            <v>1.6</v>
          </cell>
        </row>
        <row r="27">
          <cell r="B27">
            <v>1.8</v>
          </cell>
          <cell r="C27">
            <v>0.01</v>
          </cell>
          <cell r="F27">
            <v>1.8</v>
          </cell>
        </row>
        <row r="28">
          <cell r="B28">
            <v>2</v>
          </cell>
          <cell r="C28">
            <v>0.01</v>
          </cell>
          <cell r="F28">
            <v>2</v>
          </cell>
        </row>
        <row r="29">
          <cell r="B29">
            <v>2.2000000000000002</v>
          </cell>
          <cell r="C29">
            <v>0.01</v>
          </cell>
          <cell r="F29">
            <v>2.2000000000000002</v>
          </cell>
        </row>
        <row r="30">
          <cell r="B30">
            <v>2.4</v>
          </cell>
          <cell r="C30">
            <v>0.01</v>
          </cell>
          <cell r="F30">
            <v>2.4</v>
          </cell>
        </row>
        <row r="31">
          <cell r="B31">
            <v>2.6</v>
          </cell>
          <cell r="C31">
            <v>0.01</v>
          </cell>
          <cell r="F31">
            <v>2.6</v>
          </cell>
        </row>
        <row r="32">
          <cell r="B32">
            <v>2.8</v>
          </cell>
          <cell r="C32">
            <v>0.01</v>
          </cell>
          <cell r="F32">
            <v>2.8</v>
          </cell>
        </row>
        <row r="33">
          <cell r="B33">
            <v>3</v>
          </cell>
          <cell r="C33">
            <v>0.01</v>
          </cell>
          <cell r="F33">
            <v>3</v>
          </cell>
        </row>
        <row r="34">
          <cell r="B34">
            <v>3.2</v>
          </cell>
          <cell r="C34">
            <v>0.01</v>
          </cell>
          <cell r="F34">
            <v>3.2</v>
          </cell>
        </row>
        <row r="35">
          <cell r="B35">
            <v>3.4</v>
          </cell>
          <cell r="C35">
            <v>0.01</v>
          </cell>
          <cell r="F35">
            <v>3.4</v>
          </cell>
        </row>
        <row r="36">
          <cell r="B36">
            <v>3.6</v>
          </cell>
          <cell r="C36">
            <v>0.01</v>
          </cell>
          <cell r="F36">
            <v>3.6</v>
          </cell>
        </row>
        <row r="37">
          <cell r="B37">
            <v>3.8</v>
          </cell>
          <cell r="C37">
            <v>0.01</v>
          </cell>
          <cell r="F37">
            <v>3.8</v>
          </cell>
        </row>
        <row r="38">
          <cell r="B38">
            <v>4</v>
          </cell>
          <cell r="C38">
            <v>0.01</v>
          </cell>
          <cell r="F38">
            <v>4</v>
          </cell>
        </row>
        <row r="39">
          <cell r="B39">
            <v>4.2</v>
          </cell>
          <cell r="C39">
            <v>0.01</v>
          </cell>
          <cell r="F39">
            <v>4.2</v>
          </cell>
        </row>
        <row r="40">
          <cell r="B40">
            <v>4.4000000000000004</v>
          </cell>
          <cell r="C40">
            <v>0.01</v>
          </cell>
          <cell r="F40">
            <v>4.4000000000000004</v>
          </cell>
        </row>
        <row r="41">
          <cell r="B41">
            <v>4.5999999999999996</v>
          </cell>
          <cell r="C41">
            <v>0.01</v>
          </cell>
          <cell r="F41">
            <v>4.5999999999999996</v>
          </cell>
        </row>
        <row r="42">
          <cell r="B42">
            <v>4.8</v>
          </cell>
          <cell r="C42">
            <v>0.01</v>
          </cell>
          <cell r="F42">
            <v>4.8</v>
          </cell>
        </row>
        <row r="43">
          <cell r="B43">
            <v>5</v>
          </cell>
          <cell r="C43">
            <v>0.01</v>
          </cell>
          <cell r="F43">
            <v>5</v>
          </cell>
        </row>
        <row r="44">
          <cell r="B44">
            <v>5.2</v>
          </cell>
          <cell r="C44">
            <v>0.01</v>
          </cell>
          <cell r="F44">
            <v>5.2</v>
          </cell>
        </row>
        <row r="45">
          <cell r="B45">
            <v>5.4</v>
          </cell>
          <cell r="C45">
            <v>0.01</v>
          </cell>
          <cell r="F45">
            <v>5.4</v>
          </cell>
        </row>
        <row r="46">
          <cell r="B46">
            <v>5.6</v>
          </cell>
          <cell r="C46">
            <v>0.01</v>
          </cell>
          <cell r="F46">
            <v>5.6</v>
          </cell>
        </row>
        <row r="47">
          <cell r="B47">
            <v>5.8</v>
          </cell>
          <cell r="C47">
            <v>0.01</v>
          </cell>
          <cell r="F47">
            <v>5.8</v>
          </cell>
        </row>
        <row r="48">
          <cell r="B48">
            <v>6</v>
          </cell>
          <cell r="C48">
            <v>0.01</v>
          </cell>
          <cell r="F48">
            <v>6</v>
          </cell>
        </row>
        <row r="49">
          <cell r="B49">
            <v>6.2</v>
          </cell>
          <cell r="C49">
            <v>0.01</v>
          </cell>
          <cell r="F49">
            <v>6.2</v>
          </cell>
        </row>
        <row r="50">
          <cell r="B50">
            <v>6.4</v>
          </cell>
          <cell r="C50">
            <v>0.01</v>
          </cell>
          <cell r="F50">
            <v>6.4</v>
          </cell>
        </row>
        <row r="51">
          <cell r="B51">
            <v>6.6</v>
          </cell>
          <cell r="C51">
            <v>0.01</v>
          </cell>
          <cell r="F51">
            <v>6.6</v>
          </cell>
        </row>
        <row r="52">
          <cell r="B52">
            <v>6.8</v>
          </cell>
          <cell r="C52">
            <v>0.01</v>
          </cell>
          <cell r="F52">
            <v>6.8</v>
          </cell>
        </row>
        <row r="53">
          <cell r="B53">
            <v>7</v>
          </cell>
          <cell r="C53">
            <v>0.01</v>
          </cell>
          <cell r="F53">
            <v>7</v>
          </cell>
        </row>
        <row r="54">
          <cell r="B54">
            <v>7.2</v>
          </cell>
          <cell r="C54">
            <v>0.01</v>
          </cell>
          <cell r="F54">
            <v>7.2</v>
          </cell>
        </row>
        <row r="55">
          <cell r="B55">
            <v>7.4</v>
          </cell>
          <cell r="C55">
            <v>0.01</v>
          </cell>
          <cell r="F55">
            <v>7.4</v>
          </cell>
        </row>
        <row r="56">
          <cell r="B56">
            <v>7.6</v>
          </cell>
          <cell r="C56">
            <v>0.01</v>
          </cell>
          <cell r="F56">
            <v>7.6</v>
          </cell>
        </row>
        <row r="57">
          <cell r="B57">
            <v>7.8</v>
          </cell>
          <cell r="C57">
            <v>0.01</v>
          </cell>
          <cell r="F57">
            <v>7.8</v>
          </cell>
        </row>
        <row r="58">
          <cell r="B58">
            <v>8</v>
          </cell>
          <cell r="C58">
            <v>0.01</v>
          </cell>
          <cell r="F58">
            <v>8</v>
          </cell>
        </row>
        <row r="59">
          <cell r="B59">
            <v>8.14</v>
          </cell>
          <cell r="C59">
            <v>2.4E-2</v>
          </cell>
          <cell r="F59">
            <v>10.972</v>
          </cell>
        </row>
        <row r="60">
          <cell r="B60">
            <v>8.3339999999999996</v>
          </cell>
          <cell r="C60">
            <v>0.372</v>
          </cell>
          <cell r="F60">
            <v>10.973000000000001</v>
          </cell>
        </row>
        <row r="61">
          <cell r="B61">
            <v>8.5030000000000001</v>
          </cell>
          <cell r="C61">
            <v>0.57299999999999995</v>
          </cell>
          <cell r="F61">
            <v>10.981999999999999</v>
          </cell>
        </row>
        <row r="62">
          <cell r="B62">
            <v>8.7579999999999991</v>
          </cell>
          <cell r="C62">
            <v>0.70299999999999996</v>
          </cell>
          <cell r="F62">
            <v>10.987</v>
          </cell>
        </row>
        <row r="63">
          <cell r="B63">
            <v>8.7629999999999999</v>
          </cell>
          <cell r="C63">
            <v>0.91100000000000003</v>
          </cell>
          <cell r="F63">
            <v>10.992000000000001</v>
          </cell>
        </row>
        <row r="64">
          <cell r="B64">
            <v>8.77</v>
          </cell>
          <cell r="C64">
            <v>1.1950000000000001</v>
          </cell>
          <cell r="F64">
            <v>10.999000000000001</v>
          </cell>
        </row>
        <row r="65">
          <cell r="B65">
            <v>8.7750000000000004</v>
          </cell>
          <cell r="C65">
            <v>1.35</v>
          </cell>
          <cell r="F65">
            <v>11.005000000000001</v>
          </cell>
        </row>
        <row r="66">
          <cell r="B66">
            <v>8.7750000000000004</v>
          </cell>
          <cell r="C66">
            <v>1.502</v>
          </cell>
          <cell r="F66">
            <v>11.010999999999999</v>
          </cell>
        </row>
        <row r="67">
          <cell r="B67">
            <v>8.782</v>
          </cell>
          <cell r="C67">
            <v>1.7589999999999999</v>
          </cell>
          <cell r="F67">
            <v>11.013</v>
          </cell>
        </row>
        <row r="68">
          <cell r="B68">
            <v>8.7840000000000007</v>
          </cell>
          <cell r="C68">
            <v>1.9279999999999999</v>
          </cell>
          <cell r="F68">
            <v>11.013999999999999</v>
          </cell>
        </row>
        <row r="69">
          <cell r="B69">
            <v>8.7859999999999996</v>
          </cell>
          <cell r="C69">
            <v>1.9970000000000001</v>
          </cell>
          <cell r="F69">
            <v>11.02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E1" t="str">
            <v>电压平均值/mV</v>
          </cell>
        </row>
        <row r="2">
          <cell r="B2">
            <v>0</v>
          </cell>
          <cell r="E2">
            <v>-0.25</v>
          </cell>
        </row>
        <row r="3">
          <cell r="B3">
            <v>5</v>
          </cell>
          <cell r="E3">
            <v>11.5</v>
          </cell>
        </row>
        <row r="4">
          <cell r="B4">
            <v>10</v>
          </cell>
          <cell r="E4">
            <v>22.7</v>
          </cell>
        </row>
        <row r="5">
          <cell r="B5">
            <v>15</v>
          </cell>
          <cell r="E5">
            <v>33.700000000000003</v>
          </cell>
        </row>
        <row r="6">
          <cell r="B6">
            <v>20</v>
          </cell>
          <cell r="E6">
            <v>45.25</v>
          </cell>
        </row>
        <row r="7">
          <cell r="B7">
            <v>25</v>
          </cell>
          <cell r="E7">
            <v>58.25</v>
          </cell>
        </row>
        <row r="8">
          <cell r="B8">
            <v>30</v>
          </cell>
          <cell r="E8">
            <v>70</v>
          </cell>
        </row>
        <row r="9">
          <cell r="B9">
            <v>35</v>
          </cell>
          <cell r="E9">
            <v>81.8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2">
          <cell r="F2" t="str">
            <v>△I/µA</v>
          </cell>
        </row>
        <row r="5">
          <cell r="A5">
            <v>200</v>
          </cell>
          <cell r="F5">
            <v>1.0150000000000148</v>
          </cell>
        </row>
        <row r="6">
          <cell r="A6">
            <v>400</v>
          </cell>
          <cell r="F6">
            <v>2.2849999999999682</v>
          </cell>
        </row>
        <row r="7">
          <cell r="A7">
            <v>600</v>
          </cell>
          <cell r="F7">
            <v>3.7300000000000182</v>
          </cell>
        </row>
        <row r="8">
          <cell r="A8">
            <v>800</v>
          </cell>
          <cell r="F8">
            <v>5.6800000000000637</v>
          </cell>
        </row>
        <row r="9">
          <cell r="A9">
            <v>1000</v>
          </cell>
          <cell r="F9">
            <v>7.0600000000000591</v>
          </cell>
        </row>
        <row r="10">
          <cell r="A10">
            <v>1200</v>
          </cell>
          <cell r="F10">
            <v>9.0550000000000637</v>
          </cell>
        </row>
        <row r="11">
          <cell r="A11">
            <v>1400</v>
          </cell>
          <cell r="F11">
            <v>10.200000000000045</v>
          </cell>
        </row>
        <row r="12">
          <cell r="A12">
            <v>1600</v>
          </cell>
          <cell r="F12">
            <v>11.310000000000173</v>
          </cell>
        </row>
        <row r="13">
          <cell r="A13">
            <v>1800</v>
          </cell>
          <cell r="F13">
            <v>12.605000000000246</v>
          </cell>
        </row>
        <row r="14">
          <cell r="A14">
            <v>1999</v>
          </cell>
          <cell r="F14">
            <v>15.204999999999927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UG2</v>
          </cell>
          <cell r="F3" t="str">
            <v>IP</v>
          </cell>
        </row>
        <row r="4">
          <cell r="E4">
            <v>89.9</v>
          </cell>
          <cell r="F4">
            <v>4.4000000000000005E-9</v>
          </cell>
        </row>
        <row r="5">
          <cell r="E5">
            <v>89.1</v>
          </cell>
          <cell r="F5">
            <v>4.8E-9</v>
          </cell>
        </row>
        <row r="6">
          <cell r="E6">
            <v>87.8</v>
          </cell>
          <cell r="F6">
            <v>5.1000000000000002E-9</v>
          </cell>
        </row>
        <row r="7">
          <cell r="E7">
            <v>87.3</v>
          </cell>
          <cell r="F7">
            <v>5.0000000000000001E-9</v>
          </cell>
        </row>
        <row r="8">
          <cell r="E8">
            <v>86.7</v>
          </cell>
          <cell r="F8">
            <v>4.8E-9</v>
          </cell>
        </row>
        <row r="9">
          <cell r="E9">
            <v>86.1</v>
          </cell>
          <cell r="F9">
            <v>4.4000000000000005E-9</v>
          </cell>
        </row>
        <row r="10">
          <cell r="E10">
            <v>83.4</v>
          </cell>
          <cell r="F10">
            <v>2.0999999999999998E-9</v>
          </cell>
        </row>
        <row r="11">
          <cell r="E11">
            <v>82.7</v>
          </cell>
          <cell r="F11">
            <v>1.8E-9</v>
          </cell>
        </row>
        <row r="12">
          <cell r="E12">
            <v>82</v>
          </cell>
          <cell r="F12">
            <v>1.4000000000000001E-9</v>
          </cell>
        </row>
        <row r="13">
          <cell r="E13">
            <v>80.400000000000006</v>
          </cell>
          <cell r="F13">
            <v>1.5E-9</v>
          </cell>
        </row>
        <row r="14">
          <cell r="E14">
            <v>80.099999999999994</v>
          </cell>
          <cell r="F14">
            <v>1.7000000000000001E-9</v>
          </cell>
        </row>
        <row r="15">
          <cell r="E15">
            <v>79.5</v>
          </cell>
          <cell r="F15">
            <v>2.0999999999999998E-9</v>
          </cell>
        </row>
        <row r="16">
          <cell r="E16">
            <v>77.2</v>
          </cell>
          <cell r="F16">
            <v>4.5000000000000006E-9</v>
          </cell>
        </row>
        <row r="17">
          <cell r="E17">
            <v>76.599999999999994</v>
          </cell>
          <cell r="F17">
            <v>4.9E-9</v>
          </cell>
        </row>
        <row r="18">
          <cell r="E18">
            <v>75.3</v>
          </cell>
          <cell r="F18">
            <v>5.2000000000000002E-9</v>
          </cell>
        </row>
        <row r="19">
          <cell r="E19">
            <v>75.099999999999994</v>
          </cell>
          <cell r="F19">
            <v>5.2000000000000002E-9</v>
          </cell>
        </row>
        <row r="20">
          <cell r="E20">
            <v>74.5</v>
          </cell>
          <cell r="F20">
            <v>4.9E-9</v>
          </cell>
        </row>
        <row r="21">
          <cell r="E21">
            <v>74.400000000000006</v>
          </cell>
          <cell r="F21">
            <v>4.8E-9</v>
          </cell>
        </row>
        <row r="22">
          <cell r="E22">
            <v>73.7</v>
          </cell>
          <cell r="F22">
            <v>4.2999999999999996E-9</v>
          </cell>
        </row>
        <row r="23">
          <cell r="E23">
            <v>70.400000000000006</v>
          </cell>
          <cell r="F23">
            <v>1.1000000000000001E-9</v>
          </cell>
        </row>
        <row r="24">
          <cell r="E24">
            <v>69.900000000000006</v>
          </cell>
          <cell r="F24">
            <v>8.9999999999999999E-10</v>
          </cell>
        </row>
        <row r="25">
          <cell r="E25">
            <v>68.900000000000006</v>
          </cell>
          <cell r="F25">
            <v>6E-10</v>
          </cell>
        </row>
        <row r="26">
          <cell r="E26">
            <v>68.3</v>
          </cell>
          <cell r="F26">
            <v>8.0000000000000003E-10</v>
          </cell>
        </row>
        <row r="27">
          <cell r="E27">
            <v>67.7</v>
          </cell>
          <cell r="F27">
            <v>1.0000000000000001E-9</v>
          </cell>
        </row>
        <row r="28">
          <cell r="E28">
            <v>66.7</v>
          </cell>
          <cell r="F28">
            <v>1.9000000000000001E-9</v>
          </cell>
        </row>
        <row r="29">
          <cell r="E29">
            <v>64.3</v>
          </cell>
          <cell r="F29">
            <v>4.5000000000000006E-9</v>
          </cell>
        </row>
        <row r="30">
          <cell r="E30">
            <v>64</v>
          </cell>
          <cell r="F30">
            <v>4.6000000000000007E-9</v>
          </cell>
        </row>
        <row r="31">
          <cell r="E31">
            <v>63.4</v>
          </cell>
          <cell r="F31">
            <v>4.6999999999999999E-9</v>
          </cell>
        </row>
        <row r="32">
          <cell r="E32">
            <v>62.8</v>
          </cell>
          <cell r="F32">
            <v>4.6000000000000007E-9</v>
          </cell>
        </row>
        <row r="33">
          <cell r="E33">
            <v>62.1</v>
          </cell>
          <cell r="F33">
            <v>4.5000000000000006E-9</v>
          </cell>
        </row>
        <row r="34">
          <cell r="E34">
            <v>61.5</v>
          </cell>
          <cell r="F34">
            <v>3.7E-9</v>
          </cell>
        </row>
        <row r="35">
          <cell r="E35">
            <v>58.7</v>
          </cell>
          <cell r="F35">
            <v>1.2E-9</v>
          </cell>
        </row>
        <row r="36">
          <cell r="E36">
            <v>58.1</v>
          </cell>
          <cell r="F36">
            <v>6E-10</v>
          </cell>
        </row>
        <row r="37">
          <cell r="E37">
            <v>57.2</v>
          </cell>
          <cell r="F37">
            <v>3E-10</v>
          </cell>
        </row>
        <row r="38">
          <cell r="E38">
            <v>56.8</v>
          </cell>
          <cell r="F38">
            <v>3E-10</v>
          </cell>
        </row>
        <row r="39">
          <cell r="E39">
            <v>55.8</v>
          </cell>
          <cell r="F39">
            <v>6E-10</v>
          </cell>
        </row>
        <row r="40">
          <cell r="E40">
            <v>55.4</v>
          </cell>
          <cell r="F40">
            <v>8.0000000000000003E-10</v>
          </cell>
        </row>
        <row r="41">
          <cell r="E41">
            <v>52.5</v>
          </cell>
          <cell r="F41">
            <v>4.4000000000000005E-9</v>
          </cell>
        </row>
        <row r="42">
          <cell r="E42">
            <v>52.2</v>
          </cell>
          <cell r="F42">
            <v>4.6000000000000007E-9</v>
          </cell>
        </row>
        <row r="43">
          <cell r="E43">
            <v>51.8</v>
          </cell>
          <cell r="F43">
            <v>4.8E-9</v>
          </cell>
        </row>
        <row r="44">
          <cell r="E44">
            <v>51.6</v>
          </cell>
          <cell r="F44">
            <v>5.6000000000000005E-9</v>
          </cell>
        </row>
        <row r="45">
          <cell r="E45">
            <v>51.2</v>
          </cell>
          <cell r="F45">
            <v>4.9E-9</v>
          </cell>
        </row>
        <row r="46">
          <cell r="E46">
            <v>51</v>
          </cell>
          <cell r="F46">
            <v>4.8E-9</v>
          </cell>
        </row>
        <row r="47">
          <cell r="E47">
            <v>50.6</v>
          </cell>
          <cell r="F47">
            <v>5.2000000000000002E-9</v>
          </cell>
          <cell r="P47">
            <v>1</v>
          </cell>
          <cell r="Q47">
            <v>2</v>
          </cell>
          <cell r="R47">
            <v>3</v>
          </cell>
          <cell r="S47">
            <v>4</v>
          </cell>
          <cell r="T47">
            <v>5</v>
          </cell>
          <cell r="U47">
            <v>6</v>
          </cell>
        </row>
        <row r="48">
          <cell r="E48">
            <v>46.3</v>
          </cell>
          <cell r="F48">
            <v>8.9999999999999999E-10</v>
          </cell>
          <cell r="O48" t="str">
            <v>峰值位置</v>
          </cell>
          <cell r="P48">
            <v>29.5</v>
          </cell>
          <cell r="Q48">
            <v>39.9</v>
          </cell>
          <cell r="R48">
            <v>51.6</v>
          </cell>
          <cell r="S48">
            <v>63.4</v>
          </cell>
          <cell r="T48">
            <v>75.099999999999994</v>
          </cell>
          <cell r="U48">
            <v>87.8</v>
          </cell>
        </row>
        <row r="49">
          <cell r="E49">
            <v>45.5</v>
          </cell>
          <cell r="F49">
            <v>6E-10</v>
          </cell>
        </row>
        <row r="50">
          <cell r="E50">
            <v>45.1</v>
          </cell>
          <cell r="F50">
            <v>6E-10</v>
          </cell>
        </row>
        <row r="51">
          <cell r="E51">
            <v>44.1</v>
          </cell>
          <cell r="F51">
            <v>8.0000000000000003E-10</v>
          </cell>
        </row>
        <row r="52">
          <cell r="E52">
            <v>43.8</v>
          </cell>
          <cell r="F52">
            <v>1.1000000000000001E-9</v>
          </cell>
        </row>
        <row r="53">
          <cell r="E53">
            <v>43.1</v>
          </cell>
          <cell r="F53">
            <v>1.9000000000000001E-9</v>
          </cell>
        </row>
        <row r="54">
          <cell r="E54">
            <v>40.700000000000003</v>
          </cell>
          <cell r="F54">
            <v>5.5000000000000004E-9</v>
          </cell>
        </row>
        <row r="55">
          <cell r="E55">
            <v>40.5</v>
          </cell>
          <cell r="F55">
            <v>5.6999999999999998E-9</v>
          </cell>
        </row>
        <row r="56">
          <cell r="E56">
            <v>39.9</v>
          </cell>
          <cell r="F56">
            <v>5.8999999999999999E-9</v>
          </cell>
        </row>
        <row r="57">
          <cell r="E57">
            <v>39.299999999999997</v>
          </cell>
          <cell r="F57">
            <v>5.6999999999999998E-9</v>
          </cell>
        </row>
        <row r="58">
          <cell r="E58">
            <v>39</v>
          </cell>
          <cell r="F58">
            <v>5.6000000000000005E-9</v>
          </cell>
        </row>
        <row r="59">
          <cell r="E59">
            <v>38.799999999999997</v>
          </cell>
          <cell r="F59">
            <v>5.4000000000000004E-9</v>
          </cell>
        </row>
        <row r="60">
          <cell r="E60">
            <v>35.299999999999997</v>
          </cell>
          <cell r="F60">
            <v>1.5E-9</v>
          </cell>
        </row>
        <row r="61">
          <cell r="E61">
            <v>34.6</v>
          </cell>
          <cell r="F61">
            <v>1.2E-9</v>
          </cell>
        </row>
        <row r="62">
          <cell r="E62">
            <v>34.1</v>
          </cell>
          <cell r="F62">
            <v>1.1000000000000001E-9</v>
          </cell>
        </row>
        <row r="63">
          <cell r="E63">
            <v>33.200000000000003</v>
          </cell>
          <cell r="F63">
            <v>1.6000000000000001E-9</v>
          </cell>
        </row>
        <row r="64">
          <cell r="E64">
            <v>32.6</v>
          </cell>
          <cell r="F64">
            <v>1.3000000000000001E-9</v>
          </cell>
        </row>
        <row r="65">
          <cell r="E65">
            <v>31.9</v>
          </cell>
          <cell r="F65">
            <v>1.8E-9</v>
          </cell>
        </row>
        <row r="66">
          <cell r="E66">
            <v>31.3</v>
          </cell>
          <cell r="F66">
            <v>1.2E-9</v>
          </cell>
        </row>
        <row r="67">
          <cell r="E67">
            <v>29.5</v>
          </cell>
          <cell r="F67">
            <v>3.9000000000000002E-9</v>
          </cell>
        </row>
        <row r="68">
          <cell r="E68">
            <v>29.3</v>
          </cell>
          <cell r="F68">
            <v>3.6E-9</v>
          </cell>
        </row>
        <row r="69">
          <cell r="E69">
            <v>28.7</v>
          </cell>
          <cell r="F69">
            <v>3.3000000000000002E-9</v>
          </cell>
        </row>
        <row r="70">
          <cell r="E70">
            <v>28.3</v>
          </cell>
          <cell r="F70">
            <v>2.6000000000000001E-9</v>
          </cell>
        </row>
        <row r="71">
          <cell r="E71">
            <v>27.3</v>
          </cell>
          <cell r="F71">
            <v>2.0999999999999998E-9</v>
          </cell>
        </row>
        <row r="72">
          <cell r="E72">
            <v>25.1</v>
          </cell>
          <cell r="F72">
            <v>1.0000000000000001E-9</v>
          </cell>
        </row>
        <row r="73">
          <cell r="E73">
            <v>24.5</v>
          </cell>
          <cell r="F73">
            <v>8.0000000000000003E-10</v>
          </cell>
        </row>
        <row r="74">
          <cell r="E74">
            <v>23.8</v>
          </cell>
          <cell r="F74">
            <v>7.0000000000000006E-10</v>
          </cell>
        </row>
        <row r="75">
          <cell r="E75">
            <v>22.8</v>
          </cell>
          <cell r="F75">
            <v>6E-10</v>
          </cell>
        </row>
        <row r="76">
          <cell r="E76">
            <v>20</v>
          </cell>
          <cell r="F76">
            <v>8.0000000000000003E-10</v>
          </cell>
        </row>
        <row r="77">
          <cell r="E77">
            <v>18.3</v>
          </cell>
          <cell r="F77">
            <v>8.9999999999999999E-10</v>
          </cell>
        </row>
        <row r="78">
          <cell r="E78">
            <v>15.6</v>
          </cell>
          <cell r="F78">
            <v>7.0000000000000006E-10</v>
          </cell>
        </row>
        <row r="79">
          <cell r="E79">
            <v>14.2</v>
          </cell>
          <cell r="F79">
            <v>5.0000000000000003E-10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5">
          <cell r="C5" t="str">
            <v>IS/mA</v>
          </cell>
          <cell r="H5" t="str">
            <v>VH</v>
          </cell>
        </row>
        <row r="7">
          <cell r="C7">
            <v>1</v>
          </cell>
          <cell r="H7">
            <v>2.6</v>
          </cell>
        </row>
        <row r="8">
          <cell r="C8">
            <v>1.5</v>
          </cell>
          <cell r="H8">
            <v>3.65</v>
          </cell>
        </row>
        <row r="9">
          <cell r="C9">
            <v>2</v>
          </cell>
          <cell r="H9">
            <v>5.25</v>
          </cell>
        </row>
        <row r="10">
          <cell r="C10">
            <v>1.5</v>
          </cell>
          <cell r="H10">
            <v>6.55</v>
          </cell>
        </row>
        <row r="11">
          <cell r="C11">
            <v>3</v>
          </cell>
          <cell r="H11">
            <v>7.8</v>
          </cell>
        </row>
        <row r="12">
          <cell r="C12">
            <v>3.5</v>
          </cell>
          <cell r="H12">
            <v>9.2000000000000011</v>
          </cell>
        </row>
        <row r="13">
          <cell r="C13">
            <v>4</v>
          </cell>
          <cell r="H13">
            <v>10.524999999999999</v>
          </cell>
        </row>
        <row r="18">
          <cell r="C18" t="str">
            <v>IM/A</v>
          </cell>
          <cell r="H18" t="str">
            <v>VH</v>
          </cell>
        </row>
        <row r="20">
          <cell r="C20">
            <v>0.3</v>
          </cell>
          <cell r="H20">
            <v>4.6999999999999993</v>
          </cell>
        </row>
        <row r="21">
          <cell r="C21">
            <v>0.4</v>
          </cell>
          <cell r="H21">
            <v>6.3</v>
          </cell>
        </row>
        <row r="22">
          <cell r="C22">
            <v>0.5</v>
          </cell>
          <cell r="H22">
            <v>7.9</v>
          </cell>
        </row>
        <row r="23">
          <cell r="C23">
            <v>0.6</v>
          </cell>
          <cell r="H23">
            <v>9.5</v>
          </cell>
        </row>
        <row r="24">
          <cell r="C24">
            <v>0.7</v>
          </cell>
          <cell r="H24">
            <v>11.1</v>
          </cell>
        </row>
        <row r="27">
          <cell r="E27" t="str">
            <v>X/cm</v>
          </cell>
          <cell r="K27" t="str">
            <v>B/GS</v>
          </cell>
        </row>
        <row r="29">
          <cell r="E29">
            <v>14</v>
          </cell>
          <cell r="K29">
            <v>210.45000000000002</v>
          </cell>
        </row>
        <row r="30">
          <cell r="E30">
            <v>13.5</v>
          </cell>
          <cell r="K30">
            <v>311.36250000000001</v>
          </cell>
        </row>
        <row r="31">
          <cell r="E31">
            <v>13</v>
          </cell>
          <cell r="K31">
            <v>370.87500000000006</v>
          </cell>
        </row>
        <row r="32">
          <cell r="E32">
            <v>12.5</v>
          </cell>
          <cell r="K32">
            <v>397.6124999999999</v>
          </cell>
        </row>
        <row r="33">
          <cell r="E33">
            <v>12</v>
          </cell>
          <cell r="K33">
            <v>411.41250000000002</v>
          </cell>
        </row>
        <row r="34">
          <cell r="E34">
            <v>9</v>
          </cell>
          <cell r="K34">
            <v>426.07499999999999</v>
          </cell>
        </row>
        <row r="35">
          <cell r="E35">
            <v>6</v>
          </cell>
          <cell r="K35">
            <v>427.79999999999995</v>
          </cell>
        </row>
        <row r="36">
          <cell r="E36">
            <v>3</v>
          </cell>
          <cell r="K36">
            <v>429.52499999999998</v>
          </cell>
        </row>
        <row r="37">
          <cell r="E37">
            <v>0</v>
          </cell>
          <cell r="K37">
            <v>428.66250000000002</v>
          </cell>
        </row>
        <row r="38">
          <cell r="E38">
            <v>-3</v>
          </cell>
          <cell r="K38">
            <v>430.38749999999999</v>
          </cell>
        </row>
        <row r="39">
          <cell r="E39">
            <v>-6</v>
          </cell>
          <cell r="K39">
            <v>428.66250000000002</v>
          </cell>
        </row>
        <row r="40">
          <cell r="E40">
            <v>-9</v>
          </cell>
          <cell r="K40">
            <v>428.66249999999997</v>
          </cell>
        </row>
        <row r="41">
          <cell r="E41">
            <v>-12</v>
          </cell>
          <cell r="K41">
            <v>411.41249999999997</v>
          </cell>
        </row>
        <row r="42">
          <cell r="E42">
            <v>-12.5</v>
          </cell>
          <cell r="K42">
            <v>400.20000000000005</v>
          </cell>
        </row>
        <row r="43">
          <cell r="E43">
            <v>-13</v>
          </cell>
          <cell r="K43">
            <v>369.15000000000003</v>
          </cell>
        </row>
        <row r="44">
          <cell r="E44">
            <v>-13.5</v>
          </cell>
          <cell r="K44">
            <v>309.63749999999993</v>
          </cell>
        </row>
        <row r="45">
          <cell r="E45">
            <v>-14</v>
          </cell>
          <cell r="K45">
            <v>205.27499999999998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75" zoomScaleNormal="75" workbookViewId="0">
      <selection activeCell="D48" sqref="D48:F48"/>
    </sheetView>
  </sheetViews>
  <sheetFormatPr defaultRowHeight="13.9"/>
  <cols>
    <col min="1" max="1" width="2.265625" bestFit="1" customWidth="1"/>
    <col min="2" max="2" width="9.06640625" bestFit="1" customWidth="1"/>
    <col min="3" max="3" width="11.06640625" bestFit="1" customWidth="1"/>
    <col min="4" max="4" width="7.59765625" customWidth="1"/>
    <col min="5" max="10" width="7.5976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4</v>
      </c>
      <c r="G1" s="1" t="s">
        <v>6</v>
      </c>
    </row>
    <row r="2" spans="1:7">
      <c r="A2">
        <v>1</v>
      </c>
      <c r="B2" s="11"/>
      <c r="C2" s="12"/>
      <c r="D2" s="5">
        <f>B2-C2</f>
        <v>0</v>
      </c>
      <c r="E2" s="15">
        <f>AVERAGE(D2:D7)</f>
        <v>0</v>
      </c>
      <c r="F2" s="6">
        <f>D2-$E$2</f>
        <v>0</v>
      </c>
      <c r="G2">
        <f>ABS(F2)</f>
        <v>0</v>
      </c>
    </row>
    <row r="3" spans="1:7">
      <c r="A3">
        <v>2</v>
      </c>
      <c r="B3" s="11"/>
      <c r="C3" s="12"/>
      <c r="D3" s="5">
        <f t="shared" ref="D3:D7" si="0">B3-C3</f>
        <v>0</v>
      </c>
      <c r="E3" s="15"/>
      <c r="F3" s="6">
        <f t="shared" ref="F3:F7" si="1">D3-$E$2</f>
        <v>0</v>
      </c>
      <c r="G3">
        <f t="shared" ref="G3:G7" si="2">ABS(F3)</f>
        <v>0</v>
      </c>
    </row>
    <row r="4" spans="1:7">
      <c r="A4">
        <v>3</v>
      </c>
      <c r="B4" s="11"/>
      <c r="C4" s="12"/>
      <c r="D4" s="5">
        <f t="shared" si="0"/>
        <v>0</v>
      </c>
      <c r="E4" s="15"/>
      <c r="F4" s="6">
        <f t="shared" si="1"/>
        <v>0</v>
      </c>
      <c r="G4">
        <f t="shared" si="2"/>
        <v>0</v>
      </c>
    </row>
    <row r="5" spans="1:7">
      <c r="A5">
        <v>4</v>
      </c>
      <c r="B5" s="11"/>
      <c r="C5" s="12"/>
      <c r="D5" s="5">
        <f t="shared" si="0"/>
        <v>0</v>
      </c>
      <c r="E5" s="15"/>
      <c r="F5" s="6">
        <f t="shared" si="1"/>
        <v>0</v>
      </c>
      <c r="G5">
        <f t="shared" si="2"/>
        <v>0</v>
      </c>
    </row>
    <row r="6" spans="1:7">
      <c r="A6">
        <v>5</v>
      </c>
      <c r="B6" s="11"/>
      <c r="C6" s="12"/>
      <c r="D6" s="5">
        <f t="shared" si="0"/>
        <v>0</v>
      </c>
      <c r="E6" s="15"/>
      <c r="F6" s="6">
        <f t="shared" si="1"/>
        <v>0</v>
      </c>
      <c r="G6">
        <f t="shared" si="2"/>
        <v>0</v>
      </c>
    </row>
    <row r="7" spans="1:7">
      <c r="A7">
        <v>6</v>
      </c>
      <c r="B7" s="11"/>
      <c r="C7" s="12"/>
      <c r="D7" s="5">
        <f t="shared" si="0"/>
        <v>0</v>
      </c>
      <c r="E7" s="15"/>
      <c r="F7" s="6">
        <f t="shared" si="1"/>
        <v>0</v>
      </c>
      <c r="G7">
        <f t="shared" si="2"/>
        <v>0</v>
      </c>
    </row>
    <row r="8" spans="1:7">
      <c r="B8" s="6" t="e">
        <f t="shared" ref="B8" si="3">AVERAGE(B2:B7)</f>
        <v>#DIV/0!</v>
      </c>
      <c r="C8" s="6" t="e">
        <f t="shared" ref="C8" si="4">AVERAGE(C2:C7)</f>
        <v>#DIV/0!</v>
      </c>
      <c r="D8" s="6">
        <f t="shared" ref="D8" si="5">AVERAGE(D2:D7)</f>
        <v>0</v>
      </c>
      <c r="E8" s="31"/>
      <c r="F8" s="31"/>
      <c r="G8" s="6">
        <f>AVERAGE(G2:G7)</f>
        <v>0</v>
      </c>
    </row>
    <row r="9" spans="1:7" ht="15">
      <c r="A9" s="29" t="s">
        <v>7</v>
      </c>
      <c r="B9" s="29"/>
      <c r="C9" s="29"/>
      <c r="D9" s="29"/>
      <c r="E9" s="29"/>
      <c r="F9" s="29"/>
      <c r="G9" s="29"/>
    </row>
    <row r="12" spans="1:7">
      <c r="A12" t="s">
        <v>0</v>
      </c>
      <c r="B12" s="8" t="s">
        <v>8</v>
      </c>
      <c r="C12" s="8" t="s">
        <v>9</v>
      </c>
      <c r="E12" s="8" t="s">
        <v>8</v>
      </c>
      <c r="F12" s="8" t="s">
        <v>9</v>
      </c>
    </row>
    <row r="13" spans="1:7">
      <c r="A13">
        <v>1</v>
      </c>
      <c r="B13" s="9"/>
      <c r="C13" s="9"/>
      <c r="E13" s="9"/>
      <c r="F13" s="9"/>
    </row>
    <row r="14" spans="1:7">
      <c r="A14">
        <v>2</v>
      </c>
      <c r="B14" s="9"/>
      <c r="C14" s="9"/>
      <c r="E14" s="9"/>
      <c r="F14" s="9"/>
    </row>
    <row r="15" spans="1:7">
      <c r="A15">
        <v>3</v>
      </c>
      <c r="B15" s="9"/>
      <c r="C15" s="9"/>
      <c r="E15" s="9"/>
      <c r="F15" s="9"/>
    </row>
    <row r="16" spans="1:7">
      <c r="A16">
        <v>4</v>
      </c>
      <c r="B16" s="9"/>
      <c r="C16" s="9"/>
      <c r="E16" s="9"/>
      <c r="F16" s="9"/>
    </row>
    <row r="17" spans="1:10">
      <c r="A17">
        <v>5</v>
      </c>
      <c r="B17" s="10"/>
      <c r="C17" s="10"/>
      <c r="E17" s="10"/>
      <c r="F17" s="10"/>
    </row>
    <row r="18" spans="1:10">
      <c r="A18">
        <v>6</v>
      </c>
      <c r="B18" s="10"/>
      <c r="C18" s="10"/>
      <c r="E18" s="10"/>
      <c r="F18" s="10"/>
    </row>
    <row r="21" spans="1:10">
      <c r="A21" t="s">
        <v>0</v>
      </c>
      <c r="B21" t="s">
        <v>10</v>
      </c>
      <c r="E21" t="s">
        <v>11</v>
      </c>
      <c r="G21" t="s">
        <v>12</v>
      </c>
      <c r="H21" t="s">
        <v>5</v>
      </c>
      <c r="I21" s="1" t="s">
        <v>13</v>
      </c>
      <c r="J21" s="1" t="s">
        <v>14</v>
      </c>
    </row>
    <row r="22" spans="1:10">
      <c r="A22">
        <v>1</v>
      </c>
      <c r="B22" s="7">
        <f>ABS(B13-C13)</f>
        <v>0</v>
      </c>
      <c r="E22" s="7">
        <f t="shared" ref="E22:E27" si="6">ABS(E13-F13)</f>
        <v>0</v>
      </c>
      <c r="G22" s="4" t="e">
        <f>(B22^2-E22^2)/(4*B22)</f>
        <v>#DIV/0!</v>
      </c>
      <c r="H22" s="14" t="e">
        <f>AVERAGE(G22:G27)</f>
        <v>#DIV/0!</v>
      </c>
      <c r="I22" s="4" t="e">
        <f t="shared" ref="I22:I27" si="7">G22-$H$22</f>
        <v>#DIV/0!</v>
      </c>
      <c r="J22" t="e">
        <f t="shared" ref="J22:J27" si="8">ABS(I22)</f>
        <v>#DIV/0!</v>
      </c>
    </row>
    <row r="23" spans="1:10">
      <c r="A23">
        <v>2</v>
      </c>
      <c r="B23" s="7">
        <f t="shared" ref="B23:B27" si="9">ABS(B14-C14)</f>
        <v>0</v>
      </c>
      <c r="E23" s="7">
        <f t="shared" si="6"/>
        <v>0</v>
      </c>
      <c r="G23" s="4" t="e">
        <f t="shared" ref="G23:G27" si="10">(B23^2-E23^2)/(4*B23)</f>
        <v>#DIV/0!</v>
      </c>
      <c r="H23" s="14"/>
      <c r="I23" s="4" t="e">
        <f t="shared" si="7"/>
        <v>#DIV/0!</v>
      </c>
      <c r="J23" t="e">
        <f t="shared" si="8"/>
        <v>#DIV/0!</v>
      </c>
    </row>
    <row r="24" spans="1:10">
      <c r="A24">
        <v>3</v>
      </c>
      <c r="B24" s="7">
        <f t="shared" si="9"/>
        <v>0</v>
      </c>
      <c r="E24" s="7">
        <f t="shared" si="6"/>
        <v>0</v>
      </c>
      <c r="G24" s="4" t="e">
        <f t="shared" si="10"/>
        <v>#DIV/0!</v>
      </c>
      <c r="H24" s="14"/>
      <c r="I24" s="4" t="e">
        <f t="shared" si="7"/>
        <v>#DIV/0!</v>
      </c>
      <c r="J24" t="e">
        <f t="shared" si="8"/>
        <v>#DIV/0!</v>
      </c>
    </row>
    <row r="25" spans="1:10">
      <c r="A25">
        <v>4</v>
      </c>
      <c r="B25" s="7">
        <f t="shared" si="9"/>
        <v>0</v>
      </c>
      <c r="E25" s="7">
        <f t="shared" si="6"/>
        <v>0</v>
      </c>
      <c r="G25" s="4" t="e">
        <f t="shared" si="10"/>
        <v>#DIV/0!</v>
      </c>
      <c r="H25" s="14"/>
      <c r="I25" s="4" t="e">
        <f t="shared" si="7"/>
        <v>#DIV/0!</v>
      </c>
      <c r="J25" t="e">
        <f t="shared" si="8"/>
        <v>#DIV/0!</v>
      </c>
    </row>
    <row r="26" spans="1:10">
      <c r="A26">
        <v>5</v>
      </c>
      <c r="B26" s="7">
        <f t="shared" si="9"/>
        <v>0</v>
      </c>
      <c r="E26" s="7">
        <f t="shared" si="6"/>
        <v>0</v>
      </c>
      <c r="G26" s="4" t="e">
        <f t="shared" si="10"/>
        <v>#DIV/0!</v>
      </c>
      <c r="H26" s="14"/>
      <c r="I26" s="4" t="e">
        <f t="shared" si="7"/>
        <v>#DIV/0!</v>
      </c>
      <c r="J26" t="e">
        <f t="shared" si="8"/>
        <v>#DIV/0!</v>
      </c>
    </row>
    <row r="27" spans="1:10">
      <c r="A27">
        <v>6</v>
      </c>
      <c r="B27" s="7">
        <f t="shared" si="9"/>
        <v>0</v>
      </c>
      <c r="E27" s="7">
        <f t="shared" si="6"/>
        <v>0</v>
      </c>
      <c r="G27" s="4" t="e">
        <f t="shared" si="10"/>
        <v>#DIV/0!</v>
      </c>
      <c r="H27" s="14"/>
      <c r="I27" s="4" t="e">
        <f t="shared" si="7"/>
        <v>#DIV/0!</v>
      </c>
      <c r="J27" t="e">
        <f t="shared" si="8"/>
        <v>#DIV/0!</v>
      </c>
    </row>
    <row r="28" spans="1:10">
      <c r="B28" s="4">
        <f t="shared" ref="B28:E28" si="11">AVERAGE(B22:B27)</f>
        <v>0</v>
      </c>
      <c r="C28" s="30"/>
      <c r="D28" s="30"/>
      <c r="E28" s="4">
        <f t="shared" si="11"/>
        <v>0</v>
      </c>
      <c r="F28" s="30"/>
      <c r="G28" s="30"/>
      <c r="H28" s="30"/>
      <c r="I28" s="30"/>
      <c r="J28" s="2" t="e">
        <f>AVERAGE(J22:J27)</f>
        <v>#DIV/0!</v>
      </c>
    </row>
    <row r="29" spans="1:10" ht="15">
      <c r="A29" s="29" t="s">
        <v>15</v>
      </c>
      <c r="B29" s="29"/>
      <c r="C29" s="29"/>
      <c r="D29" s="29"/>
      <c r="E29" s="29"/>
      <c r="F29" s="29"/>
      <c r="G29" s="29"/>
      <c r="H29" s="29"/>
      <c r="I29" s="29"/>
      <c r="J29" s="29"/>
    </row>
    <row r="32" spans="1:10">
      <c r="A32" t="s">
        <v>0</v>
      </c>
      <c r="B32" s="8" t="s">
        <v>16</v>
      </c>
      <c r="C32" s="8" t="s">
        <v>17</v>
      </c>
      <c r="D32" s="8" t="s">
        <v>18</v>
      </c>
    </row>
    <row r="33" spans="1:7">
      <c r="A33">
        <v>1</v>
      </c>
      <c r="B33" s="13"/>
      <c r="C33" s="13"/>
      <c r="D33" s="13"/>
    </row>
    <row r="34" spans="1:7">
      <c r="A34">
        <v>2</v>
      </c>
      <c r="B34" s="13"/>
      <c r="C34" s="13"/>
      <c r="D34" s="13"/>
    </row>
    <row r="35" spans="1:7">
      <c r="A35">
        <v>3</v>
      </c>
      <c r="B35" s="13"/>
      <c r="C35" s="13"/>
      <c r="D35" s="13"/>
    </row>
    <row r="36" spans="1:7">
      <c r="A36">
        <v>4</v>
      </c>
      <c r="B36" s="13"/>
      <c r="C36" s="13"/>
      <c r="D36" s="13"/>
    </row>
    <row r="37" spans="1:7">
      <c r="A37">
        <v>5</v>
      </c>
      <c r="B37" s="8"/>
      <c r="C37" s="8"/>
      <c r="D37" s="8"/>
    </row>
    <row r="38" spans="1:7">
      <c r="A38">
        <v>6</v>
      </c>
      <c r="B38" s="8"/>
      <c r="C38" s="8"/>
      <c r="D38" s="8"/>
    </row>
    <row r="41" spans="1:7">
      <c r="A41" t="s">
        <v>0</v>
      </c>
      <c r="B41" t="s">
        <v>19</v>
      </c>
      <c r="C41" t="s">
        <v>20</v>
      </c>
      <c r="D41" t="s">
        <v>21</v>
      </c>
      <c r="E41" t="s">
        <v>5</v>
      </c>
      <c r="F41" s="1" t="s">
        <v>13</v>
      </c>
      <c r="G41" s="1" t="s">
        <v>14</v>
      </c>
    </row>
    <row r="42" spans="1:7">
      <c r="A42">
        <v>1</v>
      </c>
      <c r="B42" s="7">
        <f>-ABS(B33-C33)</f>
        <v>0</v>
      </c>
      <c r="C42" s="7">
        <f>ABS(D33-C33)</f>
        <v>0</v>
      </c>
      <c r="D42" s="4" t="e">
        <f>(B42*C42)/(B42+C42)</f>
        <v>#DIV/0!</v>
      </c>
      <c r="E42" s="14" t="e">
        <f>AVERAGE(D42:D47)</f>
        <v>#DIV/0!</v>
      </c>
      <c r="F42" s="4" t="e">
        <f t="shared" ref="F42:F47" si="12">D42-$E$42</f>
        <v>#DIV/0!</v>
      </c>
      <c r="G42" s="3" t="e">
        <f>ABS(F42)</f>
        <v>#DIV/0!</v>
      </c>
    </row>
    <row r="43" spans="1:7">
      <c r="A43">
        <v>2</v>
      </c>
      <c r="B43" s="7">
        <f t="shared" ref="B43:B47" si="13">-ABS(B34-C34)</f>
        <v>0</v>
      </c>
      <c r="C43" s="7">
        <f t="shared" ref="C43:C47" si="14">ABS(D34-C34)</f>
        <v>0</v>
      </c>
      <c r="D43" s="4" t="e">
        <f t="shared" ref="D43:D47" si="15">(B43*C43)/(B43+C43)</f>
        <v>#DIV/0!</v>
      </c>
      <c r="E43" s="14"/>
      <c r="F43" s="4" t="e">
        <f t="shared" si="12"/>
        <v>#DIV/0!</v>
      </c>
      <c r="G43" s="3" t="e">
        <f t="shared" ref="G43:G47" si="16">ABS(F43)</f>
        <v>#DIV/0!</v>
      </c>
    </row>
    <row r="44" spans="1:7">
      <c r="A44">
        <v>3</v>
      </c>
      <c r="B44" s="7">
        <f t="shared" si="13"/>
        <v>0</v>
      </c>
      <c r="C44" s="7">
        <f t="shared" si="14"/>
        <v>0</v>
      </c>
      <c r="D44" s="4" t="e">
        <f t="shared" si="15"/>
        <v>#DIV/0!</v>
      </c>
      <c r="E44" s="14"/>
      <c r="F44" s="4" t="e">
        <f t="shared" si="12"/>
        <v>#DIV/0!</v>
      </c>
      <c r="G44" s="3" t="e">
        <f t="shared" si="16"/>
        <v>#DIV/0!</v>
      </c>
    </row>
    <row r="45" spans="1:7">
      <c r="A45">
        <v>4</v>
      </c>
      <c r="B45" s="7">
        <f t="shared" si="13"/>
        <v>0</v>
      </c>
      <c r="C45" s="7">
        <f t="shared" si="14"/>
        <v>0</v>
      </c>
      <c r="D45" s="4" t="e">
        <f t="shared" si="15"/>
        <v>#DIV/0!</v>
      </c>
      <c r="E45" s="14"/>
      <c r="F45" s="4" t="e">
        <f t="shared" si="12"/>
        <v>#DIV/0!</v>
      </c>
      <c r="G45" s="3" t="e">
        <f t="shared" si="16"/>
        <v>#DIV/0!</v>
      </c>
    </row>
    <row r="46" spans="1:7">
      <c r="A46">
        <v>5</v>
      </c>
      <c r="B46" s="7">
        <f t="shared" si="13"/>
        <v>0</v>
      </c>
      <c r="C46" s="7">
        <f t="shared" si="14"/>
        <v>0</v>
      </c>
      <c r="D46" s="4" t="e">
        <f t="shared" si="15"/>
        <v>#DIV/0!</v>
      </c>
      <c r="E46" s="14"/>
      <c r="F46" s="4" t="e">
        <f t="shared" si="12"/>
        <v>#DIV/0!</v>
      </c>
      <c r="G46" s="3" t="e">
        <f t="shared" si="16"/>
        <v>#DIV/0!</v>
      </c>
    </row>
    <row r="47" spans="1:7">
      <c r="A47">
        <v>6</v>
      </c>
      <c r="B47" s="7">
        <f t="shared" si="13"/>
        <v>0</v>
      </c>
      <c r="C47" s="7">
        <f t="shared" si="14"/>
        <v>0</v>
      </c>
      <c r="D47" s="4" t="e">
        <f t="shared" si="15"/>
        <v>#DIV/0!</v>
      </c>
      <c r="E47" s="14"/>
      <c r="F47" s="4" t="e">
        <f t="shared" si="12"/>
        <v>#DIV/0!</v>
      </c>
      <c r="G47" s="3" t="e">
        <f t="shared" si="16"/>
        <v>#DIV/0!</v>
      </c>
    </row>
    <row r="48" spans="1:7">
      <c r="B48" s="4">
        <f t="shared" ref="B48:C48" si="17">AVERAGE(B42:B47)</f>
        <v>0</v>
      </c>
      <c r="C48" s="4">
        <f t="shared" si="17"/>
        <v>0</v>
      </c>
      <c r="D48" s="32"/>
      <c r="E48" s="32"/>
      <c r="F48" s="32"/>
      <c r="G48" s="4" t="e">
        <f>AVERAGE(G42:G47)</f>
        <v>#DIV/0!</v>
      </c>
    </row>
    <row r="49" spans="1:7" ht="15">
      <c r="A49" s="29" t="s">
        <v>22</v>
      </c>
      <c r="B49" s="29"/>
      <c r="C49" s="29"/>
      <c r="D49" s="29"/>
      <c r="E49" s="29"/>
      <c r="F49" s="29"/>
      <c r="G49" s="29"/>
    </row>
  </sheetData>
  <mergeCells count="10">
    <mergeCell ref="E42:E47"/>
    <mergeCell ref="A49:G49"/>
    <mergeCell ref="E2:E7"/>
    <mergeCell ref="A9:G9"/>
    <mergeCell ref="H22:H27"/>
    <mergeCell ref="A29:J29"/>
    <mergeCell ref="C28:D28"/>
    <mergeCell ref="F28:I28"/>
    <mergeCell ref="E8:F8"/>
    <mergeCell ref="D48:F4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9"/>
  <sheetViews>
    <sheetView topLeftCell="A7" zoomScale="55" zoomScaleNormal="55" workbookViewId="0">
      <selection activeCell="B4" sqref="B4:C79"/>
    </sheetView>
  </sheetViews>
  <sheetFormatPr defaultRowHeight="13.9"/>
  <cols>
    <col min="1" max="2" width="9.06640625" style="22"/>
    <col min="3" max="3" width="11" style="22" customWidth="1"/>
    <col min="4" max="16384" width="9.06640625" style="22"/>
  </cols>
  <sheetData>
    <row r="2" spans="2:13">
      <c r="E2" s="21" t="s">
        <v>195</v>
      </c>
      <c r="F2" s="21"/>
    </row>
    <row r="3" spans="2:13">
      <c r="B3" s="22" t="s">
        <v>196</v>
      </c>
      <c r="C3" s="22" t="s">
        <v>197</v>
      </c>
      <c r="E3" s="105" t="s">
        <v>198</v>
      </c>
      <c r="F3" s="22" t="s">
        <v>199</v>
      </c>
      <c r="H3" s="33"/>
      <c r="I3" s="33"/>
      <c r="J3" s="33"/>
      <c r="K3" s="33"/>
      <c r="L3" s="33"/>
      <c r="M3" s="33"/>
    </row>
    <row r="4" spans="2:13">
      <c r="B4" s="25"/>
      <c r="C4" s="25"/>
      <c r="E4" s="22">
        <f t="shared" ref="E4:E67" si="0">B4/10</f>
        <v>0</v>
      </c>
      <c r="F4" s="106">
        <f t="shared" ref="F4:F67" si="1">(C4/100)*10^-8</f>
        <v>0</v>
      </c>
      <c r="H4" s="33"/>
      <c r="I4" s="33"/>
      <c r="J4" s="33"/>
      <c r="K4" s="33"/>
      <c r="L4" s="33"/>
      <c r="M4" s="33"/>
    </row>
    <row r="5" spans="2:13">
      <c r="B5" s="25"/>
      <c r="C5" s="25"/>
      <c r="E5" s="22">
        <f t="shared" si="0"/>
        <v>0</v>
      </c>
      <c r="F5" s="106">
        <f t="shared" si="1"/>
        <v>0</v>
      </c>
      <c r="H5" s="33"/>
      <c r="I5" s="33"/>
      <c r="J5" s="33"/>
      <c r="K5" s="33"/>
      <c r="L5" s="33"/>
      <c r="M5" s="33"/>
    </row>
    <row r="6" spans="2:13">
      <c r="B6" s="25"/>
      <c r="C6" s="25"/>
      <c r="E6" s="22">
        <f t="shared" si="0"/>
        <v>0</v>
      </c>
      <c r="F6" s="106">
        <f t="shared" si="1"/>
        <v>0</v>
      </c>
      <c r="H6" s="33"/>
      <c r="I6" s="33"/>
      <c r="J6" s="33"/>
      <c r="K6" s="33"/>
      <c r="L6" s="33"/>
      <c r="M6" s="33"/>
    </row>
    <row r="7" spans="2:13">
      <c r="B7" s="25"/>
      <c r="C7" s="25"/>
      <c r="E7" s="22">
        <f t="shared" si="0"/>
        <v>0</v>
      </c>
      <c r="F7" s="106">
        <f t="shared" si="1"/>
        <v>0</v>
      </c>
      <c r="H7" s="33"/>
      <c r="I7" s="33"/>
      <c r="J7" s="33"/>
      <c r="K7" s="33"/>
      <c r="L7" s="33"/>
      <c r="M7" s="33"/>
    </row>
    <row r="8" spans="2:13">
      <c r="B8" s="25"/>
      <c r="C8" s="25"/>
      <c r="E8" s="22">
        <f t="shared" si="0"/>
        <v>0</v>
      </c>
      <c r="F8" s="106">
        <f t="shared" si="1"/>
        <v>0</v>
      </c>
      <c r="H8" s="33"/>
      <c r="I8" s="33"/>
      <c r="J8" s="33"/>
      <c r="K8" s="33"/>
      <c r="L8" s="33"/>
      <c r="M8" s="33"/>
    </row>
    <row r="9" spans="2:13">
      <c r="B9" s="25"/>
      <c r="C9" s="25"/>
      <c r="E9" s="22">
        <f t="shared" si="0"/>
        <v>0</v>
      </c>
      <c r="F9" s="106">
        <f t="shared" si="1"/>
        <v>0</v>
      </c>
      <c r="H9" s="33"/>
      <c r="I9" s="33"/>
      <c r="J9" s="33"/>
      <c r="K9" s="33"/>
      <c r="L9" s="33"/>
      <c r="M9" s="33"/>
    </row>
    <row r="10" spans="2:13">
      <c r="B10" s="25"/>
      <c r="C10" s="25"/>
      <c r="E10" s="22">
        <f t="shared" si="0"/>
        <v>0</v>
      </c>
      <c r="F10" s="106">
        <f t="shared" si="1"/>
        <v>0</v>
      </c>
      <c r="H10" s="33"/>
      <c r="I10" s="33"/>
      <c r="J10" s="33"/>
      <c r="K10" s="33"/>
      <c r="L10" s="33"/>
      <c r="M10" s="33"/>
    </row>
    <row r="11" spans="2:13">
      <c r="B11" s="25"/>
      <c r="C11" s="25"/>
      <c r="E11" s="22">
        <f t="shared" si="0"/>
        <v>0</v>
      </c>
      <c r="F11" s="106">
        <f t="shared" si="1"/>
        <v>0</v>
      </c>
      <c r="H11" s="33"/>
      <c r="I11" s="33"/>
      <c r="J11" s="33"/>
      <c r="K11" s="33"/>
      <c r="L11" s="33"/>
      <c r="M11" s="33"/>
    </row>
    <row r="12" spans="2:13">
      <c r="B12" s="25"/>
      <c r="C12" s="25"/>
      <c r="E12" s="22">
        <f t="shared" si="0"/>
        <v>0</v>
      </c>
      <c r="F12" s="106">
        <f t="shared" si="1"/>
        <v>0</v>
      </c>
      <c r="H12" s="33"/>
      <c r="I12" s="33"/>
      <c r="J12" s="33"/>
      <c r="K12" s="33"/>
      <c r="L12" s="33"/>
      <c r="M12" s="33"/>
    </row>
    <row r="13" spans="2:13">
      <c r="B13" s="25"/>
      <c r="C13" s="25"/>
      <c r="E13" s="22">
        <f t="shared" si="0"/>
        <v>0</v>
      </c>
      <c r="F13" s="106">
        <f t="shared" si="1"/>
        <v>0</v>
      </c>
      <c r="H13" s="33"/>
      <c r="I13" s="33"/>
      <c r="J13" s="33"/>
      <c r="K13" s="33"/>
      <c r="L13" s="33"/>
      <c r="M13" s="33"/>
    </row>
    <row r="14" spans="2:13">
      <c r="B14" s="25"/>
      <c r="C14" s="25"/>
      <c r="E14" s="22">
        <f t="shared" si="0"/>
        <v>0</v>
      </c>
      <c r="F14" s="106">
        <f t="shared" si="1"/>
        <v>0</v>
      </c>
      <c r="H14" s="33"/>
      <c r="I14" s="33"/>
      <c r="J14" s="33"/>
      <c r="K14" s="33"/>
      <c r="L14" s="33"/>
      <c r="M14" s="33"/>
    </row>
    <row r="15" spans="2:13">
      <c r="B15" s="25"/>
      <c r="C15" s="25"/>
      <c r="E15" s="22">
        <f t="shared" si="0"/>
        <v>0</v>
      </c>
      <c r="F15" s="106">
        <f t="shared" si="1"/>
        <v>0</v>
      </c>
      <c r="H15" s="33"/>
      <c r="I15" s="33"/>
      <c r="J15" s="33"/>
      <c r="K15" s="33"/>
      <c r="L15" s="33"/>
      <c r="M15" s="33"/>
    </row>
    <row r="16" spans="2:13">
      <c r="B16" s="25"/>
      <c r="C16" s="25"/>
      <c r="E16" s="22">
        <f t="shared" si="0"/>
        <v>0</v>
      </c>
      <c r="F16" s="106">
        <f t="shared" si="1"/>
        <v>0</v>
      </c>
      <c r="H16" s="33"/>
      <c r="I16" s="33"/>
      <c r="J16" s="33"/>
      <c r="K16" s="33"/>
      <c r="L16" s="33"/>
      <c r="M16" s="33"/>
    </row>
    <row r="17" spans="2:13">
      <c r="B17" s="25"/>
      <c r="C17" s="25"/>
      <c r="E17" s="22">
        <f t="shared" si="0"/>
        <v>0</v>
      </c>
      <c r="F17" s="106">
        <f t="shared" si="1"/>
        <v>0</v>
      </c>
      <c r="H17" s="33"/>
      <c r="I17" s="33"/>
      <c r="J17" s="33"/>
      <c r="K17" s="33"/>
      <c r="L17" s="33"/>
      <c r="M17" s="33"/>
    </row>
    <row r="18" spans="2:13">
      <c r="B18" s="25"/>
      <c r="C18" s="25"/>
      <c r="E18" s="22">
        <f t="shared" si="0"/>
        <v>0</v>
      </c>
      <c r="F18" s="106">
        <f t="shared" si="1"/>
        <v>0</v>
      </c>
      <c r="H18" s="33"/>
      <c r="I18" s="33"/>
      <c r="J18" s="33"/>
      <c r="K18" s="33"/>
      <c r="L18" s="33"/>
      <c r="M18" s="33"/>
    </row>
    <row r="19" spans="2:13">
      <c r="B19" s="25"/>
      <c r="C19" s="25"/>
      <c r="E19" s="22">
        <f t="shared" si="0"/>
        <v>0</v>
      </c>
      <c r="F19" s="106">
        <f t="shared" si="1"/>
        <v>0</v>
      </c>
      <c r="H19" s="33"/>
      <c r="I19" s="33"/>
      <c r="J19" s="33"/>
      <c r="K19" s="33"/>
      <c r="L19" s="33"/>
      <c r="M19" s="33"/>
    </row>
    <row r="20" spans="2:13">
      <c r="B20" s="25"/>
      <c r="C20" s="25"/>
      <c r="E20" s="22">
        <f t="shared" si="0"/>
        <v>0</v>
      </c>
      <c r="F20" s="106">
        <f t="shared" si="1"/>
        <v>0</v>
      </c>
      <c r="H20" s="33"/>
      <c r="I20" s="33"/>
      <c r="J20" s="33"/>
      <c r="K20" s="33"/>
      <c r="L20" s="33"/>
      <c r="M20" s="33"/>
    </row>
    <row r="21" spans="2:13">
      <c r="B21" s="25"/>
      <c r="C21" s="25"/>
      <c r="E21" s="22">
        <f t="shared" si="0"/>
        <v>0</v>
      </c>
      <c r="F21" s="106">
        <f t="shared" si="1"/>
        <v>0</v>
      </c>
      <c r="H21" s="33"/>
      <c r="I21" s="33"/>
      <c r="J21" s="33"/>
      <c r="K21" s="33"/>
      <c r="L21" s="33"/>
      <c r="M21" s="33"/>
    </row>
    <row r="22" spans="2:13">
      <c r="B22" s="25"/>
      <c r="C22" s="25"/>
      <c r="E22" s="22">
        <f t="shared" si="0"/>
        <v>0</v>
      </c>
      <c r="F22" s="106">
        <f t="shared" si="1"/>
        <v>0</v>
      </c>
      <c r="H22" s="33"/>
      <c r="I22" s="33"/>
      <c r="J22" s="33"/>
      <c r="K22" s="33"/>
      <c r="L22" s="33"/>
      <c r="M22" s="33"/>
    </row>
    <row r="23" spans="2:13">
      <c r="B23" s="25"/>
      <c r="C23" s="25"/>
      <c r="E23" s="22">
        <f t="shared" si="0"/>
        <v>0</v>
      </c>
      <c r="F23" s="106">
        <f t="shared" si="1"/>
        <v>0</v>
      </c>
      <c r="H23" s="33"/>
      <c r="I23" s="33"/>
      <c r="J23" s="33"/>
      <c r="K23" s="33"/>
      <c r="L23" s="33"/>
      <c r="M23" s="33"/>
    </row>
    <row r="24" spans="2:13">
      <c r="B24" s="25"/>
      <c r="C24" s="25"/>
      <c r="E24" s="22">
        <f t="shared" si="0"/>
        <v>0</v>
      </c>
      <c r="F24" s="106">
        <f t="shared" si="1"/>
        <v>0</v>
      </c>
      <c r="H24" s="33"/>
      <c r="I24" s="33"/>
      <c r="J24" s="33"/>
      <c r="K24" s="33"/>
      <c r="L24" s="33"/>
      <c r="M24" s="33"/>
    </row>
    <row r="25" spans="2:13">
      <c r="B25" s="25"/>
      <c r="C25" s="25"/>
      <c r="E25" s="22">
        <f t="shared" si="0"/>
        <v>0</v>
      </c>
      <c r="F25" s="106">
        <f t="shared" si="1"/>
        <v>0</v>
      </c>
      <c r="H25" s="33"/>
      <c r="I25" s="33"/>
      <c r="J25" s="33"/>
      <c r="K25" s="33"/>
      <c r="L25" s="33"/>
      <c r="M25" s="33"/>
    </row>
    <row r="26" spans="2:13">
      <c r="B26" s="25"/>
      <c r="C26" s="25"/>
      <c r="E26" s="22">
        <f t="shared" si="0"/>
        <v>0</v>
      </c>
      <c r="F26" s="106">
        <f t="shared" si="1"/>
        <v>0</v>
      </c>
      <c r="H26" s="33"/>
      <c r="I26" s="33"/>
      <c r="J26" s="33"/>
      <c r="K26" s="33"/>
      <c r="L26" s="33"/>
      <c r="M26" s="33"/>
    </row>
    <row r="27" spans="2:13">
      <c r="B27" s="25"/>
      <c r="C27" s="25"/>
      <c r="E27" s="22">
        <f t="shared" si="0"/>
        <v>0</v>
      </c>
      <c r="F27" s="106">
        <f t="shared" si="1"/>
        <v>0</v>
      </c>
      <c r="H27" s="33"/>
      <c r="I27" s="33"/>
      <c r="J27" s="33"/>
      <c r="K27" s="33"/>
      <c r="L27" s="33"/>
      <c r="M27" s="33"/>
    </row>
    <row r="28" spans="2:13">
      <c r="B28" s="25"/>
      <c r="C28" s="25"/>
      <c r="E28" s="22">
        <f t="shared" si="0"/>
        <v>0</v>
      </c>
      <c r="F28" s="106">
        <f t="shared" si="1"/>
        <v>0</v>
      </c>
      <c r="H28" s="33"/>
      <c r="I28" s="33"/>
      <c r="J28" s="33"/>
      <c r="K28" s="33"/>
      <c r="L28" s="33"/>
      <c r="M28" s="33"/>
    </row>
    <row r="29" spans="2:13">
      <c r="B29" s="25"/>
      <c r="C29" s="25"/>
      <c r="E29" s="22">
        <f t="shared" si="0"/>
        <v>0</v>
      </c>
      <c r="F29" s="106">
        <f t="shared" si="1"/>
        <v>0</v>
      </c>
      <c r="H29" s="33"/>
      <c r="I29" s="33"/>
      <c r="J29" s="33"/>
      <c r="K29" s="33"/>
      <c r="L29" s="33"/>
      <c r="M29" s="33"/>
    </row>
    <row r="30" spans="2:13">
      <c r="B30" s="25"/>
      <c r="C30" s="25"/>
      <c r="E30" s="22">
        <f t="shared" si="0"/>
        <v>0</v>
      </c>
      <c r="F30" s="106">
        <f t="shared" si="1"/>
        <v>0</v>
      </c>
    </row>
    <row r="31" spans="2:13">
      <c r="B31" s="25"/>
      <c r="C31" s="25"/>
      <c r="E31" s="22">
        <f t="shared" si="0"/>
        <v>0</v>
      </c>
      <c r="F31" s="106">
        <f t="shared" si="1"/>
        <v>0</v>
      </c>
    </row>
    <row r="32" spans="2:13">
      <c r="B32" s="25"/>
      <c r="C32" s="25"/>
      <c r="E32" s="22">
        <f t="shared" si="0"/>
        <v>0</v>
      </c>
      <c r="F32" s="106">
        <f t="shared" si="1"/>
        <v>0</v>
      </c>
    </row>
    <row r="33" spans="2:21">
      <c r="B33" s="25"/>
      <c r="C33" s="25"/>
      <c r="E33" s="22">
        <f t="shared" si="0"/>
        <v>0</v>
      </c>
      <c r="F33" s="106">
        <f t="shared" si="1"/>
        <v>0</v>
      </c>
    </row>
    <row r="34" spans="2:21">
      <c r="B34" s="25"/>
      <c r="C34" s="25"/>
      <c r="E34" s="22">
        <f t="shared" si="0"/>
        <v>0</v>
      </c>
      <c r="F34" s="106">
        <f t="shared" si="1"/>
        <v>0</v>
      </c>
    </row>
    <row r="35" spans="2:21">
      <c r="B35" s="25"/>
      <c r="C35" s="25"/>
      <c r="E35" s="22">
        <f t="shared" si="0"/>
        <v>0</v>
      </c>
      <c r="F35" s="106">
        <f t="shared" si="1"/>
        <v>0</v>
      </c>
    </row>
    <row r="36" spans="2:21">
      <c r="B36" s="25"/>
      <c r="C36" s="25"/>
      <c r="E36" s="22">
        <f t="shared" si="0"/>
        <v>0</v>
      </c>
      <c r="F36" s="106">
        <f t="shared" si="1"/>
        <v>0</v>
      </c>
    </row>
    <row r="37" spans="2:21">
      <c r="B37" s="25"/>
      <c r="C37" s="25"/>
      <c r="E37" s="22">
        <f t="shared" si="0"/>
        <v>0</v>
      </c>
      <c r="F37" s="106">
        <f t="shared" si="1"/>
        <v>0</v>
      </c>
    </row>
    <row r="38" spans="2:21">
      <c r="B38" s="25"/>
      <c r="C38" s="25"/>
      <c r="E38" s="22">
        <f t="shared" si="0"/>
        <v>0</v>
      </c>
      <c r="F38" s="106">
        <f t="shared" si="1"/>
        <v>0</v>
      </c>
    </row>
    <row r="39" spans="2:21">
      <c r="B39" s="25"/>
      <c r="C39" s="25"/>
      <c r="E39" s="22">
        <f t="shared" si="0"/>
        <v>0</v>
      </c>
      <c r="F39" s="106">
        <f t="shared" si="1"/>
        <v>0</v>
      </c>
    </row>
    <row r="40" spans="2:21">
      <c r="B40" s="25"/>
      <c r="C40" s="25"/>
      <c r="E40" s="22">
        <f t="shared" si="0"/>
        <v>0</v>
      </c>
      <c r="F40" s="106">
        <f t="shared" si="1"/>
        <v>0</v>
      </c>
    </row>
    <row r="41" spans="2:21">
      <c r="B41" s="25"/>
      <c r="C41" s="25"/>
      <c r="E41" s="22">
        <f t="shared" si="0"/>
        <v>0</v>
      </c>
      <c r="F41" s="106">
        <f t="shared" si="1"/>
        <v>0</v>
      </c>
    </row>
    <row r="42" spans="2:21">
      <c r="B42" s="25"/>
      <c r="C42" s="25"/>
      <c r="E42" s="22">
        <f t="shared" si="0"/>
        <v>0</v>
      </c>
      <c r="F42" s="106">
        <f t="shared" si="1"/>
        <v>0</v>
      </c>
    </row>
    <row r="43" spans="2:21">
      <c r="B43" s="25"/>
      <c r="C43" s="25"/>
      <c r="E43" s="22">
        <f t="shared" si="0"/>
        <v>0</v>
      </c>
      <c r="F43" s="106">
        <f t="shared" si="1"/>
        <v>0</v>
      </c>
    </row>
    <row r="44" spans="2:21">
      <c r="B44" s="25"/>
      <c r="C44" s="25"/>
      <c r="E44" s="22">
        <f t="shared" si="0"/>
        <v>0</v>
      </c>
      <c r="F44" s="106">
        <f t="shared" si="1"/>
        <v>0</v>
      </c>
    </row>
    <row r="45" spans="2:21">
      <c r="B45" s="25"/>
      <c r="C45" s="25"/>
      <c r="E45" s="22">
        <f t="shared" si="0"/>
        <v>0</v>
      </c>
      <c r="F45" s="106">
        <f t="shared" si="1"/>
        <v>0</v>
      </c>
    </row>
    <row r="46" spans="2:21">
      <c r="B46" s="25"/>
      <c r="C46" s="25"/>
      <c r="E46" s="22">
        <f t="shared" si="0"/>
        <v>0</v>
      </c>
      <c r="F46" s="106">
        <f t="shared" si="1"/>
        <v>0</v>
      </c>
    </row>
    <row r="47" spans="2:21">
      <c r="B47" s="25"/>
      <c r="C47" s="25"/>
      <c r="E47" s="22">
        <f t="shared" si="0"/>
        <v>0</v>
      </c>
      <c r="F47" s="106">
        <f t="shared" si="1"/>
        <v>0</v>
      </c>
      <c r="O47" s="22" t="s">
        <v>200</v>
      </c>
      <c r="P47" s="22">
        <v>1</v>
      </c>
      <c r="Q47" s="22">
        <v>2</v>
      </c>
      <c r="R47" s="22">
        <v>3</v>
      </c>
      <c r="S47" s="22">
        <v>4</v>
      </c>
      <c r="T47" s="22">
        <v>5</v>
      </c>
      <c r="U47" s="22">
        <v>6</v>
      </c>
    </row>
    <row r="48" spans="2:21">
      <c r="B48" s="25"/>
      <c r="C48" s="25"/>
      <c r="E48" s="22">
        <f t="shared" si="0"/>
        <v>0</v>
      </c>
      <c r="F48" s="106">
        <f t="shared" si="1"/>
        <v>0</v>
      </c>
      <c r="O48" s="22" t="s">
        <v>201</v>
      </c>
      <c r="P48" s="25">
        <v>29.5</v>
      </c>
      <c r="Q48" s="25">
        <v>39.9</v>
      </c>
      <c r="R48" s="25">
        <v>51.6</v>
      </c>
      <c r="S48" s="25">
        <v>63.4</v>
      </c>
      <c r="T48" s="25">
        <v>75.099999999999994</v>
      </c>
      <c r="U48" s="25">
        <v>87.8</v>
      </c>
    </row>
    <row r="49" spans="2:19">
      <c r="B49" s="25"/>
      <c r="C49" s="25"/>
      <c r="E49" s="22">
        <f t="shared" si="0"/>
        <v>0</v>
      </c>
      <c r="F49" s="106">
        <f t="shared" si="1"/>
        <v>0</v>
      </c>
    </row>
    <row r="50" spans="2:19">
      <c r="B50" s="25"/>
      <c r="C50" s="25"/>
      <c r="E50" s="22">
        <f t="shared" si="0"/>
        <v>0</v>
      </c>
      <c r="F50" s="106">
        <f t="shared" si="1"/>
        <v>0</v>
      </c>
      <c r="O50" s="16" t="s">
        <v>210</v>
      </c>
      <c r="P50" s="22">
        <f>S48-P48</f>
        <v>33.9</v>
      </c>
      <c r="Q50" s="22">
        <f t="shared" ref="Q50:R50" si="2">T48-Q48</f>
        <v>35.199999999999996</v>
      </c>
      <c r="R50" s="22">
        <f t="shared" si="2"/>
        <v>36.199999999999996</v>
      </c>
    </row>
    <row r="51" spans="2:19">
      <c r="B51" s="25"/>
      <c r="C51" s="25"/>
      <c r="E51" s="22">
        <f t="shared" si="0"/>
        <v>0</v>
      </c>
      <c r="F51" s="106">
        <f t="shared" si="1"/>
        <v>0</v>
      </c>
      <c r="O51" s="16"/>
    </row>
    <row r="52" spans="2:19">
      <c r="B52" s="25"/>
      <c r="C52" s="25"/>
      <c r="E52" s="22">
        <f t="shared" si="0"/>
        <v>0</v>
      </c>
      <c r="F52" s="106">
        <f t="shared" si="1"/>
        <v>0</v>
      </c>
      <c r="O52" s="16"/>
      <c r="P52" s="22">
        <f>SUM(P50:R50)/6</f>
        <v>17.549999999999997</v>
      </c>
    </row>
    <row r="53" spans="2:19">
      <c r="B53" s="25"/>
      <c r="C53" s="25"/>
      <c r="E53" s="22">
        <f t="shared" si="0"/>
        <v>0</v>
      </c>
      <c r="F53" s="106">
        <f t="shared" si="1"/>
        <v>0</v>
      </c>
    </row>
    <row r="54" spans="2:19">
      <c r="B54" s="25"/>
      <c r="C54" s="25"/>
      <c r="E54" s="22">
        <f t="shared" si="0"/>
        <v>0</v>
      </c>
      <c r="F54" s="106">
        <f t="shared" si="1"/>
        <v>0</v>
      </c>
      <c r="O54" s="22" t="s">
        <v>202</v>
      </c>
      <c r="P54" s="22" t="s">
        <v>203</v>
      </c>
      <c r="Q54" s="22" t="s">
        <v>204</v>
      </c>
      <c r="R54" s="22" t="s">
        <v>205</v>
      </c>
      <c r="S54" s="22" t="s">
        <v>206</v>
      </c>
    </row>
    <row r="55" spans="2:19">
      <c r="B55" s="25"/>
      <c r="C55" s="25"/>
      <c r="E55" s="22">
        <f t="shared" si="0"/>
        <v>0</v>
      </c>
      <c r="F55" s="106">
        <f t="shared" si="1"/>
        <v>0</v>
      </c>
      <c r="O55" s="106">
        <v>1.5999999999999999E-19</v>
      </c>
      <c r="P55" s="22">
        <v>11.72</v>
      </c>
      <c r="Q55" s="107">
        <v>11.683</v>
      </c>
      <c r="R55" s="106">
        <v>6.6299999999999999E-34</v>
      </c>
      <c r="S55" s="106">
        <v>300000000</v>
      </c>
    </row>
    <row r="56" spans="2:19">
      <c r="B56" s="25"/>
      <c r="C56" s="25"/>
      <c r="E56" s="22">
        <f t="shared" si="0"/>
        <v>0</v>
      </c>
      <c r="F56" s="106">
        <f t="shared" si="1"/>
        <v>0</v>
      </c>
    </row>
    <row r="57" spans="2:19">
      <c r="B57" s="25"/>
      <c r="C57" s="25"/>
      <c r="E57" s="22">
        <f t="shared" si="0"/>
        <v>0</v>
      </c>
      <c r="F57" s="106">
        <f t="shared" si="1"/>
        <v>0</v>
      </c>
      <c r="O57" s="22" t="s">
        <v>207</v>
      </c>
    </row>
    <row r="58" spans="2:19">
      <c r="B58" s="25"/>
      <c r="C58" s="25"/>
      <c r="E58" s="22">
        <f t="shared" si="0"/>
        <v>0</v>
      </c>
      <c r="F58" s="106">
        <f t="shared" si="1"/>
        <v>0</v>
      </c>
      <c r="O58" s="22" t="s">
        <v>208</v>
      </c>
      <c r="P58" s="22" t="s">
        <v>209</v>
      </c>
    </row>
    <row r="59" spans="2:19">
      <c r="B59" s="25"/>
      <c r="C59" s="25"/>
      <c r="E59" s="22">
        <f t="shared" si="0"/>
        <v>0</v>
      </c>
      <c r="F59" s="106">
        <f t="shared" si="1"/>
        <v>0</v>
      </c>
      <c r="O59" s="108">
        <f>($R$55*$S$55/($O$55*P55))*10^9</f>
        <v>106.06868600682594</v>
      </c>
      <c r="P59" s="108">
        <f>($R$55*$S$55/($O$55*Q55))*10^9</f>
        <v>106.40460498159719</v>
      </c>
    </row>
    <row r="60" spans="2:19">
      <c r="B60" s="25"/>
      <c r="C60" s="25"/>
      <c r="E60" s="22">
        <f t="shared" si="0"/>
        <v>0</v>
      </c>
      <c r="F60" s="106">
        <f t="shared" si="1"/>
        <v>0</v>
      </c>
    </row>
    <row r="61" spans="2:19">
      <c r="B61" s="25"/>
      <c r="C61" s="25"/>
      <c r="E61" s="22">
        <f t="shared" si="0"/>
        <v>0</v>
      </c>
      <c r="F61" s="106">
        <f t="shared" si="1"/>
        <v>0</v>
      </c>
    </row>
    <row r="62" spans="2:19">
      <c r="B62" s="25"/>
      <c r="C62" s="25"/>
      <c r="E62" s="22">
        <f t="shared" si="0"/>
        <v>0</v>
      </c>
      <c r="F62" s="106">
        <f t="shared" si="1"/>
        <v>0</v>
      </c>
    </row>
    <row r="63" spans="2:19">
      <c r="B63" s="25"/>
      <c r="C63" s="25"/>
      <c r="E63" s="22">
        <f t="shared" si="0"/>
        <v>0</v>
      </c>
      <c r="F63" s="106">
        <f t="shared" si="1"/>
        <v>0</v>
      </c>
    </row>
    <row r="64" spans="2:19">
      <c r="B64" s="25"/>
      <c r="C64" s="25"/>
      <c r="E64" s="22">
        <f t="shared" si="0"/>
        <v>0</v>
      </c>
      <c r="F64" s="106">
        <f t="shared" si="1"/>
        <v>0</v>
      </c>
    </row>
    <row r="65" spans="2:6">
      <c r="B65" s="25"/>
      <c r="C65" s="25"/>
      <c r="E65" s="22">
        <f t="shared" si="0"/>
        <v>0</v>
      </c>
      <c r="F65" s="106">
        <f t="shared" si="1"/>
        <v>0</v>
      </c>
    </row>
    <row r="66" spans="2:6">
      <c r="B66" s="25"/>
      <c r="C66" s="25"/>
      <c r="E66" s="22">
        <f t="shared" si="0"/>
        <v>0</v>
      </c>
      <c r="F66" s="106">
        <f t="shared" si="1"/>
        <v>0</v>
      </c>
    </row>
    <row r="67" spans="2:6">
      <c r="B67" s="25"/>
      <c r="C67" s="25"/>
      <c r="E67" s="22">
        <f t="shared" si="0"/>
        <v>0</v>
      </c>
      <c r="F67" s="106">
        <f t="shared" si="1"/>
        <v>0</v>
      </c>
    </row>
    <row r="68" spans="2:6">
      <c r="B68" s="25"/>
      <c r="C68" s="25"/>
      <c r="E68" s="22">
        <f t="shared" ref="E68:E79" si="3">B68/10</f>
        <v>0</v>
      </c>
      <c r="F68" s="106">
        <f t="shared" ref="F68:F79" si="4">(C68/100)*10^-8</f>
        <v>0</v>
      </c>
    </row>
    <row r="69" spans="2:6">
      <c r="B69" s="25"/>
      <c r="C69" s="25"/>
      <c r="E69" s="22">
        <f t="shared" si="3"/>
        <v>0</v>
      </c>
      <c r="F69" s="106">
        <f t="shared" si="4"/>
        <v>0</v>
      </c>
    </row>
    <row r="70" spans="2:6">
      <c r="B70" s="25"/>
      <c r="C70" s="25"/>
      <c r="E70" s="22">
        <f t="shared" si="3"/>
        <v>0</v>
      </c>
      <c r="F70" s="106">
        <f t="shared" si="4"/>
        <v>0</v>
      </c>
    </row>
    <row r="71" spans="2:6">
      <c r="B71" s="25"/>
      <c r="C71" s="25"/>
      <c r="E71" s="22">
        <f t="shared" si="3"/>
        <v>0</v>
      </c>
      <c r="F71" s="106">
        <f t="shared" si="4"/>
        <v>0</v>
      </c>
    </row>
    <row r="72" spans="2:6">
      <c r="B72" s="25"/>
      <c r="C72" s="25"/>
      <c r="E72" s="22">
        <f t="shared" si="3"/>
        <v>0</v>
      </c>
      <c r="F72" s="106">
        <f t="shared" si="4"/>
        <v>0</v>
      </c>
    </row>
    <row r="73" spans="2:6">
      <c r="B73" s="25"/>
      <c r="C73" s="25"/>
      <c r="E73" s="22">
        <f t="shared" si="3"/>
        <v>0</v>
      </c>
      <c r="F73" s="106">
        <f t="shared" si="4"/>
        <v>0</v>
      </c>
    </row>
    <row r="74" spans="2:6">
      <c r="B74" s="25"/>
      <c r="C74" s="25"/>
      <c r="E74" s="22">
        <f t="shared" si="3"/>
        <v>0</v>
      </c>
      <c r="F74" s="106">
        <f t="shared" si="4"/>
        <v>0</v>
      </c>
    </row>
    <row r="75" spans="2:6">
      <c r="B75" s="25"/>
      <c r="C75" s="25"/>
      <c r="E75" s="22">
        <f t="shared" si="3"/>
        <v>0</v>
      </c>
      <c r="F75" s="106">
        <f t="shared" si="4"/>
        <v>0</v>
      </c>
    </row>
    <row r="76" spans="2:6">
      <c r="B76" s="25"/>
      <c r="C76" s="25"/>
      <c r="E76" s="22">
        <f t="shared" si="3"/>
        <v>0</v>
      </c>
      <c r="F76" s="106">
        <f t="shared" si="4"/>
        <v>0</v>
      </c>
    </row>
    <row r="77" spans="2:6">
      <c r="B77" s="25"/>
      <c r="C77" s="25"/>
      <c r="E77" s="22">
        <f t="shared" si="3"/>
        <v>0</v>
      </c>
      <c r="F77" s="106">
        <f t="shared" si="4"/>
        <v>0</v>
      </c>
    </row>
    <row r="78" spans="2:6">
      <c r="B78" s="25"/>
      <c r="C78" s="25"/>
      <c r="E78" s="22">
        <f t="shared" si="3"/>
        <v>0</v>
      </c>
      <c r="F78" s="106">
        <f t="shared" si="4"/>
        <v>0</v>
      </c>
    </row>
    <row r="79" spans="2:6">
      <c r="B79" s="25"/>
      <c r="C79" s="25"/>
      <c r="E79" s="22">
        <f t="shared" si="3"/>
        <v>0</v>
      </c>
      <c r="F79" s="106">
        <f t="shared" si="4"/>
        <v>0</v>
      </c>
    </row>
  </sheetData>
  <mergeCells count="2">
    <mergeCell ref="E2:F2"/>
    <mergeCell ref="O50:O5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45"/>
  <sheetViews>
    <sheetView zoomScale="55" zoomScaleNormal="55" workbookViewId="0">
      <selection activeCell="J50" sqref="J50"/>
    </sheetView>
  </sheetViews>
  <sheetFormatPr defaultColWidth="11.53125" defaultRowHeight="15"/>
  <cols>
    <col min="1" max="1" width="9.06640625" style="110" customWidth="1"/>
    <col min="2" max="8" width="11.53125" style="110"/>
    <col min="9" max="9" width="9.53125" style="110" customWidth="1"/>
    <col min="10" max="10" width="12.53125" style="110" customWidth="1"/>
    <col min="11" max="11" width="11.53125" style="110" customWidth="1"/>
    <col min="12" max="12" width="17" style="110" customWidth="1"/>
    <col min="13" max="16384" width="11.53125" style="110"/>
  </cols>
  <sheetData>
    <row r="5" spans="3:12">
      <c r="C5" s="109" t="s">
        <v>211</v>
      </c>
      <c r="D5" s="110" t="s">
        <v>212</v>
      </c>
      <c r="E5" s="110" t="s">
        <v>213</v>
      </c>
      <c r="F5" s="110" t="s">
        <v>214</v>
      </c>
      <c r="G5" s="110" t="s">
        <v>215</v>
      </c>
      <c r="H5" s="109" t="s">
        <v>217</v>
      </c>
      <c r="I5" s="109" t="s">
        <v>219</v>
      </c>
      <c r="J5" s="109" t="s">
        <v>220</v>
      </c>
      <c r="K5" s="109" t="s">
        <v>221</v>
      </c>
      <c r="L5" s="111" t="s">
        <v>222</v>
      </c>
    </row>
    <row r="6" spans="3:12">
      <c r="C6" s="109"/>
      <c r="D6" s="112" t="s">
        <v>223</v>
      </c>
      <c r="E6" s="112" t="s">
        <v>224</v>
      </c>
      <c r="F6" s="112" t="s">
        <v>225</v>
      </c>
      <c r="G6" s="112" t="s">
        <v>226</v>
      </c>
      <c r="H6" s="109"/>
      <c r="I6" s="109"/>
      <c r="J6" s="109"/>
      <c r="K6" s="109"/>
      <c r="L6" s="111">
        <v>3.78</v>
      </c>
    </row>
    <row r="7" spans="3:12">
      <c r="C7" s="113">
        <v>1</v>
      </c>
      <c r="D7" s="135"/>
      <c r="E7" s="135"/>
      <c r="F7" s="135"/>
      <c r="G7" s="135"/>
      <c r="H7" s="113">
        <f>(ABS(D7)+ABS(E7)+ABS(F7)+ABS(G7))/4</f>
        <v>0</v>
      </c>
      <c r="I7" s="114">
        <f>(H7/1000*$L$8/1000)/(C7/1000*$L$6/10*$L$10)</f>
        <v>0</v>
      </c>
      <c r="J7" s="115">
        <f>AVERAGE(I7:I13)</f>
        <v>0</v>
      </c>
      <c r="K7" s="116">
        <f>J7/($L$8/1000)</f>
        <v>0</v>
      </c>
      <c r="L7" s="111" t="s">
        <v>185</v>
      </c>
    </row>
    <row r="8" spans="3:12">
      <c r="C8" s="113">
        <v>1.5</v>
      </c>
      <c r="D8" s="135"/>
      <c r="E8" s="135"/>
      <c r="F8" s="135"/>
      <c r="G8" s="135"/>
      <c r="H8" s="113">
        <f t="shared" ref="H8:H13" si="0">(ABS(D8)+ABS(E8)+ABS(F8)+ABS(G8))/4</f>
        <v>0</v>
      </c>
      <c r="I8" s="114">
        <f t="shared" ref="I8:I13" si="1">(H8/1000*$L$8/1000)/(C8/1000*$L$6/10*$L$10)</f>
        <v>0</v>
      </c>
      <c r="J8" s="115"/>
      <c r="K8" s="116"/>
      <c r="L8" s="111">
        <v>0.5</v>
      </c>
    </row>
    <row r="9" spans="3:12">
      <c r="C9" s="113">
        <v>2</v>
      </c>
      <c r="D9" s="135"/>
      <c r="E9" s="135"/>
      <c r="F9" s="135"/>
      <c r="G9" s="135"/>
      <c r="H9" s="113">
        <f t="shared" si="0"/>
        <v>0</v>
      </c>
      <c r="I9" s="114">
        <f t="shared" si="1"/>
        <v>0</v>
      </c>
      <c r="J9" s="115"/>
      <c r="K9" s="116"/>
      <c r="L9" s="111" t="s">
        <v>227</v>
      </c>
    </row>
    <row r="10" spans="3:12">
      <c r="C10" s="113">
        <v>1.5</v>
      </c>
      <c r="D10" s="135"/>
      <c r="E10" s="135"/>
      <c r="F10" s="135"/>
      <c r="G10" s="135"/>
      <c r="H10" s="113">
        <f t="shared" si="0"/>
        <v>0</v>
      </c>
      <c r="I10" s="114">
        <f t="shared" si="1"/>
        <v>0</v>
      </c>
      <c r="J10" s="115"/>
      <c r="K10" s="116"/>
      <c r="L10" s="111">
        <v>0.5</v>
      </c>
    </row>
    <row r="11" spans="3:12">
      <c r="C11" s="113">
        <v>3</v>
      </c>
      <c r="D11" s="135"/>
      <c r="E11" s="135"/>
      <c r="F11" s="135"/>
      <c r="G11" s="135"/>
      <c r="H11" s="113">
        <f t="shared" si="0"/>
        <v>0</v>
      </c>
      <c r="I11" s="114">
        <f t="shared" si="1"/>
        <v>0</v>
      </c>
      <c r="J11" s="115"/>
      <c r="K11" s="116"/>
    </row>
    <row r="12" spans="3:12">
      <c r="C12" s="113">
        <v>3.5</v>
      </c>
      <c r="D12" s="135"/>
      <c r="E12" s="135"/>
      <c r="F12" s="135"/>
      <c r="G12" s="135"/>
      <c r="H12" s="113">
        <f t="shared" si="0"/>
        <v>0</v>
      </c>
      <c r="I12" s="114">
        <f t="shared" si="1"/>
        <v>0</v>
      </c>
      <c r="J12" s="115"/>
      <c r="K12" s="116"/>
    </row>
    <row r="13" spans="3:12">
      <c r="C13" s="113">
        <v>4</v>
      </c>
      <c r="D13" s="135"/>
      <c r="E13" s="135"/>
      <c r="F13" s="135"/>
      <c r="G13" s="135"/>
      <c r="H13" s="113">
        <f t="shared" si="0"/>
        <v>0</v>
      </c>
      <c r="I13" s="114">
        <f t="shared" si="1"/>
        <v>0</v>
      </c>
      <c r="J13" s="115"/>
      <c r="K13" s="116"/>
    </row>
    <row r="18" spans="3:13">
      <c r="C18" s="109" t="s">
        <v>228</v>
      </c>
      <c r="D18" s="110" t="s">
        <v>229</v>
      </c>
      <c r="E18" s="110" t="s">
        <v>213</v>
      </c>
      <c r="F18" s="110" t="s">
        <v>214</v>
      </c>
      <c r="G18" s="110" t="s">
        <v>215</v>
      </c>
      <c r="H18" s="109" t="s">
        <v>216</v>
      </c>
      <c r="I18" s="109" t="s">
        <v>218</v>
      </c>
      <c r="J18" s="109" t="s">
        <v>220</v>
      </c>
      <c r="K18" s="109" t="s">
        <v>221</v>
      </c>
      <c r="L18" s="111" t="s">
        <v>230</v>
      </c>
    </row>
    <row r="19" spans="3:13">
      <c r="C19" s="109"/>
      <c r="D19" s="112" t="s">
        <v>223</v>
      </c>
      <c r="E19" s="112" t="s">
        <v>224</v>
      </c>
      <c r="F19" s="112" t="s">
        <v>225</v>
      </c>
      <c r="G19" s="112" t="s">
        <v>226</v>
      </c>
      <c r="H19" s="109"/>
      <c r="I19" s="109"/>
      <c r="J19" s="109"/>
      <c r="K19" s="109"/>
      <c r="L19" s="111">
        <v>3.78</v>
      </c>
    </row>
    <row r="20" spans="3:13">
      <c r="C20" s="113">
        <v>0.3</v>
      </c>
      <c r="D20" s="135"/>
      <c r="E20" s="135"/>
      <c r="F20" s="135"/>
      <c r="G20" s="135"/>
      <c r="H20" s="113">
        <f>(ABS(D20)+ABS(E20)+ABS(F20)+ABS(G20))/4</f>
        <v>0</v>
      </c>
      <c r="I20" s="114">
        <f>(H20/1000*$L$21/1000)/($L$23/1000*C20*$L$19/10)</f>
        <v>0</v>
      </c>
      <c r="J20" s="115">
        <f>AVERAGE(I20:I26)</f>
        <v>0</v>
      </c>
      <c r="K20" s="116">
        <f>J20/($L$8/1000)</f>
        <v>0</v>
      </c>
      <c r="L20" s="111" t="s">
        <v>185</v>
      </c>
    </row>
    <row r="21" spans="3:13">
      <c r="C21" s="113">
        <v>0.4</v>
      </c>
      <c r="D21" s="135"/>
      <c r="E21" s="135"/>
      <c r="F21" s="135"/>
      <c r="G21" s="135"/>
      <c r="H21" s="113">
        <f t="shared" ref="H21:H24" si="2">(ABS(D21)+ABS(E21)+ABS(F21)+ABS(G21))/4</f>
        <v>0</v>
      </c>
      <c r="I21" s="114">
        <f>(H21/1000*$L$21/1000)/($L$23/1000*C21*$L$19/10)</f>
        <v>0</v>
      </c>
      <c r="J21" s="115"/>
      <c r="K21" s="116"/>
      <c r="L21" s="111">
        <v>0.5</v>
      </c>
    </row>
    <row r="22" spans="3:13">
      <c r="C22" s="113">
        <v>0.5</v>
      </c>
      <c r="D22" s="135"/>
      <c r="E22" s="135"/>
      <c r="F22" s="135"/>
      <c r="G22" s="135"/>
      <c r="H22" s="113">
        <f t="shared" si="2"/>
        <v>0</v>
      </c>
      <c r="I22" s="114">
        <f>(H22/1000*$L$21/1000)/($L$23/1000*C22*$L$19/10)</f>
        <v>0</v>
      </c>
      <c r="J22" s="115"/>
      <c r="K22" s="116"/>
      <c r="L22" s="111" t="s">
        <v>211</v>
      </c>
    </row>
    <row r="23" spans="3:13">
      <c r="C23" s="113">
        <v>0.6</v>
      </c>
      <c r="D23" s="135"/>
      <c r="E23" s="135"/>
      <c r="F23" s="135"/>
      <c r="G23" s="135"/>
      <c r="H23" s="113">
        <f t="shared" si="2"/>
        <v>0</v>
      </c>
      <c r="I23" s="114">
        <f>(H23/1000*$L$21/1000)/($L$23/1000*C23*$L$19/10)</f>
        <v>0</v>
      </c>
      <c r="J23" s="115"/>
      <c r="K23" s="116"/>
      <c r="L23" s="111">
        <v>3</v>
      </c>
    </row>
    <row r="24" spans="3:13">
      <c r="C24" s="113">
        <v>0.7</v>
      </c>
      <c r="D24" s="135"/>
      <c r="E24" s="135"/>
      <c r="F24" s="135"/>
      <c r="G24" s="135"/>
      <c r="H24" s="113">
        <f t="shared" si="2"/>
        <v>0</v>
      </c>
      <c r="I24" s="114">
        <f>(H24/1000*$L$21/1000)/($L$23/1000*C24*$L$19/10)</f>
        <v>0</v>
      </c>
      <c r="J24" s="115"/>
      <c r="K24" s="116"/>
    </row>
    <row r="25" spans="3:13">
      <c r="J25" s="117"/>
      <c r="K25" s="118"/>
      <c r="L25" s="119" t="s">
        <v>231</v>
      </c>
      <c r="M25" s="119" t="s">
        <v>221</v>
      </c>
    </row>
    <row r="26" spans="3:13">
      <c r="J26" s="117"/>
      <c r="K26" s="118"/>
      <c r="L26" s="120">
        <f>AVERAGE(J7,J20)</f>
        <v>0</v>
      </c>
      <c r="M26" s="121">
        <f>L26/(L21/1000)</f>
        <v>0</v>
      </c>
    </row>
    <row r="27" spans="3:13">
      <c r="C27" s="109" t="s">
        <v>232</v>
      </c>
      <c r="D27" s="109" t="s">
        <v>233</v>
      </c>
      <c r="E27" s="109" t="s">
        <v>234</v>
      </c>
      <c r="F27" s="110" t="s">
        <v>235</v>
      </c>
      <c r="G27" s="110" t="s">
        <v>213</v>
      </c>
      <c r="H27" s="110" t="s">
        <v>214</v>
      </c>
      <c r="I27" s="110" t="s">
        <v>215</v>
      </c>
      <c r="J27" s="109" t="s">
        <v>216</v>
      </c>
      <c r="K27" s="109" t="s">
        <v>236</v>
      </c>
      <c r="L27" s="111" t="s">
        <v>237</v>
      </c>
    </row>
    <row r="28" spans="3:13">
      <c r="C28" s="109"/>
      <c r="D28" s="109"/>
      <c r="E28" s="109"/>
      <c r="F28" s="112" t="s">
        <v>223</v>
      </c>
      <c r="G28" s="112" t="s">
        <v>224</v>
      </c>
      <c r="H28" s="112" t="s">
        <v>225</v>
      </c>
      <c r="I28" s="112" t="s">
        <v>226</v>
      </c>
      <c r="J28" s="109"/>
      <c r="K28" s="109"/>
      <c r="L28" s="111">
        <v>2.0699999999999998</v>
      </c>
    </row>
    <row r="29" spans="3:13">
      <c r="C29" s="122">
        <v>0</v>
      </c>
      <c r="D29" s="122">
        <v>0</v>
      </c>
      <c r="E29" s="122">
        <f>14-SUM(C29:D29)</f>
        <v>14</v>
      </c>
      <c r="F29" s="135"/>
      <c r="G29" s="135"/>
      <c r="H29" s="135"/>
      <c r="I29" s="135"/>
      <c r="J29" s="113">
        <f>(ABS(F29)+ABS(G29)+ABS(H29)+ABS(I29))/4</f>
        <v>0</v>
      </c>
      <c r="K29" s="123">
        <f>$L$28*J29/$L$30*1000</f>
        <v>0</v>
      </c>
      <c r="L29" s="111" t="s">
        <v>211</v>
      </c>
    </row>
    <row r="30" spans="3:13">
      <c r="C30" s="122">
        <v>0.5</v>
      </c>
      <c r="D30" s="122">
        <v>0</v>
      </c>
      <c r="E30" s="122">
        <f t="shared" ref="E30:E45" si="3">14-SUM(C30:D30)</f>
        <v>13.5</v>
      </c>
      <c r="F30" s="135"/>
      <c r="G30" s="135"/>
      <c r="H30" s="135"/>
      <c r="I30" s="135"/>
      <c r="J30" s="113">
        <f t="shared" ref="J30:J45" si="4">(ABS(F30)+ABS(G30)+ABS(H30)+ABS(I30))/4</f>
        <v>0</v>
      </c>
      <c r="K30" s="123">
        <f t="shared" ref="K30:K45" si="5">$L$28*J30/$L$30*1000</f>
        <v>0</v>
      </c>
      <c r="L30" s="111">
        <v>6</v>
      </c>
    </row>
    <row r="31" spans="3:13">
      <c r="C31" s="122">
        <v>1</v>
      </c>
      <c r="D31" s="122">
        <v>0</v>
      </c>
      <c r="E31" s="122">
        <f t="shared" si="3"/>
        <v>13</v>
      </c>
      <c r="F31" s="135"/>
      <c r="G31" s="135"/>
      <c r="H31" s="135"/>
      <c r="I31" s="135"/>
      <c r="J31" s="113">
        <f t="shared" si="4"/>
        <v>0</v>
      </c>
      <c r="K31" s="123">
        <f t="shared" si="5"/>
        <v>0</v>
      </c>
      <c r="L31" s="111" t="s">
        <v>238</v>
      </c>
    </row>
    <row r="32" spans="3:13">
      <c r="C32" s="122">
        <v>1.5</v>
      </c>
      <c r="D32" s="122">
        <v>0</v>
      </c>
      <c r="E32" s="122">
        <f t="shared" si="3"/>
        <v>12.5</v>
      </c>
      <c r="F32" s="135"/>
      <c r="G32" s="135"/>
      <c r="H32" s="135"/>
      <c r="I32" s="135"/>
      <c r="J32" s="113">
        <f t="shared" si="4"/>
        <v>0</v>
      </c>
      <c r="K32" s="123">
        <f t="shared" si="5"/>
        <v>0</v>
      </c>
      <c r="L32" s="111">
        <v>0.6</v>
      </c>
    </row>
    <row r="33" spans="3:11">
      <c r="C33" s="122">
        <v>2</v>
      </c>
      <c r="D33" s="122">
        <v>0</v>
      </c>
      <c r="E33" s="122">
        <f t="shared" si="3"/>
        <v>12</v>
      </c>
      <c r="F33" s="135"/>
      <c r="G33" s="135"/>
      <c r="H33" s="135"/>
      <c r="I33" s="135"/>
      <c r="J33" s="113">
        <f t="shared" si="4"/>
        <v>0</v>
      </c>
      <c r="K33" s="123">
        <f t="shared" si="5"/>
        <v>0</v>
      </c>
    </row>
    <row r="34" spans="3:11">
      <c r="C34" s="122">
        <v>5</v>
      </c>
      <c r="D34" s="122">
        <v>0</v>
      </c>
      <c r="E34" s="122">
        <f t="shared" si="3"/>
        <v>9</v>
      </c>
      <c r="F34" s="135"/>
      <c r="G34" s="135"/>
      <c r="H34" s="135"/>
      <c r="I34" s="135"/>
      <c r="J34" s="113">
        <f t="shared" si="4"/>
        <v>0</v>
      </c>
      <c r="K34" s="123">
        <f t="shared" si="5"/>
        <v>0</v>
      </c>
    </row>
    <row r="35" spans="3:11">
      <c r="C35" s="122">
        <v>8</v>
      </c>
      <c r="D35" s="122">
        <v>0</v>
      </c>
      <c r="E35" s="122">
        <f t="shared" si="3"/>
        <v>6</v>
      </c>
      <c r="F35" s="135"/>
      <c r="G35" s="135"/>
      <c r="H35" s="135"/>
      <c r="I35" s="135"/>
      <c r="J35" s="113">
        <f t="shared" si="4"/>
        <v>0</v>
      </c>
      <c r="K35" s="123">
        <f t="shared" si="5"/>
        <v>0</v>
      </c>
    </row>
    <row r="36" spans="3:11">
      <c r="C36" s="122">
        <v>11</v>
      </c>
      <c r="D36" s="122">
        <v>0</v>
      </c>
      <c r="E36" s="122">
        <f t="shared" si="3"/>
        <v>3</v>
      </c>
      <c r="F36" s="135"/>
      <c r="G36" s="135"/>
      <c r="H36" s="135"/>
      <c r="I36" s="135"/>
      <c r="J36" s="113">
        <f t="shared" si="4"/>
        <v>0</v>
      </c>
      <c r="K36" s="123">
        <f t="shared" si="5"/>
        <v>0</v>
      </c>
    </row>
    <row r="37" spans="3:11">
      <c r="C37" s="122">
        <v>14</v>
      </c>
      <c r="D37" s="122">
        <v>0</v>
      </c>
      <c r="E37" s="122">
        <f t="shared" si="3"/>
        <v>0</v>
      </c>
      <c r="F37" s="135"/>
      <c r="G37" s="135"/>
      <c r="H37" s="135"/>
      <c r="I37" s="135"/>
      <c r="J37" s="113">
        <f t="shared" si="4"/>
        <v>0</v>
      </c>
      <c r="K37" s="123">
        <f t="shared" si="5"/>
        <v>0</v>
      </c>
    </row>
    <row r="38" spans="3:11">
      <c r="C38" s="122">
        <v>14</v>
      </c>
      <c r="D38" s="122">
        <v>3</v>
      </c>
      <c r="E38" s="122">
        <f t="shared" si="3"/>
        <v>-3</v>
      </c>
      <c r="F38" s="135"/>
      <c r="G38" s="135"/>
      <c r="H38" s="135"/>
      <c r="I38" s="135"/>
      <c r="J38" s="113">
        <f t="shared" si="4"/>
        <v>0</v>
      </c>
      <c r="K38" s="123">
        <f t="shared" si="5"/>
        <v>0</v>
      </c>
    </row>
    <row r="39" spans="3:11">
      <c r="C39" s="122">
        <v>14</v>
      </c>
      <c r="D39" s="122">
        <v>6</v>
      </c>
      <c r="E39" s="122">
        <f t="shared" si="3"/>
        <v>-6</v>
      </c>
      <c r="F39" s="135"/>
      <c r="G39" s="135"/>
      <c r="H39" s="135"/>
      <c r="I39" s="135"/>
      <c r="J39" s="113">
        <f t="shared" si="4"/>
        <v>0</v>
      </c>
      <c r="K39" s="123">
        <f t="shared" si="5"/>
        <v>0</v>
      </c>
    </row>
    <row r="40" spans="3:11">
      <c r="C40" s="122">
        <v>14</v>
      </c>
      <c r="D40" s="122">
        <v>9</v>
      </c>
      <c r="E40" s="122">
        <f t="shared" si="3"/>
        <v>-9</v>
      </c>
      <c r="F40" s="135"/>
      <c r="G40" s="135"/>
      <c r="H40" s="135"/>
      <c r="I40" s="135"/>
      <c r="J40" s="113">
        <f t="shared" si="4"/>
        <v>0</v>
      </c>
      <c r="K40" s="123">
        <f t="shared" si="5"/>
        <v>0</v>
      </c>
    </row>
    <row r="41" spans="3:11">
      <c r="C41" s="122">
        <v>14</v>
      </c>
      <c r="D41" s="122">
        <v>12</v>
      </c>
      <c r="E41" s="122">
        <f t="shared" si="3"/>
        <v>-12</v>
      </c>
      <c r="F41" s="135"/>
      <c r="G41" s="135"/>
      <c r="H41" s="135"/>
      <c r="I41" s="135"/>
      <c r="J41" s="113">
        <f t="shared" si="4"/>
        <v>0</v>
      </c>
      <c r="K41" s="123">
        <f t="shared" si="5"/>
        <v>0</v>
      </c>
    </row>
    <row r="42" spans="3:11">
      <c r="C42" s="122">
        <v>14</v>
      </c>
      <c r="D42" s="122">
        <v>12.5</v>
      </c>
      <c r="E42" s="122">
        <f t="shared" si="3"/>
        <v>-12.5</v>
      </c>
      <c r="F42" s="135"/>
      <c r="G42" s="135"/>
      <c r="H42" s="135"/>
      <c r="I42" s="135"/>
      <c r="J42" s="113">
        <f t="shared" si="4"/>
        <v>0</v>
      </c>
      <c r="K42" s="123">
        <f t="shared" si="5"/>
        <v>0</v>
      </c>
    </row>
    <row r="43" spans="3:11">
      <c r="C43" s="122">
        <v>14</v>
      </c>
      <c r="D43" s="122">
        <v>13</v>
      </c>
      <c r="E43" s="122">
        <f t="shared" si="3"/>
        <v>-13</v>
      </c>
      <c r="F43" s="135"/>
      <c r="G43" s="135"/>
      <c r="H43" s="135"/>
      <c r="I43" s="135"/>
      <c r="J43" s="113">
        <f t="shared" si="4"/>
        <v>0</v>
      </c>
      <c r="K43" s="123">
        <f t="shared" si="5"/>
        <v>0</v>
      </c>
    </row>
    <row r="44" spans="3:11">
      <c r="C44" s="122">
        <v>14</v>
      </c>
      <c r="D44" s="122">
        <v>13.5</v>
      </c>
      <c r="E44" s="122">
        <f t="shared" si="3"/>
        <v>-13.5</v>
      </c>
      <c r="F44" s="135"/>
      <c r="G44" s="135"/>
      <c r="H44" s="135"/>
      <c r="I44" s="135"/>
      <c r="J44" s="113">
        <f t="shared" si="4"/>
        <v>0</v>
      </c>
      <c r="K44" s="123">
        <f t="shared" si="5"/>
        <v>0</v>
      </c>
    </row>
    <row r="45" spans="3:11">
      <c r="C45" s="122">
        <v>14</v>
      </c>
      <c r="D45" s="122">
        <v>14</v>
      </c>
      <c r="E45" s="122">
        <f t="shared" si="3"/>
        <v>-14</v>
      </c>
      <c r="F45" s="135"/>
      <c r="G45" s="135"/>
      <c r="H45" s="135"/>
      <c r="I45" s="135"/>
      <c r="J45" s="113">
        <f t="shared" si="4"/>
        <v>0</v>
      </c>
      <c r="K45" s="123">
        <f t="shared" si="5"/>
        <v>0</v>
      </c>
    </row>
  </sheetData>
  <mergeCells count="19">
    <mergeCell ref="C27:C28"/>
    <mergeCell ref="D27:D28"/>
    <mergeCell ref="E27:E28"/>
    <mergeCell ref="J27:J28"/>
    <mergeCell ref="K27:K28"/>
    <mergeCell ref="C18:C19"/>
    <mergeCell ref="H18:H19"/>
    <mergeCell ref="I18:I19"/>
    <mergeCell ref="J18:J19"/>
    <mergeCell ref="K18:K19"/>
    <mergeCell ref="J20:J24"/>
    <mergeCell ref="K20:K24"/>
    <mergeCell ref="C5:C6"/>
    <mergeCell ref="H5:H6"/>
    <mergeCell ref="I5:I6"/>
    <mergeCell ref="J5:J6"/>
    <mergeCell ref="K5:K6"/>
    <mergeCell ref="J7:J13"/>
    <mergeCell ref="K7:K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"/>
  <sheetViews>
    <sheetView zoomScaleNormal="100" workbookViewId="0">
      <selection activeCell="F15" sqref="F15"/>
    </sheetView>
  </sheetViews>
  <sheetFormatPr defaultColWidth="11.73046875" defaultRowHeight="15"/>
  <cols>
    <col min="1" max="1" width="9.06640625" style="124" customWidth="1"/>
    <col min="2" max="2" width="11.73046875" style="124"/>
    <col min="3" max="3" width="16" style="124" customWidth="1"/>
    <col min="4" max="16384" width="11.73046875" style="124"/>
  </cols>
  <sheetData>
    <row r="2" spans="3:9">
      <c r="C2" s="128" t="s">
        <v>239</v>
      </c>
      <c r="D2" s="128"/>
      <c r="E2" s="128"/>
      <c r="F2" s="128"/>
      <c r="G2" s="128"/>
      <c r="H2" s="128"/>
      <c r="I2" s="128"/>
    </row>
    <row r="3" spans="3:9">
      <c r="C3" s="131" t="s">
        <v>240</v>
      </c>
      <c r="D3" s="129">
        <v>0</v>
      </c>
      <c r="E3" s="129">
        <v>50</v>
      </c>
      <c r="F3" s="129">
        <v>100</v>
      </c>
      <c r="G3" s="129">
        <v>150</v>
      </c>
      <c r="H3" s="129">
        <v>200</v>
      </c>
      <c r="I3" s="129">
        <v>250</v>
      </c>
    </row>
    <row r="4" spans="3:9">
      <c r="C4" s="131" t="s">
        <v>241</v>
      </c>
      <c r="D4" s="133"/>
      <c r="E4" s="133"/>
      <c r="F4" s="133"/>
      <c r="G4" s="133"/>
      <c r="H4" s="133"/>
      <c r="I4" s="133"/>
    </row>
    <row r="5" spans="3:9">
      <c r="C5" s="132" t="s">
        <v>242</v>
      </c>
      <c r="D5" s="130"/>
      <c r="E5" s="130">
        <f>(E4-D4)*2/50/1000*10^9</f>
        <v>0</v>
      </c>
      <c r="F5" s="130">
        <f>(F4-E4)*2/50/1000*10^9</f>
        <v>0</v>
      </c>
      <c r="G5" s="130">
        <f>(G4-F4)*2/50/1000*10^9</f>
        <v>0</v>
      </c>
      <c r="H5" s="130">
        <f>(H4-G4)*2/50/1000*10^9</f>
        <v>0</v>
      </c>
      <c r="I5" s="130">
        <f>(I4-H4)*2/50/1000*10^9</f>
        <v>0</v>
      </c>
    </row>
    <row r="6" spans="3:9">
      <c r="C6" s="132" t="s">
        <v>243</v>
      </c>
      <c r="D6" s="134">
        <f>AVERAGE(E5:I5)</f>
        <v>0</v>
      </c>
      <c r="E6" s="134"/>
      <c r="F6" s="134"/>
      <c r="G6" s="134"/>
      <c r="H6" s="134"/>
      <c r="I6" s="134"/>
    </row>
  </sheetData>
  <mergeCells count="2">
    <mergeCell ref="C2:I2"/>
    <mergeCell ref="D6:I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zoomScale="55" zoomScaleNormal="55" workbookViewId="0">
      <selection activeCell="F38" sqref="F38"/>
    </sheetView>
  </sheetViews>
  <sheetFormatPr defaultColWidth="11.53125" defaultRowHeight="15"/>
  <cols>
    <col min="1" max="1" width="11.53125" style="126"/>
    <col min="2" max="2" width="14.3984375" style="126" customWidth="1"/>
    <col min="3" max="3" width="20.265625" style="126" customWidth="1"/>
    <col min="4" max="8" width="11.53125" style="126"/>
    <col min="9" max="9" width="23.6640625" style="126" customWidth="1"/>
    <col min="10" max="16384" width="11.53125" style="126"/>
  </cols>
  <sheetData>
    <row r="2" spans="4:16">
      <c r="J2" s="146" t="s">
        <v>268</v>
      </c>
      <c r="K2" s="136"/>
      <c r="L2" s="136"/>
      <c r="M2" s="137"/>
      <c r="N2" s="136"/>
      <c r="O2" s="136"/>
    </row>
    <row r="3" spans="4:16">
      <c r="J3" s="147"/>
      <c r="K3" s="136"/>
      <c r="L3" s="136"/>
      <c r="M3" s="137"/>
      <c r="N3" s="136"/>
      <c r="O3" s="136"/>
    </row>
    <row r="4" spans="4:16">
      <c r="D4" s="138"/>
      <c r="J4" s="147"/>
      <c r="K4" s="136"/>
      <c r="L4" s="136"/>
      <c r="M4" s="137"/>
      <c r="N4" s="136"/>
      <c r="O4" s="136"/>
    </row>
    <row r="5" spans="4:16">
      <c r="J5" s="147"/>
      <c r="K5" s="136"/>
      <c r="L5" s="136"/>
      <c r="M5" s="137"/>
      <c r="N5" s="136"/>
      <c r="O5" s="136"/>
    </row>
    <row r="6" spans="4:16">
      <c r="J6" s="147"/>
      <c r="K6" s="136"/>
      <c r="L6" s="136"/>
      <c r="M6" s="137"/>
      <c r="N6" s="136"/>
      <c r="O6" s="136"/>
    </row>
    <row r="7" spans="4:16">
      <c r="J7" s="147"/>
      <c r="K7" s="136"/>
      <c r="L7" s="136"/>
      <c r="M7" s="137"/>
      <c r="N7" s="136"/>
      <c r="O7" s="136"/>
    </row>
    <row r="9" spans="4:16">
      <c r="L9" s="139">
        <f>((((L2-K2)/1000)/6)*2)*$I$23</f>
        <v>0</v>
      </c>
      <c r="M9" s="139"/>
      <c r="N9" s="139"/>
      <c r="O9" s="139">
        <f>((((O2-N2)/1000)/6)*2)*$I$23</f>
        <v>0</v>
      </c>
    </row>
    <row r="10" spans="4:16">
      <c r="L10" s="139">
        <f>((((L3-K3)/1000)/6)*2)*$I$23</f>
        <v>0</v>
      </c>
      <c r="M10" s="139"/>
      <c r="N10" s="139"/>
      <c r="O10" s="139">
        <f>((((O3-N3)/1000)/6)*2)*$I$23</f>
        <v>0</v>
      </c>
    </row>
    <row r="11" spans="4:16">
      <c r="L11" s="139">
        <f>((((L4-K4)/1000)/6)*2)*$I$23</f>
        <v>0</v>
      </c>
      <c r="M11" s="139"/>
      <c r="N11" s="139"/>
      <c r="O11" s="139">
        <f>((((O4-N4)/1000)/6)*2)*$I$23</f>
        <v>0</v>
      </c>
    </row>
    <row r="12" spans="4:16">
      <c r="L12" s="139">
        <f>((((L5-K5)/1000)/6)*2)*$I$23</f>
        <v>0</v>
      </c>
      <c r="M12" s="139"/>
      <c r="N12" s="139"/>
      <c r="O12" s="139">
        <f>((((O5-N5)/1000)/6)*2)*$I$23</f>
        <v>0</v>
      </c>
    </row>
    <row r="13" spans="4:16">
      <c r="L13" s="139">
        <f>((((L6-K6)/1000)/6)*2)*$I$23</f>
        <v>0</v>
      </c>
      <c r="M13" s="139"/>
      <c r="N13" s="139"/>
      <c r="O13" s="139">
        <f>((((O6-N6)/1000)/6)*2)*$I$23</f>
        <v>0</v>
      </c>
    </row>
    <row r="14" spans="4:16">
      <c r="L14" s="139">
        <f>((((L7-K7)/1000)/6)*2)*$I$23</f>
        <v>0</v>
      </c>
      <c r="M14" s="139"/>
      <c r="N14" s="139"/>
      <c r="O14" s="139">
        <f>((((O7-N7)/1000)/6)*2)*$I$23</f>
        <v>0</v>
      </c>
    </row>
    <row r="15" spans="4:16">
      <c r="K15" s="126" t="s">
        <v>244</v>
      </c>
      <c r="M15" s="140">
        <f>AVERAGE(L9:L14)</f>
        <v>0</v>
      </c>
      <c r="P15" s="140">
        <f>AVERAGE(O9:O14)</f>
        <v>0</v>
      </c>
    </row>
    <row r="19" spans="2:14">
      <c r="I19" s="139"/>
      <c r="J19" s="139"/>
      <c r="K19" s="139"/>
      <c r="L19" s="139"/>
    </row>
    <row r="20" spans="2:14">
      <c r="I20" s="139"/>
      <c r="J20" s="139"/>
      <c r="K20" s="139"/>
      <c r="L20" s="139"/>
      <c r="N20" s="141"/>
    </row>
    <row r="21" spans="2:14">
      <c r="B21" s="125"/>
      <c r="C21" s="125"/>
      <c r="D21" s="125"/>
      <c r="E21" s="142"/>
      <c r="F21" s="125"/>
      <c r="G21" s="125"/>
      <c r="H21" s="143"/>
    </row>
    <row r="22" spans="2:14">
      <c r="B22" s="127" t="s">
        <v>245</v>
      </c>
      <c r="C22" s="127"/>
      <c r="D22" s="127"/>
      <c r="E22" s="127"/>
      <c r="F22" s="127"/>
      <c r="G22" s="127"/>
      <c r="H22" s="127"/>
      <c r="I22" s="143" t="s">
        <v>246</v>
      </c>
      <c r="J22" s="143" t="s">
        <v>247</v>
      </c>
      <c r="K22" s="143"/>
    </row>
    <row r="23" spans="2:14">
      <c r="B23" s="126" t="s">
        <v>248</v>
      </c>
      <c r="C23" s="126" t="s">
        <v>249</v>
      </c>
      <c r="D23" s="126" t="s">
        <v>250</v>
      </c>
      <c r="E23" s="126" t="s">
        <v>249</v>
      </c>
      <c r="F23" s="126" t="s">
        <v>250</v>
      </c>
      <c r="G23" s="126" t="s">
        <v>251</v>
      </c>
      <c r="H23" s="126" t="s">
        <v>250</v>
      </c>
      <c r="I23" s="144">
        <v>37660</v>
      </c>
      <c r="J23" s="145">
        <v>22</v>
      </c>
    </row>
    <row r="24" spans="2:14">
      <c r="B24" s="143" t="s">
        <v>252</v>
      </c>
      <c r="C24" s="143" t="s">
        <v>253</v>
      </c>
      <c r="D24" s="143" t="s">
        <v>254</v>
      </c>
      <c r="E24" s="143" t="s">
        <v>255</v>
      </c>
      <c r="F24" s="143" t="s">
        <v>256</v>
      </c>
      <c r="G24" s="143" t="s">
        <v>257</v>
      </c>
      <c r="H24" s="143" t="s">
        <v>258</v>
      </c>
      <c r="I24" s="144"/>
      <c r="J24" s="145"/>
    </row>
    <row r="25" spans="2:14">
      <c r="B25" s="143" t="s">
        <v>259</v>
      </c>
      <c r="C25" s="148"/>
      <c r="D25" s="148"/>
      <c r="E25" s="148"/>
      <c r="F25" s="148"/>
      <c r="G25" s="148"/>
      <c r="H25" s="148"/>
      <c r="I25" s="144"/>
      <c r="J25" s="145"/>
    </row>
    <row r="26" spans="2:14">
      <c r="B26" s="126" t="s">
        <v>248</v>
      </c>
      <c r="C26" s="126" t="s">
        <v>251</v>
      </c>
      <c r="D26" s="126" t="s">
        <v>250</v>
      </c>
      <c r="E26" s="126" t="s">
        <v>251</v>
      </c>
      <c r="F26" s="126" t="s">
        <v>260</v>
      </c>
      <c r="G26" s="126" t="s">
        <v>251</v>
      </c>
      <c r="H26" s="126" t="s">
        <v>250</v>
      </c>
      <c r="I26" s="144"/>
      <c r="J26" s="145"/>
    </row>
    <row r="27" spans="2:14">
      <c r="B27" s="143" t="s">
        <v>252</v>
      </c>
      <c r="C27" s="143" t="s">
        <v>261</v>
      </c>
      <c r="D27" s="143" t="s">
        <v>262</v>
      </c>
      <c r="E27" s="143" t="s">
        <v>263</v>
      </c>
      <c r="F27" s="143" t="s">
        <v>264</v>
      </c>
      <c r="G27" s="143" t="s">
        <v>265</v>
      </c>
      <c r="H27" s="143" t="s">
        <v>266</v>
      </c>
      <c r="I27" s="144"/>
      <c r="J27" s="145"/>
    </row>
    <row r="28" spans="2:14">
      <c r="B28" s="143" t="s">
        <v>259</v>
      </c>
      <c r="C28" s="148"/>
      <c r="D28" s="148"/>
      <c r="E28" s="148"/>
      <c r="F28" s="148"/>
      <c r="G28" s="148"/>
      <c r="H28" s="148"/>
      <c r="I28" s="144"/>
      <c r="J28" s="145"/>
    </row>
    <row r="29" spans="2:14">
      <c r="B29" s="127" t="s">
        <v>267</v>
      </c>
      <c r="C29" s="127"/>
      <c r="D29" s="127"/>
      <c r="E29" s="127"/>
      <c r="F29" s="127"/>
      <c r="G29" s="127"/>
      <c r="H29" s="127"/>
      <c r="I29" s="144"/>
      <c r="J29" s="145"/>
    </row>
    <row r="30" spans="2:14">
      <c r="B30" s="143" t="s">
        <v>252</v>
      </c>
      <c r="C30" s="143" t="s">
        <v>253</v>
      </c>
      <c r="D30" s="143" t="s">
        <v>254</v>
      </c>
      <c r="E30" s="143" t="s">
        <v>255</v>
      </c>
      <c r="F30" s="143" t="s">
        <v>256</v>
      </c>
      <c r="G30" s="143" t="s">
        <v>257</v>
      </c>
      <c r="H30" s="143" t="s">
        <v>258</v>
      </c>
      <c r="I30" s="144"/>
      <c r="J30" s="145"/>
    </row>
    <row r="31" spans="2:14">
      <c r="B31" s="143" t="s">
        <v>259</v>
      </c>
      <c r="C31" s="148"/>
      <c r="D31" s="148"/>
      <c r="E31" s="148"/>
      <c r="F31" s="148"/>
      <c r="G31" s="148"/>
      <c r="H31" s="148"/>
      <c r="I31" s="144"/>
      <c r="J31" s="145"/>
    </row>
    <row r="32" spans="2:14">
      <c r="B32" s="143" t="s">
        <v>252</v>
      </c>
      <c r="C32" s="143" t="s">
        <v>261</v>
      </c>
      <c r="D32" s="143" t="s">
        <v>262</v>
      </c>
      <c r="E32" s="143" t="s">
        <v>263</v>
      </c>
      <c r="F32" s="143" t="s">
        <v>264</v>
      </c>
      <c r="G32" s="143" t="s">
        <v>265</v>
      </c>
      <c r="H32" s="143" t="s">
        <v>266</v>
      </c>
      <c r="I32" s="144"/>
      <c r="J32" s="145"/>
    </row>
    <row r="33" spans="2:10">
      <c r="B33" s="143" t="s">
        <v>259</v>
      </c>
      <c r="C33" s="148"/>
      <c r="D33" s="148"/>
      <c r="E33" s="148"/>
      <c r="F33" s="148"/>
      <c r="G33" s="148"/>
      <c r="H33" s="148"/>
      <c r="I33" s="144"/>
      <c r="J33" s="145"/>
    </row>
  </sheetData>
  <mergeCells count="7">
    <mergeCell ref="J2:J7"/>
    <mergeCell ref="B21:D21"/>
    <mergeCell ref="F21:G21"/>
    <mergeCell ref="B22:H22"/>
    <mergeCell ref="I23:I33"/>
    <mergeCell ref="J23:J33"/>
    <mergeCell ref="B29:H2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zoomScale="70" zoomScaleNormal="70" workbookViewId="0">
      <selection activeCell="D31" sqref="D31"/>
    </sheetView>
  </sheetViews>
  <sheetFormatPr defaultRowHeight="13.9"/>
  <cols>
    <col min="1" max="8" width="9.06640625" style="18"/>
    <col min="9" max="9" width="10.73046875" style="149" customWidth="1"/>
    <col min="10" max="10" width="9.06640625" style="149"/>
    <col min="11" max="16384" width="9.06640625" style="18"/>
  </cols>
  <sheetData>
    <row r="2" spans="2:11">
      <c r="B2" s="17" t="s">
        <v>290</v>
      </c>
      <c r="C2" s="17"/>
      <c r="D2" s="17"/>
      <c r="E2" s="17"/>
      <c r="F2" s="17"/>
      <c r="G2" s="17"/>
      <c r="I2" s="16" t="s">
        <v>289</v>
      </c>
      <c r="J2" s="16"/>
    </row>
    <row r="3" spans="2:11">
      <c r="B3" s="162" t="s">
        <v>287</v>
      </c>
      <c r="C3" s="162" t="s">
        <v>288</v>
      </c>
      <c r="D3" s="162" t="s">
        <v>285</v>
      </c>
      <c r="E3" s="162" t="s">
        <v>287</v>
      </c>
      <c r="F3" s="162" t="s">
        <v>286</v>
      </c>
      <c r="G3" s="162" t="s">
        <v>285</v>
      </c>
      <c r="I3" s="149" t="s">
        <v>284</v>
      </c>
      <c r="J3" s="16" t="s">
        <v>283</v>
      </c>
      <c r="K3" s="16"/>
    </row>
    <row r="4" spans="2:11">
      <c r="B4" s="156"/>
      <c r="C4" s="155"/>
      <c r="D4" s="154"/>
      <c r="E4" s="160">
        <f t="shared" ref="E4:E14" si="0">B15</f>
        <v>0</v>
      </c>
      <c r="F4" s="159">
        <f t="shared" ref="F4:F14" si="1">C15</f>
        <v>0</v>
      </c>
      <c r="G4" s="154">
        <f t="shared" ref="G4:G14" si="2">D15</f>
        <v>0</v>
      </c>
      <c r="I4" s="157">
        <v>100</v>
      </c>
      <c r="J4" s="164">
        <f>$I$24*1000/$I$4/SQRT(2)</f>
        <v>15.365430355183676</v>
      </c>
      <c r="K4" s="165" t="s">
        <v>291</v>
      </c>
    </row>
    <row r="5" spans="2:11">
      <c r="B5" s="156"/>
      <c r="C5" s="155"/>
      <c r="D5" s="154"/>
      <c r="E5" s="160">
        <f t="shared" si="0"/>
        <v>0</v>
      </c>
      <c r="F5" s="159">
        <f t="shared" si="1"/>
        <v>0</v>
      </c>
      <c r="G5" s="154">
        <f t="shared" si="2"/>
        <v>0</v>
      </c>
      <c r="I5" s="149" t="s">
        <v>282</v>
      </c>
      <c r="J5" s="164">
        <f>$I$24*1000/$I$4/SQRT(2)</f>
        <v>15.365430355183676</v>
      </c>
      <c r="K5" s="165"/>
    </row>
    <row r="6" spans="2:11">
      <c r="B6" s="156"/>
      <c r="C6" s="155"/>
      <c r="D6" s="154"/>
      <c r="E6" s="160">
        <f t="shared" si="0"/>
        <v>0</v>
      </c>
      <c r="F6" s="159">
        <f t="shared" si="1"/>
        <v>0</v>
      </c>
      <c r="G6" s="154">
        <f t="shared" si="2"/>
        <v>0</v>
      </c>
      <c r="I6" s="161">
        <v>0.1</v>
      </c>
      <c r="J6" s="164">
        <f>$I$24*1000/$I$4/SQRT(2)</f>
        <v>15.365430355183676</v>
      </c>
      <c r="K6" s="165"/>
    </row>
    <row r="7" spans="2:11">
      <c r="B7" s="156"/>
      <c r="C7" s="155"/>
      <c r="D7" s="154"/>
      <c r="E7" s="160">
        <f t="shared" si="0"/>
        <v>0</v>
      </c>
      <c r="F7" s="159">
        <f t="shared" si="1"/>
        <v>0</v>
      </c>
      <c r="G7" s="154">
        <f t="shared" si="2"/>
        <v>0</v>
      </c>
      <c r="I7" s="149" t="s">
        <v>281</v>
      </c>
      <c r="J7" s="164">
        <f>$I$24*1000/$I$4/SQRT(2)</f>
        <v>15.365430355183676</v>
      </c>
      <c r="K7" s="165"/>
    </row>
    <row r="8" spans="2:11">
      <c r="B8" s="156"/>
      <c r="C8" s="155"/>
      <c r="D8" s="154"/>
      <c r="E8" s="160">
        <f t="shared" si="0"/>
        <v>0</v>
      </c>
      <c r="F8" s="159">
        <f t="shared" si="1"/>
        <v>0</v>
      </c>
      <c r="G8" s="154">
        <f t="shared" si="2"/>
        <v>0</v>
      </c>
      <c r="I8" s="161">
        <v>4.3999999999999997E-8</v>
      </c>
      <c r="J8" s="164">
        <f>$I$24*1000/$I$4/SQRT(2)</f>
        <v>15.365430355183676</v>
      </c>
      <c r="K8" s="165"/>
    </row>
    <row r="9" spans="2:11">
      <c r="B9" s="156"/>
      <c r="C9" s="155"/>
      <c r="D9" s="154"/>
      <c r="E9" s="160">
        <f t="shared" si="0"/>
        <v>0</v>
      </c>
      <c r="F9" s="159">
        <f t="shared" si="1"/>
        <v>0</v>
      </c>
      <c r="G9" s="154">
        <f t="shared" si="2"/>
        <v>0</v>
      </c>
      <c r="I9" s="149" t="s">
        <v>280</v>
      </c>
      <c r="J9" s="164">
        <f>$I$24*1000/$I$4/SQRT(2)</f>
        <v>15.365430355183676</v>
      </c>
      <c r="K9" s="165"/>
    </row>
    <row r="10" spans="2:11">
      <c r="B10" s="156"/>
      <c r="C10" s="155"/>
      <c r="D10" s="154"/>
      <c r="E10" s="160">
        <f t="shared" si="0"/>
        <v>0</v>
      </c>
      <c r="F10" s="159">
        <f t="shared" si="1"/>
        <v>0</v>
      </c>
      <c r="G10" s="154">
        <f t="shared" si="2"/>
        <v>0</v>
      </c>
      <c r="I10" s="157">
        <v>2255</v>
      </c>
      <c r="J10" s="164">
        <f>$I$24*1000/$I$4/SQRT(2)</f>
        <v>15.365430355183676</v>
      </c>
      <c r="K10" s="165"/>
    </row>
    <row r="11" spans="2:11">
      <c r="B11" s="156"/>
      <c r="C11" s="155"/>
      <c r="D11" s="154"/>
      <c r="E11" s="160">
        <f t="shared" si="0"/>
        <v>0</v>
      </c>
      <c r="F11" s="159">
        <f t="shared" si="1"/>
        <v>0</v>
      </c>
      <c r="G11" s="154">
        <f t="shared" si="2"/>
        <v>0</v>
      </c>
      <c r="I11" s="149" t="s">
        <v>279</v>
      </c>
      <c r="J11" s="164">
        <f>$I$24*1000/$I$4/SQRT(2)</f>
        <v>15.365430355183676</v>
      </c>
      <c r="K11" s="165"/>
    </row>
    <row r="12" spans="2:11">
      <c r="B12" s="156"/>
      <c r="C12" s="155"/>
      <c r="D12" s="154"/>
      <c r="E12" s="160">
        <f t="shared" si="0"/>
        <v>0</v>
      </c>
      <c r="F12" s="159">
        <f t="shared" si="1"/>
        <v>0</v>
      </c>
      <c r="G12" s="154">
        <f t="shared" si="2"/>
        <v>0</v>
      </c>
      <c r="I12" s="157">
        <v>2475</v>
      </c>
      <c r="J12" s="164">
        <f>$I$24*1000/$I$4/SQRT(2)</f>
        <v>15.365430355183676</v>
      </c>
      <c r="K12" s="165"/>
    </row>
    <row r="13" spans="2:11">
      <c r="B13" s="156"/>
      <c r="C13" s="155"/>
      <c r="D13" s="154"/>
      <c r="E13" s="160">
        <f t="shared" si="0"/>
        <v>0</v>
      </c>
      <c r="F13" s="159">
        <f t="shared" si="1"/>
        <v>0</v>
      </c>
      <c r="G13" s="154">
        <f t="shared" si="2"/>
        <v>0</v>
      </c>
      <c r="I13" s="149" t="s">
        <v>278</v>
      </c>
      <c r="J13" s="164">
        <f>$I$24*1000/$I$4/SQRT(2)</f>
        <v>15.365430355183676</v>
      </c>
      <c r="K13" s="165"/>
    </row>
    <row r="14" spans="2:11">
      <c r="B14" s="156"/>
      <c r="C14" s="155"/>
      <c r="D14" s="154"/>
      <c r="E14" s="160">
        <f t="shared" si="0"/>
        <v>0</v>
      </c>
      <c r="F14" s="159">
        <f t="shared" si="1"/>
        <v>0</v>
      </c>
      <c r="G14" s="154">
        <f t="shared" si="2"/>
        <v>0</v>
      </c>
      <c r="I14" s="157">
        <v>2356</v>
      </c>
      <c r="J14" s="164">
        <f>$I$24*1000/$I$4/SQRT(2)</f>
        <v>15.365430355183676</v>
      </c>
      <c r="K14" s="165"/>
    </row>
    <row r="15" spans="2:11">
      <c r="B15" s="156"/>
      <c r="C15" s="155"/>
      <c r="D15" s="154"/>
      <c r="E15" s="163" t="s">
        <v>292</v>
      </c>
      <c r="F15" s="163"/>
      <c r="G15" s="163"/>
      <c r="I15" s="149" t="s">
        <v>277</v>
      </c>
      <c r="J15" s="164">
        <f>$I$24*1000/$I$4/SQRT(2)</f>
        <v>15.365430355183676</v>
      </c>
      <c r="K15" s="165"/>
    </row>
    <row r="16" spans="2:11">
      <c r="B16" s="156"/>
      <c r="C16" s="155"/>
      <c r="D16" s="154"/>
      <c r="E16" s="149"/>
      <c r="F16" s="149"/>
      <c r="G16" s="149"/>
      <c r="I16" s="158">
        <f>1/(2*PI()*SQRT($I$6*$I$8))</f>
        <v>2399.3510443917412</v>
      </c>
      <c r="J16" s="164">
        <f>$I$24*1000/$I$4/SQRT(2)</f>
        <v>15.365430355183676</v>
      </c>
      <c r="K16" s="165"/>
    </row>
    <row r="17" spans="2:11">
      <c r="B17" s="156"/>
      <c r="C17" s="155"/>
      <c r="D17" s="154"/>
      <c r="E17" s="149"/>
      <c r="F17" s="149"/>
      <c r="G17" s="149"/>
      <c r="H17" s="163" t="s">
        <v>293</v>
      </c>
      <c r="I17" s="149" t="s">
        <v>276</v>
      </c>
      <c r="J17" s="164">
        <f>$I$24*1000/$I$4/SQRT(2)</f>
        <v>15.365430355183676</v>
      </c>
      <c r="K17" s="165"/>
    </row>
    <row r="18" spans="2:11">
      <c r="B18" s="156"/>
      <c r="C18" s="155"/>
      <c r="D18" s="154"/>
      <c r="E18" s="149"/>
      <c r="F18" s="149"/>
      <c r="G18" s="149"/>
      <c r="H18" s="163"/>
      <c r="I18" s="157">
        <v>1</v>
      </c>
      <c r="J18" s="164">
        <f>$I$24*1000/$I$4/SQRT(2)</f>
        <v>15.365430355183676</v>
      </c>
      <c r="K18" s="165"/>
    </row>
    <row r="19" spans="2:11">
      <c r="B19" s="156"/>
      <c r="C19" s="155"/>
      <c r="D19" s="154"/>
      <c r="E19" s="149"/>
      <c r="F19" s="149"/>
      <c r="G19" s="149"/>
      <c r="H19" s="163"/>
      <c r="I19" s="149" t="s">
        <v>275</v>
      </c>
      <c r="J19" s="164">
        <f>$I$24*1000/$I$4/SQRT(2)</f>
        <v>15.365430355183676</v>
      </c>
      <c r="K19" s="165"/>
    </row>
    <row r="20" spans="2:11">
      <c r="B20" s="156"/>
      <c r="C20" s="155"/>
      <c r="D20" s="154"/>
      <c r="E20" s="149"/>
      <c r="F20" s="149"/>
      <c r="G20" s="149"/>
      <c r="H20" s="163"/>
      <c r="I20" s="157">
        <v>32.409999999999997</v>
      </c>
      <c r="J20" s="164">
        <f>$I$24*1000/$I$4/SQRT(2)</f>
        <v>15.365430355183676</v>
      </c>
      <c r="K20" s="165"/>
    </row>
    <row r="21" spans="2:11">
      <c r="B21" s="156"/>
      <c r="C21" s="155"/>
      <c r="D21" s="154"/>
      <c r="E21" s="149"/>
      <c r="F21" s="149"/>
      <c r="G21" s="149"/>
      <c r="H21" s="163"/>
      <c r="I21" s="149" t="s">
        <v>274</v>
      </c>
      <c r="J21" s="164">
        <f>$I$24*1000/$I$4/SQRT(2)</f>
        <v>15.365430355183676</v>
      </c>
      <c r="K21" s="165"/>
    </row>
    <row r="22" spans="2:11">
      <c r="B22" s="156"/>
      <c r="C22" s="155"/>
      <c r="D22" s="154"/>
      <c r="E22" s="149"/>
      <c r="F22" s="149"/>
      <c r="G22" s="149"/>
      <c r="H22" s="163"/>
      <c r="I22" s="157">
        <v>31.16</v>
      </c>
      <c r="J22" s="164">
        <f>$I$24*1000/$I$4/SQRT(2)</f>
        <v>15.365430355183676</v>
      </c>
      <c r="K22" s="165"/>
    </row>
    <row r="23" spans="2:11">
      <c r="B23" s="156"/>
      <c r="C23" s="155"/>
      <c r="D23" s="154"/>
      <c r="E23" s="149"/>
      <c r="F23" s="149"/>
      <c r="G23" s="149"/>
      <c r="H23" s="163"/>
      <c r="I23" s="149" t="s">
        <v>273</v>
      </c>
      <c r="J23" s="164">
        <f>$I$24*1000/$I$4/SQRT(2)</f>
        <v>15.365430355183676</v>
      </c>
      <c r="K23" s="165"/>
    </row>
    <row r="24" spans="2:11">
      <c r="B24" s="156"/>
      <c r="C24" s="155"/>
      <c r="D24" s="154"/>
      <c r="E24" s="149"/>
      <c r="F24" s="149"/>
      <c r="G24" s="149"/>
      <c r="H24" s="163"/>
      <c r="I24" s="156">
        <f>2173/1000</f>
        <v>2.173</v>
      </c>
      <c r="J24" s="164">
        <f>$I$24*1000/$I$4/SQRT(2)</f>
        <v>15.365430355183676</v>
      </c>
      <c r="K24" s="165"/>
    </row>
    <row r="25" spans="2:11">
      <c r="B25" s="156"/>
      <c r="C25" s="155"/>
      <c r="D25" s="154"/>
      <c r="E25" s="149"/>
      <c r="F25" s="149"/>
      <c r="G25" s="149"/>
      <c r="J25" s="164">
        <f>$I$24*1000/$I$4/SQRT(2)</f>
        <v>15.365430355183676</v>
      </c>
      <c r="K25" s="165"/>
    </row>
    <row r="27" spans="2:11">
      <c r="I27" s="166"/>
    </row>
    <row r="28" spans="2:11">
      <c r="G28" s="163" t="s">
        <v>272</v>
      </c>
      <c r="H28" s="16" t="s">
        <v>271</v>
      </c>
      <c r="I28" s="16"/>
    </row>
    <row r="29" spans="2:11">
      <c r="G29" s="163"/>
      <c r="H29" s="153">
        <f>$I$20/($I$24)</f>
        <v>14.91486424298205</v>
      </c>
      <c r="I29" s="153">
        <f>$I$22/($I$24)</f>
        <v>14.339622641509434</v>
      </c>
    </row>
    <row r="30" spans="2:11">
      <c r="G30" s="163"/>
      <c r="H30" s="16" t="s">
        <v>270</v>
      </c>
      <c r="I30" s="16"/>
    </row>
    <row r="31" spans="2:11">
      <c r="G31" s="163"/>
      <c r="H31" s="152">
        <f>(1/$I$4)*(SQRT($I$6/$I$8))</f>
        <v>15.075567228888183</v>
      </c>
      <c r="I31" s="152"/>
    </row>
    <row r="32" spans="2:11">
      <c r="G32" s="163"/>
      <c r="H32" s="151" t="s">
        <v>269</v>
      </c>
      <c r="I32" s="151"/>
    </row>
    <row r="33" spans="7:9">
      <c r="G33" s="163"/>
      <c r="H33" s="150">
        <f>$I$14/(ABS($I$12-$I$10))</f>
        <v>10.709090909090909</v>
      </c>
      <c r="I33" s="150"/>
    </row>
  </sheetData>
  <sheetProtection formatCells="0" formatColumns="0" formatRows="0" insertColumns="0" insertRows="0" insertHyperlinks="0" deleteColumns="0" deleteRows="0"/>
  <mergeCells count="12">
    <mergeCell ref="K4:K25"/>
    <mergeCell ref="E15:G15"/>
    <mergeCell ref="J3:K3"/>
    <mergeCell ref="H17:H24"/>
    <mergeCell ref="G28:G33"/>
    <mergeCell ref="H33:I33"/>
    <mergeCell ref="I2:J2"/>
    <mergeCell ref="B2:G2"/>
    <mergeCell ref="H28:I28"/>
    <mergeCell ref="H30:I30"/>
    <mergeCell ref="H31:I31"/>
    <mergeCell ref="H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70" zoomScaleNormal="70" workbookViewId="0">
      <selection activeCell="B2" sqref="B2"/>
    </sheetView>
  </sheetViews>
  <sheetFormatPr defaultRowHeight="13.9"/>
  <cols>
    <col min="1" max="1" width="2.33203125" style="33" bestFit="1" customWidth="1"/>
    <col min="2" max="2" width="16.1328125" style="33" bestFit="1" customWidth="1"/>
    <col min="3" max="3" width="13.796875" style="33" bestFit="1" customWidth="1"/>
    <col min="4" max="4" width="10.6640625" style="33" bestFit="1" customWidth="1"/>
    <col min="5" max="6" width="13.796875" style="33" bestFit="1" customWidth="1"/>
    <col min="7" max="9" width="13" style="33" bestFit="1" customWidth="1"/>
    <col min="10" max="11" width="15.6640625" style="33" bestFit="1" customWidth="1"/>
    <col min="12" max="12" width="13" style="33" bestFit="1" customWidth="1"/>
    <col min="13" max="13" width="9.06640625" style="33"/>
    <col min="14" max="14" width="9.33203125" style="33" bestFit="1" customWidth="1"/>
    <col min="15" max="15" width="2.33203125" style="33" bestFit="1" customWidth="1"/>
    <col min="16" max="16" width="16.1328125" style="33" customWidth="1"/>
    <col min="17" max="17" width="13.796875" style="33" customWidth="1"/>
    <col min="18" max="18" width="10.73046875" style="33" bestFit="1" customWidth="1"/>
    <col min="19" max="19" width="13.796875" style="33" customWidth="1"/>
    <col min="20" max="20" width="13.796875" style="33" bestFit="1" customWidth="1"/>
    <col min="21" max="21" width="11.86328125" style="33" bestFit="1" customWidth="1"/>
    <col min="22" max="23" width="13" style="33" bestFit="1" customWidth="1"/>
    <col min="24" max="25" width="15.6640625" style="33" bestFit="1" customWidth="1"/>
    <col min="26" max="16384" width="9.06640625" style="33"/>
  </cols>
  <sheetData>
    <row r="1" spans="1:25">
      <c r="B1" s="34" t="s">
        <v>23</v>
      </c>
      <c r="C1" s="35" t="s">
        <v>24</v>
      </c>
      <c r="F1" s="36" t="s">
        <v>25</v>
      </c>
      <c r="G1" s="33" t="s">
        <v>26</v>
      </c>
      <c r="H1" s="33" t="s">
        <v>27</v>
      </c>
      <c r="I1" s="33" t="s">
        <v>28</v>
      </c>
      <c r="J1" s="33" t="s">
        <v>29</v>
      </c>
      <c r="K1" s="33" t="s">
        <v>30</v>
      </c>
      <c r="L1" s="33" t="s">
        <v>31</v>
      </c>
      <c r="N1" s="36" t="s">
        <v>32</v>
      </c>
      <c r="P1" s="33" t="s">
        <v>33</v>
      </c>
      <c r="Q1" s="33" t="s">
        <v>34</v>
      </c>
    </row>
    <row r="2" spans="1:25">
      <c r="B2" s="37">
        <v>44.7</v>
      </c>
      <c r="C2" s="35">
        <v>1</v>
      </c>
      <c r="F2" s="36"/>
      <c r="G2" s="36">
        <f>C8/B8</f>
        <v>2.7777777777777779E-3</v>
      </c>
      <c r="H2" s="36">
        <f>C2/10/B2</f>
        <v>2.2371364653243847E-3</v>
      </c>
      <c r="I2" s="36">
        <f>C4/10/B4</f>
        <v>7.0274068868587491E-4</v>
      </c>
      <c r="J2" s="36">
        <f>G27/E27</f>
        <v>8.8921683834040401E-3</v>
      </c>
      <c r="K2" s="36">
        <f>C6/B6</f>
        <v>2.6695141484249865E-4</v>
      </c>
      <c r="L2" s="36" t="e">
        <f>F21/D21</f>
        <v>#DIV/0!</v>
      </c>
      <c r="N2" s="36"/>
      <c r="P2" s="38">
        <f>B2/100</f>
        <v>0.44700000000000001</v>
      </c>
      <c r="Q2" s="33">
        <v>1</v>
      </c>
    </row>
    <row r="3" spans="1:25">
      <c r="B3" s="39" t="s">
        <v>35</v>
      </c>
      <c r="C3" s="33" t="s">
        <v>36</v>
      </c>
      <c r="F3" s="36"/>
      <c r="G3" s="36"/>
      <c r="H3" s="36"/>
      <c r="I3" s="36"/>
      <c r="J3" s="36"/>
      <c r="K3" s="36"/>
      <c r="L3" s="36"/>
      <c r="N3" s="36"/>
      <c r="P3" s="33" t="s">
        <v>37</v>
      </c>
      <c r="Q3" s="33" t="s">
        <v>38</v>
      </c>
    </row>
    <row r="4" spans="1:25">
      <c r="B4" s="37">
        <v>142.30000000000001</v>
      </c>
      <c r="C4" s="35">
        <v>1</v>
      </c>
      <c r="F4" s="36"/>
      <c r="G4" s="36"/>
      <c r="H4" s="36"/>
      <c r="I4" s="36"/>
      <c r="J4" s="36"/>
      <c r="K4" s="36"/>
      <c r="L4" s="36"/>
      <c r="N4" s="36"/>
      <c r="P4" s="38">
        <f>B4/100</f>
        <v>1.423</v>
      </c>
      <c r="Q4" s="33">
        <v>1</v>
      </c>
    </row>
    <row r="5" spans="1:25">
      <c r="B5" s="39" t="s">
        <v>39</v>
      </c>
      <c r="C5" s="33" t="s">
        <v>40</v>
      </c>
      <c r="F5" s="36"/>
      <c r="G5" s="36"/>
      <c r="H5" s="36"/>
      <c r="I5" s="36"/>
      <c r="J5" s="36"/>
      <c r="K5" s="36"/>
      <c r="L5" s="36"/>
      <c r="N5" s="36"/>
      <c r="P5" s="33" t="s">
        <v>41</v>
      </c>
      <c r="Q5" s="33" t="s">
        <v>38</v>
      </c>
    </row>
    <row r="6" spans="1:25">
      <c r="B6" s="37">
        <v>74.92</v>
      </c>
      <c r="C6" s="35">
        <v>0.02</v>
      </c>
      <c r="F6" s="36"/>
      <c r="G6" s="36"/>
      <c r="H6" s="36"/>
      <c r="I6" s="36"/>
      <c r="J6" s="36"/>
      <c r="K6" s="36"/>
      <c r="L6" s="36"/>
      <c r="N6" s="36"/>
      <c r="P6" s="38">
        <f>B6/1000</f>
        <v>7.492E-2</v>
      </c>
      <c r="Q6" s="33">
        <v>0.02</v>
      </c>
    </row>
    <row r="7" spans="1:25">
      <c r="B7" s="39" t="s">
        <v>42</v>
      </c>
      <c r="C7" s="33" t="s">
        <v>43</v>
      </c>
      <c r="F7" s="36"/>
      <c r="G7" s="36"/>
      <c r="H7" s="36"/>
      <c r="I7" s="36"/>
      <c r="J7" s="36"/>
      <c r="K7" s="36"/>
      <c r="L7" s="36"/>
      <c r="N7" s="36"/>
      <c r="P7" s="33" t="s">
        <v>44</v>
      </c>
      <c r="Q7" s="33" t="s">
        <v>45</v>
      </c>
    </row>
    <row r="8" spans="1:25">
      <c r="B8" s="37">
        <v>360</v>
      </c>
      <c r="C8" s="35">
        <v>1</v>
      </c>
      <c r="F8" s="36"/>
      <c r="G8" s="36"/>
      <c r="H8" s="36"/>
      <c r="I8" s="36"/>
      <c r="J8" s="36"/>
      <c r="K8" s="36"/>
      <c r="L8" s="36"/>
      <c r="N8" s="36"/>
      <c r="P8" s="38">
        <f>B8/1000</f>
        <v>0.36</v>
      </c>
      <c r="Q8" s="33">
        <v>1</v>
      </c>
    </row>
    <row r="9" spans="1:25">
      <c r="A9" s="40" t="s">
        <v>46</v>
      </c>
      <c r="B9" s="40"/>
      <c r="C9" s="40"/>
      <c r="D9" s="40"/>
      <c r="E9" s="40"/>
      <c r="N9" s="36"/>
      <c r="O9" s="33" t="s">
        <v>47</v>
      </c>
    </row>
    <row r="10" spans="1:25">
      <c r="A10" s="33" t="s">
        <v>48</v>
      </c>
      <c r="B10" s="33" t="s">
        <v>49</v>
      </c>
      <c r="C10" s="33" t="s">
        <v>50</v>
      </c>
      <c r="D10" s="33" t="s">
        <v>51</v>
      </c>
      <c r="E10" s="33" t="s">
        <v>52</v>
      </c>
      <c r="F10" s="33" t="s">
        <v>24</v>
      </c>
      <c r="N10" s="36"/>
      <c r="O10" s="33" t="s">
        <v>53</v>
      </c>
      <c r="P10" s="33" t="s">
        <v>54</v>
      </c>
      <c r="Q10" s="33" t="s">
        <v>55</v>
      </c>
      <c r="R10" s="33" t="s">
        <v>56</v>
      </c>
      <c r="S10" s="33" t="s">
        <v>57</v>
      </c>
      <c r="T10" s="33" t="s">
        <v>34</v>
      </c>
      <c r="U10" s="33" t="s">
        <v>58</v>
      </c>
      <c r="V10" s="33" t="s">
        <v>59</v>
      </c>
      <c r="W10" s="33" t="s">
        <v>60</v>
      </c>
      <c r="X10" s="33" t="s">
        <v>61</v>
      </c>
      <c r="Y10" s="33" t="s">
        <v>62</v>
      </c>
    </row>
    <row r="11" spans="1:25">
      <c r="A11" s="33">
        <v>1</v>
      </c>
      <c r="B11" s="33">
        <v>0</v>
      </c>
      <c r="C11" s="47"/>
      <c r="D11" s="47"/>
      <c r="E11" s="37" t="e">
        <f t="shared" ref="E11:E18" si="0">AVERAGE(C11:D11)</f>
        <v>#DIV/0!</v>
      </c>
      <c r="F11" s="41">
        <v>0.5</v>
      </c>
      <c r="G11" s="42"/>
      <c r="H11" s="42"/>
      <c r="I11" s="42"/>
      <c r="J11" s="42"/>
      <c r="N11" s="36"/>
      <c r="O11" s="33">
        <v>1</v>
      </c>
      <c r="P11" s="33">
        <v>0</v>
      </c>
      <c r="Q11" s="33">
        <v>18</v>
      </c>
      <c r="R11" s="33">
        <v>18</v>
      </c>
      <c r="S11" s="33">
        <v>18</v>
      </c>
      <c r="T11" s="33">
        <v>0.5</v>
      </c>
    </row>
    <row r="12" spans="1:25">
      <c r="A12" s="33">
        <v>2</v>
      </c>
      <c r="B12" s="33">
        <v>360</v>
      </c>
      <c r="C12" s="47"/>
      <c r="D12" s="47"/>
      <c r="E12" s="37" t="e">
        <f t="shared" si="0"/>
        <v>#DIV/0!</v>
      </c>
      <c r="F12" s="41"/>
      <c r="G12" s="42"/>
      <c r="H12" s="42"/>
      <c r="I12" s="42"/>
      <c r="J12" s="42"/>
      <c r="N12" s="36"/>
      <c r="O12" s="33">
        <v>2</v>
      </c>
      <c r="P12" s="33">
        <v>360</v>
      </c>
      <c r="Q12" s="33">
        <v>19.100000000000001</v>
      </c>
      <c r="R12" s="33">
        <v>19.100000000000001</v>
      </c>
      <c r="S12" s="33">
        <v>19.100000000000001</v>
      </c>
    </row>
    <row r="13" spans="1:25">
      <c r="A13" s="33">
        <v>3</v>
      </c>
      <c r="B13" s="33">
        <v>720</v>
      </c>
      <c r="C13" s="47"/>
      <c r="D13" s="47"/>
      <c r="E13" s="37" t="e">
        <f t="shared" si="0"/>
        <v>#DIV/0!</v>
      </c>
      <c r="F13" s="41"/>
      <c r="G13" s="42"/>
      <c r="H13" s="42"/>
      <c r="I13" s="42"/>
      <c r="J13" s="42"/>
      <c r="N13" s="36"/>
      <c r="O13" s="33">
        <v>3</v>
      </c>
      <c r="P13" s="33">
        <v>720</v>
      </c>
      <c r="Q13" s="33">
        <v>19.75</v>
      </c>
      <c r="R13" s="33">
        <v>19.89</v>
      </c>
      <c r="S13" s="33">
        <v>19.82</v>
      </c>
    </row>
    <row r="14" spans="1:25">
      <c r="A14" s="33">
        <v>4</v>
      </c>
      <c r="B14" s="33">
        <v>1080</v>
      </c>
      <c r="C14" s="47"/>
      <c r="D14" s="47"/>
      <c r="E14" s="37" t="e">
        <f t="shared" si="0"/>
        <v>#DIV/0!</v>
      </c>
      <c r="F14" s="41"/>
      <c r="G14" s="42"/>
      <c r="H14" s="42"/>
      <c r="I14" s="42"/>
      <c r="J14" s="42"/>
      <c r="N14" s="36"/>
      <c r="O14" s="33">
        <v>4</v>
      </c>
      <c r="P14" s="33">
        <v>1080</v>
      </c>
      <c r="Q14" s="33">
        <v>20.399999999999999</v>
      </c>
      <c r="R14" s="33">
        <v>20.5</v>
      </c>
      <c r="S14" s="33">
        <v>20.45</v>
      </c>
    </row>
    <row r="15" spans="1:25">
      <c r="A15" s="33">
        <v>5</v>
      </c>
      <c r="B15" s="33">
        <v>1440</v>
      </c>
      <c r="C15" s="47"/>
      <c r="D15" s="47"/>
      <c r="E15" s="37" t="e">
        <f t="shared" si="0"/>
        <v>#DIV/0!</v>
      </c>
      <c r="F15" s="41"/>
      <c r="G15" s="42"/>
      <c r="H15" s="42"/>
      <c r="I15" s="42"/>
      <c r="J15" s="42"/>
      <c r="N15" s="36"/>
      <c r="O15" s="33">
        <v>5</v>
      </c>
      <c r="P15" s="33">
        <v>1440</v>
      </c>
      <c r="Q15" s="33">
        <v>21.05</v>
      </c>
      <c r="R15" s="33">
        <v>21.1</v>
      </c>
      <c r="S15" s="33">
        <v>21.075000000000003</v>
      </c>
    </row>
    <row r="16" spans="1:25">
      <c r="A16" s="33">
        <v>6</v>
      </c>
      <c r="B16" s="33">
        <v>1800</v>
      </c>
      <c r="C16" s="47"/>
      <c r="D16" s="47"/>
      <c r="E16" s="37" t="e">
        <f t="shared" si="0"/>
        <v>#DIV/0!</v>
      </c>
      <c r="F16" s="41"/>
      <c r="G16" s="42"/>
      <c r="H16" s="42"/>
      <c r="I16" s="42"/>
      <c r="J16" s="42"/>
      <c r="N16" s="36"/>
      <c r="O16" s="33">
        <v>6</v>
      </c>
      <c r="P16" s="33">
        <v>1800</v>
      </c>
      <c r="Q16" s="33">
        <v>21.6</v>
      </c>
      <c r="R16" s="33">
        <v>21.62</v>
      </c>
      <c r="S16" s="33">
        <v>21.61</v>
      </c>
    </row>
    <row r="17" spans="1:25">
      <c r="A17" s="33">
        <v>7</v>
      </c>
      <c r="B17" s="33">
        <v>2160</v>
      </c>
      <c r="C17" s="47"/>
      <c r="D17" s="47"/>
      <c r="E17" s="37" t="e">
        <f t="shared" si="0"/>
        <v>#DIV/0!</v>
      </c>
      <c r="F17" s="41"/>
      <c r="G17" s="42"/>
      <c r="H17" s="42"/>
      <c r="I17" s="42"/>
      <c r="J17" s="42"/>
      <c r="N17" s="36"/>
      <c r="O17" s="33">
        <v>7</v>
      </c>
      <c r="P17" s="33">
        <v>2160</v>
      </c>
      <c r="Q17" s="33">
        <v>22.15</v>
      </c>
      <c r="R17" s="33">
        <v>22.19</v>
      </c>
      <c r="S17" s="33">
        <v>22.17</v>
      </c>
    </row>
    <row r="18" spans="1:25">
      <c r="A18" s="33">
        <v>8</v>
      </c>
      <c r="B18" s="33">
        <v>2520</v>
      </c>
      <c r="C18" s="47"/>
      <c r="D18" s="47"/>
      <c r="E18" s="37" t="e">
        <f t="shared" si="0"/>
        <v>#DIV/0!</v>
      </c>
      <c r="F18" s="41"/>
      <c r="G18" s="42"/>
      <c r="H18" s="42"/>
      <c r="I18" s="42"/>
      <c r="J18" s="42"/>
      <c r="N18" s="36"/>
      <c r="O18" s="33">
        <v>8</v>
      </c>
      <c r="P18" s="33">
        <v>2520</v>
      </c>
      <c r="Q18" s="33">
        <v>22.69</v>
      </c>
      <c r="R18" s="33">
        <v>22.69</v>
      </c>
      <c r="S18" s="33">
        <v>22.69</v>
      </c>
    </row>
    <row r="19" spans="1:25">
      <c r="B19" s="40" t="s">
        <v>63</v>
      </c>
      <c r="C19" s="40"/>
      <c r="D19" s="40"/>
      <c r="N19" s="36"/>
      <c r="P19" s="33" t="s">
        <v>64</v>
      </c>
    </row>
    <row r="20" spans="1:25">
      <c r="C20" s="33" t="s">
        <v>65</v>
      </c>
      <c r="D20" s="33" t="s">
        <v>66</v>
      </c>
      <c r="E20" s="33" t="s">
        <v>67</v>
      </c>
      <c r="F20" s="33" t="s">
        <v>68</v>
      </c>
      <c r="G20" s="33" t="s">
        <v>69</v>
      </c>
      <c r="H20" s="33" t="s">
        <v>70</v>
      </c>
      <c r="I20" s="33" t="s">
        <v>71</v>
      </c>
      <c r="J20" s="33" t="s">
        <v>72</v>
      </c>
      <c r="N20" s="36"/>
      <c r="Q20" s="33" t="s">
        <v>73</v>
      </c>
      <c r="R20" s="33" t="s">
        <v>74</v>
      </c>
      <c r="S20" s="33" t="s">
        <v>34</v>
      </c>
      <c r="T20" s="33" t="s">
        <v>58</v>
      </c>
      <c r="U20" s="33" t="s">
        <v>59</v>
      </c>
      <c r="V20" s="33" t="s">
        <v>60</v>
      </c>
      <c r="W20" s="33" t="s">
        <v>61</v>
      </c>
      <c r="X20" s="33" t="s">
        <v>62</v>
      </c>
    </row>
    <row r="21" spans="1:25">
      <c r="B21" s="33">
        <v>1</v>
      </c>
      <c r="C21" s="35" t="e">
        <f t="shared" ref="C21:C24" si="1">E14-E11</f>
        <v>#DIV/0!</v>
      </c>
      <c r="D21" s="43" t="e">
        <f>AVERAGE(C21:C24)</f>
        <v>#DIV/0!</v>
      </c>
      <c r="E21" s="36">
        <v>0.5</v>
      </c>
      <c r="F21" s="36" t="e">
        <f>SQRT((G21*H21)^2+I21^2)</f>
        <v>#DIV/0!</v>
      </c>
      <c r="G21" s="36">
        <v>1.06</v>
      </c>
      <c r="H21" s="36" t="e">
        <f>SQRT(SUM(J21:J24)/($B$24*$B$23))</f>
        <v>#DIV/0!</v>
      </c>
      <c r="I21" s="36">
        <f>E21/SQRT(3)</f>
        <v>0.28867513459481292</v>
      </c>
      <c r="J21" s="33" t="e">
        <f t="shared" ref="J21:J24" si="2">(C21-$D$21)^2</f>
        <v>#DIV/0!</v>
      </c>
      <c r="N21" s="36"/>
      <c r="P21" s="33">
        <v>1</v>
      </c>
      <c r="Q21" s="33">
        <v>2.4499999999999993</v>
      </c>
      <c r="R21" s="38" t="e">
        <f>D21/100</f>
        <v>#DIV/0!</v>
      </c>
      <c r="S21" s="33">
        <v>0.5</v>
      </c>
      <c r="T21" s="33">
        <v>0.3372295765375074</v>
      </c>
      <c r="U21" s="33">
        <v>1.06</v>
      </c>
      <c r="V21" s="33">
        <v>0.16446092494368747</v>
      </c>
      <c r="W21" s="33">
        <v>0.28867513459481292</v>
      </c>
      <c r="X21" s="33">
        <v>0.21738906249999881</v>
      </c>
    </row>
    <row r="22" spans="1:25">
      <c r="B22" s="33">
        <v>2</v>
      </c>
      <c r="C22" s="35" t="e">
        <f t="shared" si="1"/>
        <v>#DIV/0!</v>
      </c>
      <c r="D22" s="43"/>
      <c r="E22" s="36"/>
      <c r="F22" s="36"/>
      <c r="G22" s="36"/>
      <c r="H22" s="36"/>
      <c r="I22" s="36"/>
      <c r="J22" s="33" t="e">
        <f t="shared" si="2"/>
        <v>#DIV/0!</v>
      </c>
      <c r="N22" s="36"/>
      <c r="P22" s="33">
        <v>2</v>
      </c>
      <c r="Q22" s="33">
        <v>1.9750000000000014</v>
      </c>
      <c r="X22" s="33">
        <v>7.6562499999985076E-5</v>
      </c>
    </row>
    <row r="23" spans="1:25">
      <c r="B23" s="33">
        <v>3</v>
      </c>
      <c r="C23" s="35" t="e">
        <f t="shared" si="1"/>
        <v>#DIV/0!</v>
      </c>
      <c r="D23" s="43"/>
      <c r="E23" s="36"/>
      <c r="F23" s="36"/>
      <c r="G23" s="36"/>
      <c r="H23" s="36"/>
      <c r="I23" s="36"/>
      <c r="J23" s="33" t="e">
        <f t="shared" si="2"/>
        <v>#DIV/0!</v>
      </c>
      <c r="N23" s="36"/>
      <c r="P23" s="33">
        <v>3</v>
      </c>
      <c r="Q23" s="33">
        <v>1.7899999999999991</v>
      </c>
      <c r="X23" s="33">
        <v>3.7539062500000553E-2</v>
      </c>
    </row>
    <row r="24" spans="1:25">
      <c r="B24" s="33">
        <v>4</v>
      </c>
      <c r="C24" s="35" t="e">
        <f t="shared" si="1"/>
        <v>#DIV/0!</v>
      </c>
      <c r="D24" s="43"/>
      <c r="E24" s="36"/>
      <c r="F24" s="36"/>
      <c r="G24" s="36"/>
      <c r="H24" s="36"/>
      <c r="I24" s="36"/>
      <c r="J24" s="33" t="e">
        <f t="shared" si="2"/>
        <v>#DIV/0!</v>
      </c>
      <c r="N24" s="36"/>
      <c r="P24" s="33">
        <v>4</v>
      </c>
      <c r="Q24" s="33">
        <v>1.7200000000000024</v>
      </c>
      <c r="X24" s="33">
        <v>6.9564062499999024E-2</v>
      </c>
    </row>
    <row r="25" spans="1:25">
      <c r="F25" s="33" t="e">
        <f>ROUNDUP(F21,2)</f>
        <v>#DIV/0!</v>
      </c>
      <c r="N25" s="36"/>
      <c r="T25" s="33">
        <v>0.34</v>
      </c>
    </row>
    <row r="26" spans="1:25">
      <c r="A26" s="33" t="s">
        <v>48</v>
      </c>
      <c r="B26" s="33" t="s">
        <v>75</v>
      </c>
      <c r="C26" s="33" t="s">
        <v>76</v>
      </c>
      <c r="D26" s="33" t="s">
        <v>77</v>
      </c>
      <c r="E26" s="33" t="s">
        <v>78</v>
      </c>
      <c r="F26" s="33" t="s">
        <v>79</v>
      </c>
      <c r="G26" s="33" t="s">
        <v>80</v>
      </c>
      <c r="H26" s="33" t="s">
        <v>81</v>
      </c>
      <c r="I26" s="33" t="s">
        <v>82</v>
      </c>
      <c r="J26" s="33" t="s">
        <v>71</v>
      </c>
      <c r="K26" s="33" t="s">
        <v>83</v>
      </c>
      <c r="N26" s="36"/>
      <c r="O26" s="33" t="s">
        <v>53</v>
      </c>
      <c r="P26" s="33" t="s">
        <v>84</v>
      </c>
      <c r="Q26" s="33" t="s">
        <v>85</v>
      </c>
      <c r="R26" s="33" t="s">
        <v>86</v>
      </c>
      <c r="S26" s="33" t="s">
        <v>87</v>
      </c>
      <c r="T26" s="33" t="s">
        <v>34</v>
      </c>
      <c r="U26" s="33" t="s">
        <v>88</v>
      </c>
      <c r="V26" s="33" t="s">
        <v>59</v>
      </c>
      <c r="W26" s="33" t="s">
        <v>60</v>
      </c>
      <c r="X26" s="33" t="s">
        <v>61</v>
      </c>
      <c r="Y26" s="33" t="s">
        <v>62</v>
      </c>
    </row>
    <row r="27" spans="1:25">
      <c r="A27" s="33">
        <v>1</v>
      </c>
      <c r="B27" s="44">
        <v>0.29199999999999998</v>
      </c>
      <c r="C27" s="45">
        <f>-0.01</f>
        <v>-0.01</v>
      </c>
      <c r="D27" s="44">
        <f t="shared" ref="D27:D31" si="3">B27-$C$27</f>
        <v>0.30199999999999999</v>
      </c>
      <c r="E27" s="45">
        <f>AVERAGE(D27:D31)</f>
        <v>0.30639999999999995</v>
      </c>
      <c r="F27" s="45">
        <v>4.0000000000000001E-3</v>
      </c>
      <c r="G27" s="36">
        <f>SQRT((H27*I27)^2+J27^2)</f>
        <v>2.7245603926749976E-3</v>
      </c>
      <c r="H27" s="36">
        <v>1.06</v>
      </c>
      <c r="I27" s="36">
        <f>SQRT(SUM(K27:K31)/($A$31*$A$30))</f>
        <v>1.3638181696985867E-3</v>
      </c>
      <c r="J27" s="36">
        <f>F27/SQRT(3)</f>
        <v>2.3094010767585032E-3</v>
      </c>
      <c r="K27" s="46">
        <f>(D27-$E$27)^2</f>
        <v>1.9359999999999645E-5</v>
      </c>
      <c r="N27" s="36"/>
      <c r="O27" s="33">
        <v>1</v>
      </c>
      <c r="P27" s="33">
        <v>0.29199999999999998</v>
      </c>
      <c r="Q27" s="33">
        <v>-0.01</v>
      </c>
      <c r="R27" s="33">
        <v>0.30199999999999999</v>
      </c>
      <c r="S27" s="38">
        <f>E27/1000</f>
        <v>3.0639999999999997E-4</v>
      </c>
      <c r="T27" s="33">
        <v>4.0000000000000001E-3</v>
      </c>
      <c r="U27" s="33">
        <v>2.7245603926749976E-3</v>
      </c>
      <c r="V27" s="33">
        <v>1.06</v>
      </c>
      <c r="W27" s="33">
        <v>1.3638181696985867E-3</v>
      </c>
      <c r="X27" s="33">
        <v>2.3094010767585032E-3</v>
      </c>
      <c r="Y27" s="33">
        <v>1.9359999999999645E-5</v>
      </c>
    </row>
    <row r="28" spans="1:25">
      <c r="A28" s="33">
        <v>2</v>
      </c>
      <c r="B28" s="44">
        <v>0.3</v>
      </c>
      <c r="C28" s="45"/>
      <c r="D28" s="44">
        <f t="shared" si="3"/>
        <v>0.31</v>
      </c>
      <c r="E28" s="45"/>
      <c r="F28" s="45"/>
      <c r="G28" s="36"/>
      <c r="H28" s="36"/>
      <c r="I28" s="36"/>
      <c r="J28" s="36"/>
      <c r="K28" s="46">
        <f t="shared" ref="K28:K31" si="4">(D28-$E$27)^2</f>
        <v>1.2960000000000343E-5</v>
      </c>
      <c r="N28" s="36"/>
      <c r="O28" s="33">
        <v>2</v>
      </c>
      <c r="P28" s="33">
        <v>0.3</v>
      </c>
      <c r="R28" s="33">
        <v>0.31</v>
      </c>
      <c r="Y28" s="33">
        <v>1.2960000000000343E-5</v>
      </c>
    </row>
    <row r="29" spans="1:25">
      <c r="A29" s="33">
        <v>3</v>
      </c>
      <c r="B29" s="44">
        <v>0.29799999999999999</v>
      </c>
      <c r="C29" s="45"/>
      <c r="D29" s="44">
        <f t="shared" si="3"/>
        <v>0.308</v>
      </c>
      <c r="E29" s="45"/>
      <c r="F29" s="45"/>
      <c r="G29" s="36"/>
      <c r="H29" s="36"/>
      <c r="I29" s="36"/>
      <c r="J29" s="36"/>
      <c r="K29" s="46">
        <f t="shared" si="4"/>
        <v>2.5600000000001466E-6</v>
      </c>
      <c r="N29" s="36"/>
      <c r="O29" s="33">
        <v>3</v>
      </c>
      <c r="P29" s="33">
        <v>0.29799999999999999</v>
      </c>
      <c r="R29" s="33">
        <v>0.308</v>
      </c>
      <c r="Y29" s="33">
        <v>2.5600000000001466E-6</v>
      </c>
    </row>
    <row r="30" spans="1:25">
      <c r="A30" s="33">
        <v>4</v>
      </c>
      <c r="B30" s="44">
        <v>0.29499999999999998</v>
      </c>
      <c r="C30" s="45"/>
      <c r="D30" s="44">
        <f t="shared" si="3"/>
        <v>0.30499999999999999</v>
      </c>
      <c r="E30" s="45"/>
      <c r="F30" s="45"/>
      <c r="G30" s="36"/>
      <c r="H30" s="36"/>
      <c r="I30" s="36"/>
      <c r="J30" s="36"/>
      <c r="K30" s="46">
        <f t="shared" si="4"/>
        <v>1.9599999999998792E-6</v>
      </c>
      <c r="N30" s="36"/>
      <c r="O30" s="33">
        <v>4</v>
      </c>
      <c r="P30" s="33">
        <v>0.29499999999999998</v>
      </c>
      <c r="R30" s="33">
        <v>0.30499999999999999</v>
      </c>
      <c r="Y30" s="33">
        <v>1.9599999999998792E-6</v>
      </c>
    </row>
    <row r="31" spans="1:25">
      <c r="A31" s="33">
        <v>5</v>
      </c>
      <c r="B31" s="44">
        <v>0.29699999999999999</v>
      </c>
      <c r="C31" s="45"/>
      <c r="D31" s="44">
        <f t="shared" si="3"/>
        <v>0.307</v>
      </c>
      <c r="E31" s="45"/>
      <c r="F31" s="45"/>
      <c r="G31" s="36"/>
      <c r="H31" s="36"/>
      <c r="I31" s="36"/>
      <c r="J31" s="36"/>
      <c r="K31" s="46">
        <f t="shared" si="4"/>
        <v>3.6000000000005394E-7</v>
      </c>
      <c r="N31" s="36"/>
      <c r="O31" s="33">
        <v>5</v>
      </c>
      <c r="P31" s="33">
        <v>0.29699999999999999</v>
      </c>
      <c r="R31" s="33">
        <v>0.307</v>
      </c>
      <c r="Y31" s="33">
        <v>3.6000000000005394E-7</v>
      </c>
    </row>
    <row r="32" spans="1:25">
      <c r="G32" s="42">
        <f>ROUNDUP(G27,3)</f>
        <v>3.0000000000000001E-3</v>
      </c>
      <c r="H32" s="42"/>
      <c r="I32" s="42"/>
      <c r="J32" s="42"/>
      <c r="N32" s="36"/>
      <c r="U32" s="33">
        <v>3.0000000000000001E-3</v>
      </c>
    </row>
    <row r="33" spans="2:11">
      <c r="B33" s="36" t="s">
        <v>89</v>
      </c>
      <c r="C33" s="36"/>
      <c r="D33" s="36"/>
      <c r="E33" s="36"/>
      <c r="F33" s="36"/>
      <c r="G33" s="36"/>
      <c r="H33" s="36"/>
      <c r="I33" s="36"/>
      <c r="J33" s="36"/>
      <c r="K33" s="36"/>
    </row>
    <row r="34" spans="2:11">
      <c r="B34" s="48" t="e">
        <f>(8*4*P8*9.8*P2*P4)/(PI()*S27^2*P6*R21)</f>
        <v>#DIV/0!</v>
      </c>
      <c r="C34" s="48"/>
      <c r="D34" s="48"/>
      <c r="E34" s="48"/>
      <c r="F34" s="48"/>
      <c r="G34" s="48"/>
      <c r="H34" s="48"/>
      <c r="I34" s="48"/>
      <c r="J34" s="48"/>
      <c r="K34" s="48"/>
    </row>
    <row r="35" spans="2:11">
      <c r="B35" s="36" t="s">
        <v>25</v>
      </c>
      <c r="C35" s="36"/>
      <c r="D35" s="36"/>
      <c r="E35" s="36"/>
      <c r="F35" s="36"/>
      <c r="G35" s="36"/>
      <c r="H35" s="36"/>
      <c r="I35" s="36"/>
      <c r="J35" s="36"/>
      <c r="K35" s="36"/>
    </row>
    <row r="36" spans="2:11">
      <c r="B36" s="40" t="e">
        <f>SQRT(G2^2+H2^2+I2^2+(2*J2)^2+K2^2+L2^2)</f>
        <v>#DIV/0!</v>
      </c>
      <c r="C36" s="40"/>
      <c r="D36" s="40"/>
      <c r="E36" s="40"/>
      <c r="F36" s="40"/>
      <c r="G36" s="40"/>
      <c r="H36" s="40"/>
      <c r="I36" s="40"/>
      <c r="J36" s="40"/>
      <c r="K36" s="40"/>
    </row>
    <row r="37" spans="2:11">
      <c r="B37" s="36" t="s">
        <v>90</v>
      </c>
      <c r="C37" s="36"/>
      <c r="D37" s="36"/>
      <c r="E37" s="36"/>
      <c r="F37" s="36"/>
      <c r="G37" s="36"/>
      <c r="H37" s="36"/>
      <c r="I37" s="36"/>
      <c r="J37" s="36"/>
      <c r="K37" s="36"/>
    </row>
    <row r="38" spans="2:11">
      <c r="B38" s="48" t="e">
        <f>B34*B36</f>
        <v>#DIV/0!</v>
      </c>
      <c r="C38" s="40"/>
      <c r="D38" s="40"/>
      <c r="E38" s="40"/>
      <c r="F38" s="40"/>
      <c r="G38" s="40"/>
      <c r="H38" s="40"/>
      <c r="I38" s="40"/>
      <c r="J38" s="40"/>
      <c r="K38" s="40"/>
    </row>
  </sheetData>
  <mergeCells count="30">
    <mergeCell ref="B38:K38"/>
    <mergeCell ref="J27:J31"/>
    <mergeCell ref="B33:K33"/>
    <mergeCell ref="B34:K34"/>
    <mergeCell ref="B35:K35"/>
    <mergeCell ref="B36:K36"/>
    <mergeCell ref="B37:K37"/>
    <mergeCell ref="I21:I24"/>
    <mergeCell ref="C27:C31"/>
    <mergeCell ref="E27:E31"/>
    <mergeCell ref="F27:F31"/>
    <mergeCell ref="G27:G31"/>
    <mergeCell ref="H27:H31"/>
    <mergeCell ref="I27:I31"/>
    <mergeCell ref="A9:E9"/>
    <mergeCell ref="F11:F18"/>
    <mergeCell ref="B19:D19"/>
    <mergeCell ref="D21:D24"/>
    <mergeCell ref="E21:E24"/>
    <mergeCell ref="F21:F24"/>
    <mergeCell ref="F1:F8"/>
    <mergeCell ref="N1:N32"/>
    <mergeCell ref="G2:G8"/>
    <mergeCell ref="H2:H8"/>
    <mergeCell ref="I2:I8"/>
    <mergeCell ref="J2:J8"/>
    <mergeCell ref="K2:K8"/>
    <mergeCell ref="L2:L8"/>
    <mergeCell ref="G21:G24"/>
    <mergeCell ref="H21:H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70" zoomScaleNormal="70" workbookViewId="0">
      <selection activeCell="B59" activeCellId="1" sqref="B3:C13 B59:C69"/>
    </sheetView>
  </sheetViews>
  <sheetFormatPr defaultRowHeight="13.9"/>
  <cols>
    <col min="1" max="16384" width="9.06640625" style="22"/>
  </cols>
  <sheetData>
    <row r="1" spans="1:7">
      <c r="A1" s="21" t="s">
        <v>91</v>
      </c>
      <c r="B1" s="21"/>
      <c r="C1" s="21"/>
      <c r="F1" s="21"/>
      <c r="G1" s="21"/>
    </row>
    <row r="2" spans="1:7">
      <c r="A2" s="22" t="s">
        <v>92</v>
      </c>
      <c r="B2" s="22" t="s">
        <v>93</v>
      </c>
      <c r="C2" s="22" t="s">
        <v>94</v>
      </c>
    </row>
    <row r="3" spans="1:7">
      <c r="A3" s="22">
        <v>1</v>
      </c>
      <c r="B3" s="26"/>
      <c r="C3" s="26"/>
      <c r="E3" s="27"/>
      <c r="F3" s="28"/>
      <c r="G3" s="28"/>
    </row>
    <row r="4" spans="1:7">
      <c r="A4" s="22">
        <v>2</v>
      </c>
      <c r="B4" s="26"/>
      <c r="C4" s="26"/>
      <c r="E4" s="27"/>
      <c r="F4" s="28"/>
      <c r="G4" s="28"/>
    </row>
    <row r="5" spans="1:7">
      <c r="A5" s="22">
        <v>3</v>
      </c>
      <c r="B5" s="26"/>
      <c r="C5" s="26"/>
      <c r="E5" s="27"/>
      <c r="F5" s="28"/>
      <c r="G5" s="28"/>
    </row>
    <row r="6" spans="1:7">
      <c r="A6" s="22">
        <v>4</v>
      </c>
      <c r="B6" s="26"/>
      <c r="C6" s="26"/>
      <c r="E6" s="27"/>
      <c r="F6" s="28"/>
      <c r="G6" s="28"/>
    </row>
    <row r="7" spans="1:7">
      <c r="A7" s="22">
        <v>5</v>
      </c>
      <c r="B7" s="26"/>
      <c r="C7" s="26"/>
      <c r="E7" s="27"/>
      <c r="F7" s="28"/>
      <c r="G7" s="28"/>
    </row>
    <row r="8" spans="1:7">
      <c r="A8" s="22">
        <v>6</v>
      </c>
      <c r="B8" s="26"/>
      <c r="C8" s="26"/>
      <c r="E8" s="27"/>
      <c r="F8" s="28"/>
      <c r="G8" s="28"/>
    </row>
    <row r="9" spans="1:7">
      <c r="A9" s="22">
        <v>7</v>
      </c>
      <c r="B9" s="26"/>
      <c r="C9" s="26"/>
      <c r="E9" s="27"/>
      <c r="F9" s="28"/>
      <c r="G9" s="28"/>
    </row>
    <row r="10" spans="1:7">
      <c r="A10" s="22">
        <v>8</v>
      </c>
      <c r="B10" s="26"/>
      <c r="C10" s="26"/>
      <c r="E10" s="27"/>
      <c r="F10" s="28"/>
      <c r="G10" s="28"/>
    </row>
    <row r="11" spans="1:7">
      <c r="A11" s="22">
        <v>9</v>
      </c>
      <c r="B11" s="26"/>
      <c r="C11" s="26"/>
      <c r="E11" s="27"/>
      <c r="F11" s="28"/>
      <c r="G11" s="28"/>
    </row>
    <row r="12" spans="1:7">
      <c r="A12" s="22">
        <v>10</v>
      </c>
      <c r="B12" s="26"/>
      <c r="C12" s="26"/>
      <c r="E12" s="27"/>
      <c r="F12" s="28"/>
      <c r="G12" s="28"/>
    </row>
    <row r="13" spans="1:7">
      <c r="A13" s="22">
        <v>11</v>
      </c>
      <c r="B13" s="26"/>
      <c r="C13" s="26"/>
      <c r="E13" s="27"/>
      <c r="F13" s="28"/>
      <c r="G13" s="28"/>
    </row>
    <row r="14" spans="1:7">
      <c r="E14" s="27"/>
      <c r="F14" s="27"/>
      <c r="G14" s="27"/>
    </row>
    <row r="15" spans="1:7">
      <c r="E15" s="27"/>
      <c r="F15" s="27"/>
      <c r="G15" s="27"/>
    </row>
    <row r="16" spans="1:7">
      <c r="B16" s="21" t="s">
        <v>95</v>
      </c>
      <c r="C16" s="21"/>
      <c r="E16" s="27"/>
      <c r="F16" s="27"/>
      <c r="G16" s="27"/>
    </row>
    <row r="17" spans="1:7">
      <c r="A17" s="22" t="s">
        <v>96</v>
      </c>
      <c r="B17" s="22" t="s">
        <v>97</v>
      </c>
      <c r="C17" s="22" t="s">
        <v>98</v>
      </c>
      <c r="E17" s="27"/>
      <c r="F17" s="27"/>
      <c r="G17" s="27"/>
    </row>
    <row r="18" spans="1:7" hidden="1">
      <c r="A18" s="22">
        <v>1</v>
      </c>
      <c r="B18" s="23">
        <v>0</v>
      </c>
      <c r="C18" s="23">
        <v>0.01</v>
      </c>
      <c r="D18" s="16" t="s">
        <v>99</v>
      </c>
      <c r="E18" s="27"/>
      <c r="F18" s="28"/>
      <c r="G18" s="28"/>
    </row>
    <row r="19" spans="1:7" hidden="1">
      <c r="A19" s="22">
        <v>2</v>
      </c>
      <c r="B19" s="23">
        <v>0.2</v>
      </c>
      <c r="C19" s="23">
        <v>0.01</v>
      </c>
      <c r="D19" s="16"/>
      <c r="E19" s="27"/>
      <c r="F19" s="28"/>
      <c r="G19" s="28"/>
    </row>
    <row r="20" spans="1:7" hidden="1">
      <c r="A20" s="22">
        <v>3</v>
      </c>
      <c r="B20" s="23">
        <v>0.4</v>
      </c>
      <c r="C20" s="23">
        <v>0.01</v>
      </c>
      <c r="D20" s="16"/>
      <c r="E20" s="27"/>
      <c r="F20" s="28"/>
      <c r="G20" s="28"/>
    </row>
    <row r="21" spans="1:7" hidden="1">
      <c r="A21" s="22">
        <v>4</v>
      </c>
      <c r="B21" s="23">
        <v>0.6</v>
      </c>
      <c r="C21" s="23">
        <v>0.01</v>
      </c>
      <c r="D21" s="16"/>
      <c r="E21" s="27"/>
      <c r="F21" s="28"/>
      <c r="G21" s="28"/>
    </row>
    <row r="22" spans="1:7" hidden="1">
      <c r="A22" s="22">
        <v>5</v>
      </c>
      <c r="B22" s="23">
        <v>0.8</v>
      </c>
      <c r="C22" s="23">
        <v>0.01</v>
      </c>
      <c r="D22" s="16"/>
      <c r="E22" s="27"/>
      <c r="F22" s="28"/>
      <c r="G22" s="28"/>
    </row>
    <row r="23" spans="1:7" hidden="1">
      <c r="A23" s="22">
        <v>6</v>
      </c>
      <c r="B23" s="23">
        <v>1</v>
      </c>
      <c r="C23" s="23">
        <v>0.01</v>
      </c>
      <c r="D23" s="16"/>
      <c r="E23" s="27"/>
      <c r="F23" s="28"/>
      <c r="G23" s="28"/>
    </row>
    <row r="24" spans="1:7" hidden="1">
      <c r="A24" s="22">
        <v>7</v>
      </c>
      <c r="B24" s="23">
        <v>1.2</v>
      </c>
      <c r="C24" s="23">
        <v>0.01</v>
      </c>
      <c r="D24" s="16"/>
      <c r="E24" s="27"/>
      <c r="F24" s="28"/>
      <c r="G24" s="28"/>
    </row>
    <row r="25" spans="1:7" hidden="1">
      <c r="A25" s="22">
        <v>8</v>
      </c>
      <c r="B25" s="23">
        <v>1.4</v>
      </c>
      <c r="C25" s="23">
        <v>0.01</v>
      </c>
      <c r="D25" s="16"/>
      <c r="E25" s="27"/>
      <c r="F25" s="28"/>
      <c r="G25" s="28"/>
    </row>
    <row r="26" spans="1:7" hidden="1">
      <c r="A26" s="22">
        <v>9</v>
      </c>
      <c r="B26" s="23">
        <v>1.6</v>
      </c>
      <c r="C26" s="23">
        <v>0.01</v>
      </c>
      <c r="D26" s="16"/>
      <c r="E26" s="27"/>
      <c r="F26" s="28"/>
      <c r="G26" s="28"/>
    </row>
    <row r="27" spans="1:7" hidden="1">
      <c r="A27" s="22">
        <v>10</v>
      </c>
      <c r="B27" s="23">
        <v>1.8</v>
      </c>
      <c r="C27" s="23">
        <v>0.01</v>
      </c>
      <c r="D27" s="16"/>
      <c r="E27" s="27"/>
      <c r="F27" s="28"/>
      <c r="G27" s="28"/>
    </row>
    <row r="28" spans="1:7" hidden="1">
      <c r="A28" s="22">
        <v>11</v>
      </c>
      <c r="B28" s="23">
        <v>2</v>
      </c>
      <c r="C28" s="23">
        <v>0.01</v>
      </c>
      <c r="D28" s="16"/>
      <c r="E28" s="27"/>
      <c r="F28" s="28"/>
      <c r="G28" s="28"/>
    </row>
    <row r="29" spans="1:7" hidden="1">
      <c r="A29" s="22">
        <v>12</v>
      </c>
      <c r="B29" s="23">
        <v>2.2000000000000002</v>
      </c>
      <c r="C29" s="23">
        <v>0.01</v>
      </c>
      <c r="D29" s="16"/>
      <c r="E29" s="27"/>
      <c r="F29" s="28"/>
      <c r="G29" s="28"/>
    </row>
    <row r="30" spans="1:7" hidden="1">
      <c r="A30" s="22">
        <v>13</v>
      </c>
      <c r="B30" s="23">
        <v>2.4</v>
      </c>
      <c r="C30" s="23">
        <v>0.01</v>
      </c>
      <c r="D30" s="16"/>
      <c r="E30" s="27"/>
      <c r="F30" s="28"/>
      <c r="G30" s="28"/>
    </row>
    <row r="31" spans="1:7" hidden="1">
      <c r="A31" s="22">
        <v>14</v>
      </c>
      <c r="B31" s="23">
        <v>2.6</v>
      </c>
      <c r="C31" s="23">
        <v>0.01</v>
      </c>
      <c r="D31" s="16"/>
      <c r="E31" s="27"/>
      <c r="F31" s="28"/>
      <c r="G31" s="28"/>
    </row>
    <row r="32" spans="1:7" hidden="1">
      <c r="A32" s="22">
        <v>15</v>
      </c>
      <c r="B32" s="23">
        <v>2.8</v>
      </c>
      <c r="C32" s="23">
        <v>0.01</v>
      </c>
      <c r="D32" s="16"/>
      <c r="E32" s="27"/>
      <c r="F32" s="28"/>
      <c r="G32" s="28"/>
    </row>
    <row r="33" spans="1:7" hidden="1">
      <c r="A33" s="22">
        <v>16</v>
      </c>
      <c r="B33" s="23">
        <v>3</v>
      </c>
      <c r="C33" s="23">
        <v>0.01</v>
      </c>
      <c r="D33" s="16"/>
      <c r="E33" s="27"/>
      <c r="F33" s="28"/>
      <c r="G33" s="28"/>
    </row>
    <row r="34" spans="1:7" hidden="1">
      <c r="A34" s="22">
        <v>17</v>
      </c>
      <c r="B34" s="23">
        <v>3.2</v>
      </c>
      <c r="C34" s="23">
        <v>0.01</v>
      </c>
      <c r="D34" s="16"/>
      <c r="E34" s="27"/>
      <c r="F34" s="28"/>
      <c r="G34" s="28"/>
    </row>
    <row r="35" spans="1:7" hidden="1">
      <c r="A35" s="22">
        <v>18</v>
      </c>
      <c r="B35" s="23">
        <v>3.4</v>
      </c>
      <c r="C35" s="23">
        <v>0.01</v>
      </c>
      <c r="D35" s="16"/>
      <c r="E35" s="27"/>
      <c r="F35" s="28"/>
      <c r="G35" s="28"/>
    </row>
    <row r="36" spans="1:7" hidden="1">
      <c r="A36" s="22">
        <v>19</v>
      </c>
      <c r="B36" s="23">
        <v>3.6</v>
      </c>
      <c r="C36" s="23">
        <v>0.01</v>
      </c>
      <c r="D36" s="16"/>
      <c r="E36" s="27"/>
      <c r="F36" s="28"/>
      <c r="G36" s="28"/>
    </row>
    <row r="37" spans="1:7" hidden="1">
      <c r="A37" s="22">
        <v>20</v>
      </c>
      <c r="B37" s="23">
        <v>3.8</v>
      </c>
      <c r="C37" s="23">
        <v>0.01</v>
      </c>
      <c r="D37" s="16"/>
      <c r="E37" s="27"/>
      <c r="F37" s="28"/>
      <c r="G37" s="28"/>
    </row>
    <row r="38" spans="1:7" hidden="1">
      <c r="A38" s="22">
        <v>21</v>
      </c>
      <c r="B38" s="23">
        <v>4</v>
      </c>
      <c r="C38" s="23">
        <v>0.01</v>
      </c>
      <c r="D38" s="16"/>
      <c r="E38" s="27"/>
      <c r="F38" s="28"/>
      <c r="G38" s="28"/>
    </row>
    <row r="39" spans="1:7" hidden="1">
      <c r="A39" s="22">
        <v>22</v>
      </c>
      <c r="B39" s="23">
        <v>4.2</v>
      </c>
      <c r="C39" s="23">
        <v>0.01</v>
      </c>
      <c r="D39" s="16"/>
      <c r="E39" s="27"/>
      <c r="F39" s="28"/>
      <c r="G39" s="28"/>
    </row>
    <row r="40" spans="1:7" hidden="1">
      <c r="A40" s="22">
        <v>23</v>
      </c>
      <c r="B40" s="23">
        <v>4.4000000000000004</v>
      </c>
      <c r="C40" s="23">
        <v>0.01</v>
      </c>
      <c r="D40" s="16"/>
      <c r="E40" s="27"/>
      <c r="F40" s="28"/>
      <c r="G40" s="28"/>
    </row>
    <row r="41" spans="1:7" hidden="1">
      <c r="A41" s="22">
        <v>24</v>
      </c>
      <c r="B41" s="23">
        <v>4.5999999999999996</v>
      </c>
      <c r="C41" s="23">
        <v>0.01</v>
      </c>
      <c r="D41" s="16"/>
      <c r="E41" s="27"/>
      <c r="F41" s="28"/>
      <c r="G41" s="28"/>
    </row>
    <row r="42" spans="1:7" hidden="1">
      <c r="A42" s="22">
        <v>25</v>
      </c>
      <c r="B42" s="23">
        <v>4.8</v>
      </c>
      <c r="C42" s="23">
        <v>0.01</v>
      </c>
      <c r="D42" s="16"/>
      <c r="E42" s="27"/>
      <c r="F42" s="28"/>
      <c r="G42" s="28"/>
    </row>
    <row r="43" spans="1:7" hidden="1">
      <c r="A43" s="22">
        <v>26</v>
      </c>
      <c r="B43" s="23">
        <v>5</v>
      </c>
      <c r="C43" s="23">
        <v>0.01</v>
      </c>
      <c r="D43" s="16"/>
      <c r="E43" s="27"/>
      <c r="F43" s="28"/>
      <c r="G43" s="28"/>
    </row>
    <row r="44" spans="1:7" hidden="1">
      <c r="A44" s="22">
        <v>27</v>
      </c>
      <c r="B44" s="23">
        <v>5.2</v>
      </c>
      <c r="C44" s="23">
        <v>0.01</v>
      </c>
      <c r="D44" s="16"/>
      <c r="E44" s="27"/>
      <c r="F44" s="28"/>
      <c r="G44" s="28"/>
    </row>
    <row r="45" spans="1:7" hidden="1">
      <c r="A45" s="22">
        <v>28</v>
      </c>
      <c r="B45" s="23">
        <v>5.4</v>
      </c>
      <c r="C45" s="23">
        <v>0.01</v>
      </c>
      <c r="D45" s="16"/>
      <c r="E45" s="27"/>
      <c r="F45" s="28"/>
      <c r="G45" s="28"/>
    </row>
    <row r="46" spans="1:7" hidden="1">
      <c r="A46" s="22">
        <v>29</v>
      </c>
      <c r="B46" s="23">
        <v>5.6</v>
      </c>
      <c r="C46" s="23">
        <v>0.01</v>
      </c>
      <c r="D46" s="16"/>
      <c r="E46" s="27"/>
      <c r="F46" s="28"/>
      <c r="G46" s="28"/>
    </row>
    <row r="47" spans="1:7" hidden="1">
      <c r="A47" s="22">
        <v>30</v>
      </c>
      <c r="B47" s="23">
        <v>5.8</v>
      </c>
      <c r="C47" s="23">
        <v>0.01</v>
      </c>
      <c r="D47" s="16"/>
      <c r="E47" s="27"/>
      <c r="F47" s="28"/>
      <c r="G47" s="28"/>
    </row>
    <row r="48" spans="1:7" hidden="1">
      <c r="A48" s="22">
        <v>31</v>
      </c>
      <c r="B48" s="23">
        <v>6</v>
      </c>
      <c r="C48" s="23">
        <v>0.01</v>
      </c>
      <c r="D48" s="16"/>
      <c r="E48" s="27"/>
      <c r="F48" s="28"/>
      <c r="G48" s="28"/>
    </row>
    <row r="49" spans="1:7" hidden="1">
      <c r="A49" s="22">
        <v>32</v>
      </c>
      <c r="B49" s="23">
        <v>6.2</v>
      </c>
      <c r="C49" s="23">
        <v>0.01</v>
      </c>
      <c r="D49" s="16"/>
      <c r="E49" s="27"/>
      <c r="F49" s="28"/>
      <c r="G49" s="28"/>
    </row>
    <row r="50" spans="1:7" hidden="1">
      <c r="A50" s="22">
        <v>33</v>
      </c>
      <c r="B50" s="23">
        <v>6.4</v>
      </c>
      <c r="C50" s="23">
        <v>0.01</v>
      </c>
      <c r="D50" s="16"/>
      <c r="E50" s="27"/>
      <c r="F50" s="28"/>
      <c r="G50" s="28"/>
    </row>
    <row r="51" spans="1:7" hidden="1">
      <c r="A51" s="22">
        <v>34</v>
      </c>
      <c r="B51" s="23">
        <v>6.6</v>
      </c>
      <c r="C51" s="23">
        <v>0.01</v>
      </c>
      <c r="D51" s="16"/>
      <c r="E51" s="27"/>
      <c r="F51" s="28"/>
      <c r="G51" s="28"/>
    </row>
    <row r="52" spans="1:7" hidden="1">
      <c r="A52" s="22">
        <v>35</v>
      </c>
      <c r="B52" s="23">
        <v>6.8</v>
      </c>
      <c r="C52" s="23">
        <v>0.01</v>
      </c>
      <c r="D52" s="16"/>
      <c r="E52" s="27"/>
      <c r="F52" s="28"/>
      <c r="G52" s="28"/>
    </row>
    <row r="53" spans="1:7" hidden="1">
      <c r="A53" s="22">
        <v>36</v>
      </c>
      <c r="B53" s="23">
        <v>7</v>
      </c>
      <c r="C53" s="23">
        <v>0.01</v>
      </c>
      <c r="D53" s="16"/>
      <c r="E53" s="27"/>
      <c r="F53" s="28"/>
      <c r="G53" s="28"/>
    </row>
    <row r="54" spans="1:7" hidden="1">
      <c r="A54" s="22">
        <v>37</v>
      </c>
      <c r="B54" s="23">
        <v>7.2</v>
      </c>
      <c r="C54" s="23">
        <v>0.01</v>
      </c>
      <c r="D54" s="16"/>
      <c r="E54" s="27"/>
      <c r="F54" s="28"/>
      <c r="G54" s="28"/>
    </row>
    <row r="55" spans="1:7" hidden="1">
      <c r="A55" s="22">
        <v>38</v>
      </c>
      <c r="B55" s="23">
        <v>7.4</v>
      </c>
      <c r="C55" s="23">
        <v>0.01</v>
      </c>
      <c r="D55" s="16"/>
      <c r="E55" s="27"/>
      <c r="F55" s="28"/>
      <c r="G55" s="28"/>
    </row>
    <row r="56" spans="1:7" hidden="1">
      <c r="A56" s="22">
        <v>39</v>
      </c>
      <c r="B56" s="23">
        <v>7.6</v>
      </c>
      <c r="C56" s="23">
        <v>0.01</v>
      </c>
      <c r="D56" s="16"/>
      <c r="E56" s="27"/>
      <c r="F56" s="28"/>
      <c r="G56" s="28"/>
    </row>
    <row r="57" spans="1:7" hidden="1">
      <c r="A57" s="22">
        <v>40</v>
      </c>
      <c r="B57" s="23">
        <v>7.8</v>
      </c>
      <c r="C57" s="23">
        <v>0.01</v>
      </c>
      <c r="D57" s="16"/>
      <c r="E57" s="27"/>
      <c r="F57" s="28"/>
      <c r="G57" s="28"/>
    </row>
    <row r="58" spans="1:7" ht="13.5" hidden="1">
      <c r="A58" s="22">
        <v>41</v>
      </c>
      <c r="B58" s="23">
        <v>8</v>
      </c>
      <c r="C58" s="23">
        <v>0.01</v>
      </c>
      <c r="D58" s="16"/>
      <c r="E58" s="27"/>
      <c r="F58" s="28"/>
      <c r="G58" s="28"/>
    </row>
    <row r="59" spans="1:7">
      <c r="A59" s="22">
        <v>42</v>
      </c>
      <c r="B59" s="26"/>
      <c r="C59" s="26"/>
      <c r="D59" s="24" t="s">
        <v>100</v>
      </c>
      <c r="E59" s="27"/>
      <c r="F59" s="28"/>
      <c r="G59" s="28"/>
    </row>
    <row r="60" spans="1:7">
      <c r="A60" s="22">
        <v>43</v>
      </c>
      <c r="B60" s="26"/>
      <c r="C60" s="26"/>
      <c r="D60" s="24"/>
      <c r="E60" s="27"/>
      <c r="F60" s="28"/>
      <c r="G60" s="28"/>
    </row>
    <row r="61" spans="1:7">
      <c r="A61" s="22">
        <v>44</v>
      </c>
      <c r="B61" s="26"/>
      <c r="C61" s="26"/>
      <c r="D61" s="24"/>
      <c r="E61" s="27"/>
      <c r="F61" s="28"/>
      <c r="G61" s="28"/>
    </row>
    <row r="62" spans="1:7">
      <c r="A62" s="22">
        <v>45</v>
      </c>
      <c r="B62" s="26"/>
      <c r="C62" s="26"/>
      <c r="D62" s="24"/>
      <c r="E62" s="27"/>
      <c r="F62" s="28"/>
      <c r="G62" s="28"/>
    </row>
    <row r="63" spans="1:7">
      <c r="A63" s="22">
        <v>46</v>
      </c>
      <c r="B63" s="26"/>
      <c r="C63" s="26"/>
      <c r="D63" s="24"/>
      <c r="E63" s="27"/>
      <c r="F63" s="28"/>
      <c r="G63" s="28"/>
    </row>
    <row r="64" spans="1:7">
      <c r="A64" s="22">
        <v>47</v>
      </c>
      <c r="B64" s="26"/>
      <c r="C64" s="26"/>
      <c r="D64" s="24"/>
      <c r="E64" s="27"/>
      <c r="F64" s="28"/>
      <c r="G64" s="28"/>
    </row>
    <row r="65" spans="1:7">
      <c r="A65" s="22">
        <v>48</v>
      </c>
      <c r="B65" s="26"/>
      <c r="C65" s="26"/>
      <c r="D65" s="24"/>
      <c r="E65" s="27"/>
      <c r="F65" s="28"/>
      <c r="G65" s="28"/>
    </row>
    <row r="66" spans="1:7">
      <c r="A66" s="22">
        <v>49</v>
      </c>
      <c r="B66" s="26"/>
      <c r="C66" s="26"/>
      <c r="D66" s="24"/>
      <c r="E66" s="27"/>
      <c r="F66" s="28"/>
      <c r="G66" s="28"/>
    </row>
    <row r="67" spans="1:7">
      <c r="A67" s="22">
        <v>50</v>
      </c>
      <c r="B67" s="26"/>
      <c r="C67" s="26"/>
      <c r="D67" s="24"/>
      <c r="E67" s="27"/>
      <c r="F67" s="28"/>
      <c r="G67" s="28"/>
    </row>
    <row r="68" spans="1:7">
      <c r="A68" s="22">
        <v>51</v>
      </c>
      <c r="B68" s="26"/>
      <c r="C68" s="26"/>
      <c r="D68" s="24"/>
      <c r="E68" s="27"/>
      <c r="F68" s="28"/>
      <c r="G68" s="28"/>
    </row>
    <row r="69" spans="1:7">
      <c r="A69" s="22">
        <v>52</v>
      </c>
      <c r="B69" s="26"/>
      <c r="C69" s="26"/>
      <c r="D69" s="24"/>
      <c r="E69" s="27"/>
      <c r="F69" s="28"/>
      <c r="G69" s="28"/>
    </row>
  </sheetData>
  <mergeCells count="5">
    <mergeCell ref="A1:C1"/>
    <mergeCell ref="F1:G1"/>
    <mergeCell ref="B16:C16"/>
    <mergeCell ref="D18:D58"/>
    <mergeCell ref="D59:D6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8" sqref="D18"/>
    </sheetView>
  </sheetViews>
  <sheetFormatPr defaultRowHeight="13.9"/>
  <cols>
    <col min="1" max="1" width="18.59765625" style="51" customWidth="1"/>
    <col min="2" max="16384" width="9.06640625" style="51"/>
  </cols>
  <sheetData>
    <row r="1" spans="1:7">
      <c r="A1" s="49" t="s">
        <v>101</v>
      </c>
      <c r="B1" s="50">
        <v>10</v>
      </c>
      <c r="C1" s="50">
        <v>9</v>
      </c>
      <c r="D1" s="50">
        <v>8</v>
      </c>
      <c r="E1" s="50">
        <v>5</v>
      </c>
      <c r="F1" s="50">
        <v>2</v>
      </c>
      <c r="G1" s="50">
        <v>1</v>
      </c>
    </row>
    <row r="2" spans="1:7">
      <c r="A2" s="49" t="s">
        <v>102</v>
      </c>
      <c r="B2" s="50">
        <v>10</v>
      </c>
      <c r="C2" s="50">
        <v>9</v>
      </c>
      <c r="D2" s="50">
        <v>8.1</v>
      </c>
      <c r="E2" s="50">
        <v>5</v>
      </c>
      <c r="F2" s="50">
        <v>2.1</v>
      </c>
      <c r="G2" s="50">
        <v>1.1000000000000001</v>
      </c>
    </row>
    <row r="3" spans="1:7">
      <c r="A3" s="52" t="s">
        <v>105</v>
      </c>
      <c r="B3" s="52"/>
      <c r="C3" s="52"/>
      <c r="D3" s="52"/>
      <c r="E3" s="52"/>
      <c r="F3" s="52"/>
      <c r="G3" s="52"/>
    </row>
    <row r="4" spans="1:7">
      <c r="A4" s="52"/>
      <c r="B4" s="52"/>
      <c r="C4" s="52"/>
      <c r="D4" s="52"/>
      <c r="E4" s="52"/>
      <c r="F4" s="52"/>
      <c r="G4" s="52"/>
    </row>
    <row r="5" spans="1:7">
      <c r="A5" s="52"/>
      <c r="B5" s="52"/>
      <c r="C5" s="52"/>
      <c r="D5" s="52"/>
      <c r="E5" s="52"/>
      <c r="F5" s="52"/>
      <c r="G5" s="52"/>
    </row>
    <row r="6" spans="1:7">
      <c r="A6" s="49" t="s">
        <v>103</v>
      </c>
      <c r="B6" s="50">
        <v>5</v>
      </c>
      <c r="C6" s="50">
        <v>4</v>
      </c>
      <c r="D6" s="50">
        <v>3</v>
      </c>
      <c r="E6" s="50">
        <v>2.5</v>
      </c>
      <c r="F6" s="50">
        <v>2</v>
      </c>
      <c r="G6" s="50">
        <v>1</v>
      </c>
    </row>
    <row r="7" spans="1:7">
      <c r="A7" s="49" t="s">
        <v>104</v>
      </c>
      <c r="B7" s="50">
        <v>5</v>
      </c>
      <c r="C7" s="50">
        <v>4.05</v>
      </c>
      <c r="D7" s="50">
        <v>3.05</v>
      </c>
      <c r="E7" s="50">
        <v>2.5</v>
      </c>
      <c r="F7" s="50">
        <v>2.0499999999999998</v>
      </c>
      <c r="G7" s="50">
        <v>1.05</v>
      </c>
    </row>
  </sheetData>
  <mergeCells count="1">
    <mergeCell ref="A3:G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zoomScale="85" zoomScaleNormal="85" workbookViewId="0">
      <selection activeCell="J2" sqref="J2"/>
    </sheetView>
  </sheetViews>
  <sheetFormatPr defaultRowHeight="13.9"/>
  <cols>
    <col min="1" max="10" width="9.06640625" style="18"/>
    <col min="11" max="11" width="6.53125" style="18" customWidth="1"/>
    <col min="12" max="12" width="5.46484375" style="18" customWidth="1"/>
    <col min="13" max="13" width="13" style="22" customWidth="1"/>
    <col min="14" max="15" width="5.46484375" style="18" customWidth="1"/>
    <col min="16" max="16" width="9.6640625" style="22" customWidth="1"/>
    <col min="17" max="20" width="9.6640625" style="18" customWidth="1"/>
    <col min="21" max="21" width="13" style="18" customWidth="1"/>
    <col min="22" max="22" width="9.06640625" style="22"/>
    <col min="23" max="16384" width="9.06640625" style="18"/>
  </cols>
  <sheetData>
    <row r="1" spans="1:21">
      <c r="A1" s="18" t="s">
        <v>123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 t="s">
        <v>122</v>
      </c>
      <c r="H1" s="18" t="s">
        <v>121</v>
      </c>
      <c r="I1" s="18" t="s">
        <v>120</v>
      </c>
      <c r="J1" s="18" t="s">
        <v>119</v>
      </c>
      <c r="K1" s="18" t="s">
        <v>118</v>
      </c>
      <c r="L1" s="18" t="s">
        <v>117</v>
      </c>
      <c r="M1" s="18" t="s">
        <v>116</v>
      </c>
      <c r="N1" s="18" t="s">
        <v>115</v>
      </c>
      <c r="O1" s="57" t="s">
        <v>114</v>
      </c>
      <c r="P1" s="18" t="s">
        <v>113</v>
      </c>
      <c r="U1" s="61"/>
    </row>
    <row r="2" spans="1:21">
      <c r="A2" s="18" t="s">
        <v>112</v>
      </c>
      <c r="B2" s="60"/>
      <c r="C2" s="60"/>
      <c r="D2" s="60"/>
      <c r="E2" s="60"/>
      <c r="F2" s="60"/>
      <c r="G2" s="59" t="e">
        <f>AVERAGE(B2:F2)</f>
        <v>#DIV/0!</v>
      </c>
      <c r="H2" s="16">
        <v>4</v>
      </c>
      <c r="I2" s="58" t="e">
        <f>$K$2*($J$3*$H$2/$G$3)/(J2*$H$2/G2)</f>
        <v>#DIV/0!</v>
      </c>
      <c r="J2" s="58">
        <v>4.0279999999999996</v>
      </c>
      <c r="K2" s="16">
        <v>9.4E-2</v>
      </c>
      <c r="L2" s="16">
        <v>0.01</v>
      </c>
      <c r="M2" s="19">
        <f>$L$2/SQRT(3)</f>
        <v>5.773502691896258E-3</v>
      </c>
      <c r="N2" s="16">
        <v>1.06</v>
      </c>
      <c r="O2" s="57" t="e">
        <f>ROUNDUP(SQRT((U2*$N$2)^2+$M$2^2),2)</f>
        <v>#DIV/0!</v>
      </c>
      <c r="P2" s="56" t="e">
        <f>(B2-$G2)^2</f>
        <v>#DIV/0!</v>
      </c>
      <c r="Q2" s="56" t="e">
        <f>(C2-$G2)^2</f>
        <v>#DIV/0!</v>
      </c>
      <c r="R2" s="56" t="e">
        <f>(D2-$G2)^2</f>
        <v>#DIV/0!</v>
      </c>
      <c r="S2" s="56" t="e">
        <f>(E2-$G2)^2</f>
        <v>#DIV/0!</v>
      </c>
      <c r="T2" s="56" t="e">
        <f>(F2-$G2)^2</f>
        <v>#DIV/0!</v>
      </c>
      <c r="U2" s="55" t="e">
        <f>SQRT(SUM(P2:T2)/(5*4))</f>
        <v>#DIV/0!</v>
      </c>
    </row>
    <row r="3" spans="1:21">
      <c r="A3" s="18" t="s">
        <v>111</v>
      </c>
      <c r="B3" s="60"/>
      <c r="C3" s="60"/>
      <c r="D3" s="60"/>
      <c r="E3" s="60"/>
      <c r="F3" s="60"/>
      <c r="G3" s="59" t="e">
        <f t="shared" ref="G3:G4" si="0">AVERAGE(B3:F3)</f>
        <v>#DIV/0!</v>
      </c>
      <c r="H3" s="16"/>
      <c r="I3" s="58" t="e">
        <f t="shared" ref="I3:I4" si="1">$K$2*($J$3*$H$2/$G$3)/(J3*$H$2/G3)</f>
        <v>#DIV/0!</v>
      </c>
      <c r="J3" s="58">
        <v>4.83</v>
      </c>
      <c r="K3" s="16"/>
      <c r="L3" s="16"/>
      <c r="M3" s="19"/>
      <c r="N3" s="16"/>
      <c r="O3" s="57" t="e">
        <f>ROUNDUP(SQRT((U3*$N$2)^2+$M$2^2),2)</f>
        <v>#DIV/0!</v>
      </c>
      <c r="P3" s="56" t="e">
        <f>(B3-$G3)^2</f>
        <v>#DIV/0!</v>
      </c>
      <c r="Q3" s="56" t="e">
        <f>(C3-$G3)^2</f>
        <v>#DIV/0!</v>
      </c>
      <c r="R3" s="56" t="e">
        <f>(D3-$G3)^2</f>
        <v>#DIV/0!</v>
      </c>
      <c r="S3" s="56" t="e">
        <f>(E3-$G3)^2</f>
        <v>#DIV/0!</v>
      </c>
      <c r="T3" s="56" t="e">
        <f>(F3-$G3)^2</f>
        <v>#DIV/0!</v>
      </c>
      <c r="U3" s="55" t="e">
        <f>SQRT(SUM(P3:T3)/(5*4))</f>
        <v>#DIV/0!</v>
      </c>
    </row>
    <row r="4" spans="1:21">
      <c r="A4" s="18" t="s">
        <v>110</v>
      </c>
      <c r="B4" s="60"/>
      <c r="C4" s="60"/>
      <c r="D4" s="60"/>
      <c r="E4" s="60"/>
      <c r="F4" s="60"/>
      <c r="G4" s="59" t="e">
        <f t="shared" si="0"/>
        <v>#DIV/0!</v>
      </c>
      <c r="H4" s="16"/>
      <c r="I4" s="58" t="e">
        <f t="shared" si="1"/>
        <v>#DIV/0!</v>
      </c>
      <c r="J4" s="58">
        <v>1.5</v>
      </c>
      <c r="K4" s="16"/>
      <c r="L4" s="16"/>
      <c r="M4" s="19"/>
      <c r="N4" s="16"/>
      <c r="O4" s="57" t="e">
        <f>ROUNDUP(SQRT((U4*$N$2)^2+$M$2^2),2)</f>
        <v>#DIV/0!</v>
      </c>
      <c r="P4" s="56" t="e">
        <f>(B4-$G4)^2</f>
        <v>#DIV/0!</v>
      </c>
      <c r="Q4" s="56" t="e">
        <f>(C4-$G4)^2</f>
        <v>#DIV/0!</v>
      </c>
      <c r="R4" s="56" t="e">
        <f>(D4-$G4)^2</f>
        <v>#DIV/0!</v>
      </c>
      <c r="S4" s="56" t="e">
        <f>(E4-$G4)^2</f>
        <v>#DIV/0!</v>
      </c>
      <c r="T4" s="56" t="e">
        <f>(F4-$G4)^2</f>
        <v>#DIV/0!</v>
      </c>
      <c r="U4" s="55" t="e">
        <f>SQRT(SUM(P4:T4)/(5*4))</f>
        <v>#DIV/0!</v>
      </c>
    </row>
    <row r="6" spans="1:21">
      <c r="A6" s="18" t="s">
        <v>109</v>
      </c>
      <c r="B6" s="18" t="s">
        <v>108</v>
      </c>
      <c r="C6" s="18" t="s">
        <v>107</v>
      </c>
      <c r="D6" s="18" t="s">
        <v>106</v>
      </c>
    </row>
    <row r="7" spans="1:21">
      <c r="A7" s="54">
        <v>8</v>
      </c>
      <c r="B7" s="18">
        <f>A7*20.2</f>
        <v>161.6</v>
      </c>
      <c r="C7" s="53">
        <v>0</v>
      </c>
    </row>
    <row r="8" spans="1:21">
      <c r="A8" s="54">
        <v>7.5</v>
      </c>
      <c r="B8" s="18">
        <f>A8*20.2</f>
        <v>151.5</v>
      </c>
      <c r="C8" s="60"/>
      <c r="D8" s="53" t="e">
        <f>ABS(B9-B7)/(C9-C7)</f>
        <v>#DIV/0!</v>
      </c>
      <c r="E8" s="16" t="s">
        <v>124</v>
      </c>
    </row>
    <row r="9" spans="1:21">
      <c r="A9" s="54">
        <v>7</v>
      </c>
      <c r="B9" s="18">
        <f>A9*20.2</f>
        <v>141.4</v>
      </c>
      <c r="C9" s="60"/>
      <c r="D9" s="53" t="e">
        <f>ABS(B10-B8)/(C10-C8)</f>
        <v>#DIV/0!</v>
      </c>
      <c r="E9" s="16"/>
    </row>
    <row r="10" spans="1:21">
      <c r="A10" s="54">
        <v>6.5</v>
      </c>
      <c r="B10" s="18">
        <f>A10*20.2</f>
        <v>131.29999999999998</v>
      </c>
      <c r="C10" s="60"/>
      <c r="D10" s="53" t="e">
        <f>ABS(B11-B9)/(C11-C9)</f>
        <v>#DIV/0!</v>
      </c>
      <c r="E10" s="16"/>
    </row>
    <row r="11" spans="1:21">
      <c r="A11" s="54">
        <v>6</v>
      </c>
      <c r="B11" s="18">
        <f>A11*20.2</f>
        <v>121.19999999999999</v>
      </c>
      <c r="C11" s="60"/>
      <c r="D11" s="53" t="e">
        <f>ABS(B12-B10)/(C12-C10)</f>
        <v>#DIV/0!</v>
      </c>
      <c r="E11" s="16"/>
    </row>
    <row r="12" spans="1:21">
      <c r="A12" s="54">
        <v>5.5</v>
      </c>
      <c r="B12" s="18">
        <f>A12*20.2</f>
        <v>111.1</v>
      </c>
      <c r="C12" s="60"/>
      <c r="D12" s="53" t="e">
        <f>ABS(B13-B11)/(C13-C11)</f>
        <v>#DIV/0!</v>
      </c>
      <c r="E12" s="16"/>
    </row>
    <row r="13" spans="1:21">
      <c r="A13" s="54">
        <v>5</v>
      </c>
      <c r="B13" s="18">
        <f>A13*20.2</f>
        <v>101</v>
      </c>
      <c r="C13" s="60"/>
      <c r="D13" s="53" t="e">
        <f>ABS(B14-B12)/(C14-C12)</f>
        <v>#DIV/0!</v>
      </c>
      <c r="E13" s="16"/>
    </row>
    <row r="14" spans="1:21">
      <c r="A14" s="54">
        <v>4.5</v>
      </c>
      <c r="B14" s="18">
        <f>A14*20.2</f>
        <v>90.899999999999991</v>
      </c>
      <c r="C14" s="60"/>
      <c r="D14" s="53" t="e">
        <f>ABS(B15-B13)/(C15-C13)</f>
        <v>#DIV/0!</v>
      </c>
      <c r="E14" s="16"/>
    </row>
    <row r="15" spans="1:21">
      <c r="A15" s="54">
        <v>4</v>
      </c>
      <c r="B15" s="18">
        <f>A15*20.2</f>
        <v>80.8</v>
      </c>
      <c r="C15" s="60"/>
      <c r="D15" s="53" t="e">
        <f>ABS(B16-B14)/(C16-C14)</f>
        <v>#DIV/0!</v>
      </c>
      <c r="E15" s="16"/>
    </row>
    <row r="16" spans="1:21">
      <c r="A16" s="54">
        <v>3.5</v>
      </c>
      <c r="B16" s="18">
        <f>A16*20.2</f>
        <v>70.7</v>
      </c>
      <c r="C16" s="60"/>
      <c r="D16" s="53" t="e">
        <f>ABS(B17-B15)/(C17-C15)</f>
        <v>#DIV/0!</v>
      </c>
      <c r="E16" s="16"/>
    </row>
    <row r="17" spans="1:5">
      <c r="A17" s="54">
        <v>3</v>
      </c>
      <c r="B17" s="18">
        <f>A17*20.2</f>
        <v>60.599999999999994</v>
      </c>
      <c r="C17" s="60"/>
      <c r="D17" s="53" t="e">
        <f>ABS(B18-B16)/(C18-C16)</f>
        <v>#DIV/0!</v>
      </c>
      <c r="E17" s="16"/>
    </row>
    <row r="18" spans="1:5">
      <c r="A18" s="54">
        <v>2.5</v>
      </c>
      <c r="B18" s="18">
        <f>A18*20.2</f>
        <v>50.5</v>
      </c>
      <c r="C18" s="60"/>
      <c r="D18" s="53" t="e">
        <f>ABS(B19-B17)/(C19-C17)</f>
        <v>#DIV/0!</v>
      </c>
      <c r="E18" s="16"/>
    </row>
    <row r="19" spans="1:5">
      <c r="A19" s="54">
        <v>2</v>
      </c>
      <c r="B19" s="18">
        <f>A19*20.2</f>
        <v>40.4</v>
      </c>
      <c r="C19" s="60"/>
      <c r="D19" s="53" t="e">
        <f>ABS(B20-B18)/(C20-C18)</f>
        <v>#DIV/0!</v>
      </c>
      <c r="E19" s="16"/>
    </row>
    <row r="20" spans="1:5">
      <c r="A20" s="54">
        <v>1.5</v>
      </c>
      <c r="B20" s="18">
        <f>A20*20.2</f>
        <v>30.299999999999997</v>
      </c>
      <c r="C20" s="60"/>
    </row>
    <row r="23" spans="1:5">
      <c r="B23" s="20" t="s">
        <v>125</v>
      </c>
      <c r="C23" s="20"/>
    </row>
    <row r="24" spans="1:5">
      <c r="B24" s="62">
        <f t="shared" ref="B24:B35" si="2">B8</f>
        <v>151.5</v>
      </c>
      <c r="C24" s="63" t="e">
        <f t="shared" ref="C24:C35" si="3">D8</f>
        <v>#DIV/0!</v>
      </c>
    </row>
    <row r="25" spans="1:5">
      <c r="B25" s="62">
        <f t="shared" si="2"/>
        <v>141.4</v>
      </c>
      <c r="C25" s="63" t="e">
        <f t="shared" si="3"/>
        <v>#DIV/0!</v>
      </c>
    </row>
    <row r="26" spans="1:5">
      <c r="B26" s="62">
        <f t="shared" si="2"/>
        <v>131.29999999999998</v>
      </c>
      <c r="C26" s="63" t="e">
        <f t="shared" si="3"/>
        <v>#DIV/0!</v>
      </c>
    </row>
    <row r="27" spans="1:5">
      <c r="B27" s="62">
        <f t="shared" si="2"/>
        <v>121.19999999999999</v>
      </c>
      <c r="C27" s="63" t="e">
        <f t="shared" si="3"/>
        <v>#DIV/0!</v>
      </c>
    </row>
    <row r="28" spans="1:5">
      <c r="B28" s="62">
        <f t="shared" si="2"/>
        <v>111.1</v>
      </c>
      <c r="C28" s="63" t="e">
        <f t="shared" si="3"/>
        <v>#DIV/0!</v>
      </c>
    </row>
    <row r="29" spans="1:5">
      <c r="B29" s="62">
        <f t="shared" si="2"/>
        <v>101</v>
      </c>
      <c r="C29" s="63" t="e">
        <f t="shared" si="3"/>
        <v>#DIV/0!</v>
      </c>
    </row>
    <row r="30" spans="1:5">
      <c r="B30" s="62">
        <f t="shared" si="2"/>
        <v>90.899999999999991</v>
      </c>
      <c r="C30" s="63" t="e">
        <f t="shared" si="3"/>
        <v>#DIV/0!</v>
      </c>
    </row>
    <row r="31" spans="1:5">
      <c r="B31" s="62">
        <f t="shared" si="2"/>
        <v>80.8</v>
      </c>
      <c r="C31" s="63" t="e">
        <f t="shared" si="3"/>
        <v>#DIV/0!</v>
      </c>
    </row>
    <row r="32" spans="1:5">
      <c r="B32" s="62">
        <f t="shared" si="2"/>
        <v>70.7</v>
      </c>
      <c r="C32" s="63" t="e">
        <f t="shared" si="3"/>
        <v>#DIV/0!</v>
      </c>
    </row>
    <row r="33" spans="2:3">
      <c r="B33" s="62">
        <f t="shared" si="2"/>
        <v>60.599999999999994</v>
      </c>
      <c r="C33" s="63" t="e">
        <f t="shared" si="3"/>
        <v>#DIV/0!</v>
      </c>
    </row>
    <row r="34" spans="2:3">
      <c r="B34" s="62">
        <f t="shared" si="2"/>
        <v>50.5</v>
      </c>
      <c r="C34" s="63" t="e">
        <f t="shared" si="3"/>
        <v>#DIV/0!</v>
      </c>
    </row>
    <row r="35" spans="2:3">
      <c r="B35" s="62">
        <f t="shared" si="2"/>
        <v>40.4</v>
      </c>
      <c r="C35" s="63" t="e">
        <f t="shared" si="3"/>
        <v>#DIV/0!</v>
      </c>
    </row>
  </sheetData>
  <mergeCells count="7">
    <mergeCell ref="B23:C23"/>
    <mergeCell ref="N2:N4"/>
    <mergeCell ref="K2:K4"/>
    <mergeCell ref="H2:H4"/>
    <mergeCell ref="M2:M4"/>
    <mergeCell ref="L2:L4"/>
    <mergeCell ref="E8:E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J43" sqref="J43"/>
    </sheetView>
  </sheetViews>
  <sheetFormatPr defaultRowHeight="13.9"/>
  <cols>
    <col min="1" max="1" width="13.1328125" style="64" customWidth="1"/>
    <col min="2" max="2" width="12.53125" style="64" customWidth="1"/>
    <col min="3" max="3" width="13.73046875" style="64" customWidth="1"/>
    <col min="4" max="4" width="16.6640625" style="64" customWidth="1"/>
    <col min="5" max="5" width="13.1328125" style="64" customWidth="1"/>
    <col min="6" max="6" width="9" style="64" customWidth="1"/>
    <col min="7" max="7" width="9.86328125" style="64" customWidth="1"/>
    <col min="8" max="8" width="6.265625" style="64" customWidth="1"/>
    <col min="9" max="9" width="7.1328125" style="64" customWidth="1"/>
    <col min="10" max="10" width="15.265625" style="64" customWidth="1"/>
    <col min="11" max="11" width="11.53125" style="64" customWidth="1"/>
    <col min="12" max="12" width="13.73046875" style="64" customWidth="1"/>
    <col min="13" max="13" width="12.53125" style="64" customWidth="1"/>
    <col min="14" max="14" width="16.6640625" style="64" customWidth="1"/>
    <col min="15" max="15" width="12.9296875" style="64" customWidth="1"/>
    <col min="16" max="16" width="12.73046875" style="64" customWidth="1"/>
    <col min="17" max="17" width="10.46484375" style="64" customWidth="1"/>
    <col min="18" max="16384" width="9.06640625" style="64"/>
  </cols>
  <sheetData>
    <row r="1" spans="1:15">
      <c r="A1" s="64" t="s">
        <v>126</v>
      </c>
      <c r="B1" s="64" t="s">
        <v>127</v>
      </c>
      <c r="C1" s="64" t="s">
        <v>128</v>
      </c>
      <c r="D1" s="64" t="s">
        <v>129</v>
      </c>
      <c r="E1" s="64" t="s">
        <v>130</v>
      </c>
      <c r="J1" s="65" t="s">
        <v>156</v>
      </c>
      <c r="K1" s="64" t="s">
        <v>131</v>
      </c>
      <c r="L1" s="64" t="s">
        <v>132</v>
      </c>
      <c r="M1" s="64" t="s">
        <v>133</v>
      </c>
      <c r="N1" s="64" t="s">
        <v>134</v>
      </c>
      <c r="O1" s="64" t="s">
        <v>135</v>
      </c>
    </row>
    <row r="2" spans="1:15">
      <c r="A2" s="64">
        <v>24</v>
      </c>
      <c r="B2" s="66"/>
      <c r="C2" s="66"/>
      <c r="D2" s="67">
        <f t="shared" ref="D2:D11" si="0">ABS(C2-B2)</f>
        <v>0</v>
      </c>
      <c r="E2" s="67">
        <f t="shared" ref="E2:E11" si="1">D2^2</f>
        <v>0</v>
      </c>
      <c r="J2" s="65"/>
      <c r="K2" s="64">
        <v>24</v>
      </c>
      <c r="L2" s="68">
        <f t="shared" ref="L2:M11" si="2">B2/1000</f>
        <v>0</v>
      </c>
      <c r="M2" s="68">
        <f t="shared" si="2"/>
        <v>0</v>
      </c>
      <c r="N2" s="68">
        <f>ABS(M2-L2)</f>
        <v>0</v>
      </c>
      <c r="O2" s="64">
        <f t="shared" ref="O2:O11" si="3">N2^2</f>
        <v>0</v>
      </c>
    </row>
    <row r="3" spans="1:15">
      <c r="A3" s="64">
        <v>23</v>
      </c>
      <c r="B3" s="66"/>
      <c r="C3" s="66"/>
      <c r="D3" s="67">
        <f t="shared" si="0"/>
        <v>0</v>
      </c>
      <c r="E3" s="67">
        <f t="shared" si="1"/>
        <v>0</v>
      </c>
      <c r="J3" s="65"/>
      <c r="K3" s="64">
        <v>23</v>
      </c>
      <c r="L3" s="68">
        <f t="shared" si="2"/>
        <v>0</v>
      </c>
      <c r="M3" s="68">
        <f t="shared" si="2"/>
        <v>0</v>
      </c>
      <c r="N3" s="68">
        <f t="shared" ref="N3:N11" si="4">ABS(M3-L3)</f>
        <v>0</v>
      </c>
      <c r="O3" s="64">
        <f t="shared" si="3"/>
        <v>0</v>
      </c>
    </row>
    <row r="4" spans="1:15">
      <c r="A4" s="64">
        <v>22</v>
      </c>
      <c r="B4" s="66"/>
      <c r="C4" s="66"/>
      <c r="D4" s="67">
        <f t="shared" si="0"/>
        <v>0</v>
      </c>
      <c r="E4" s="67">
        <f t="shared" si="1"/>
        <v>0</v>
      </c>
      <c r="J4" s="65"/>
      <c r="K4" s="64">
        <v>22</v>
      </c>
      <c r="L4" s="68">
        <f t="shared" si="2"/>
        <v>0</v>
      </c>
      <c r="M4" s="68">
        <f t="shared" si="2"/>
        <v>0</v>
      </c>
      <c r="N4" s="68">
        <f t="shared" si="4"/>
        <v>0</v>
      </c>
      <c r="O4" s="64">
        <f t="shared" si="3"/>
        <v>0</v>
      </c>
    </row>
    <row r="5" spans="1:15">
      <c r="A5" s="64">
        <v>21</v>
      </c>
      <c r="B5" s="66"/>
      <c r="C5" s="66"/>
      <c r="D5" s="67">
        <f t="shared" si="0"/>
        <v>0</v>
      </c>
      <c r="E5" s="67">
        <f t="shared" si="1"/>
        <v>0</v>
      </c>
      <c r="J5" s="65"/>
      <c r="K5" s="64">
        <v>21</v>
      </c>
      <c r="L5" s="68">
        <f t="shared" si="2"/>
        <v>0</v>
      </c>
      <c r="M5" s="68">
        <f t="shared" si="2"/>
        <v>0</v>
      </c>
      <c r="N5" s="68">
        <f t="shared" si="4"/>
        <v>0</v>
      </c>
      <c r="O5" s="64">
        <f t="shared" si="3"/>
        <v>0</v>
      </c>
    </row>
    <row r="6" spans="1:15">
      <c r="A6" s="64">
        <v>20</v>
      </c>
      <c r="B6" s="66"/>
      <c r="C6" s="66"/>
      <c r="D6" s="67">
        <f t="shared" si="0"/>
        <v>0</v>
      </c>
      <c r="E6" s="67">
        <f t="shared" si="1"/>
        <v>0</v>
      </c>
      <c r="J6" s="65"/>
      <c r="K6" s="64">
        <v>20</v>
      </c>
      <c r="L6" s="68">
        <f t="shared" si="2"/>
        <v>0</v>
      </c>
      <c r="M6" s="68">
        <f t="shared" si="2"/>
        <v>0</v>
      </c>
      <c r="N6" s="68">
        <f t="shared" si="4"/>
        <v>0</v>
      </c>
      <c r="O6" s="64">
        <f t="shared" si="3"/>
        <v>0</v>
      </c>
    </row>
    <row r="7" spans="1:15">
      <c r="A7" s="64">
        <v>19</v>
      </c>
      <c r="B7" s="66"/>
      <c r="C7" s="66"/>
      <c r="D7" s="67">
        <f t="shared" si="0"/>
        <v>0</v>
      </c>
      <c r="E7" s="67">
        <f t="shared" si="1"/>
        <v>0</v>
      </c>
      <c r="J7" s="65"/>
      <c r="K7" s="64">
        <v>19</v>
      </c>
      <c r="L7" s="68">
        <f t="shared" si="2"/>
        <v>0</v>
      </c>
      <c r="M7" s="68">
        <f t="shared" si="2"/>
        <v>0</v>
      </c>
      <c r="N7" s="68">
        <f t="shared" si="4"/>
        <v>0</v>
      </c>
      <c r="O7" s="64">
        <f t="shared" si="3"/>
        <v>0</v>
      </c>
    </row>
    <row r="8" spans="1:15">
      <c r="A8" s="64">
        <v>18</v>
      </c>
      <c r="B8" s="66"/>
      <c r="C8" s="66"/>
      <c r="D8" s="67">
        <f t="shared" si="0"/>
        <v>0</v>
      </c>
      <c r="E8" s="67">
        <f t="shared" si="1"/>
        <v>0</v>
      </c>
      <c r="J8" s="65"/>
      <c r="K8" s="64">
        <v>18</v>
      </c>
      <c r="L8" s="68">
        <f t="shared" si="2"/>
        <v>0</v>
      </c>
      <c r="M8" s="68">
        <f t="shared" si="2"/>
        <v>0</v>
      </c>
      <c r="N8" s="68">
        <f t="shared" si="4"/>
        <v>0</v>
      </c>
      <c r="O8" s="64">
        <f t="shared" si="3"/>
        <v>0</v>
      </c>
    </row>
    <row r="9" spans="1:15">
      <c r="A9" s="64">
        <v>17</v>
      </c>
      <c r="B9" s="66"/>
      <c r="C9" s="66"/>
      <c r="D9" s="67">
        <f t="shared" si="0"/>
        <v>0</v>
      </c>
      <c r="E9" s="67">
        <f t="shared" si="1"/>
        <v>0</v>
      </c>
      <c r="J9" s="65"/>
      <c r="K9" s="64">
        <v>17</v>
      </c>
      <c r="L9" s="68">
        <f t="shared" si="2"/>
        <v>0</v>
      </c>
      <c r="M9" s="68">
        <f t="shared" si="2"/>
        <v>0</v>
      </c>
      <c r="N9" s="68">
        <f t="shared" si="4"/>
        <v>0</v>
      </c>
      <c r="O9" s="64">
        <f t="shared" si="3"/>
        <v>0</v>
      </c>
    </row>
    <row r="10" spans="1:15">
      <c r="A10" s="64">
        <v>16</v>
      </c>
      <c r="B10" s="66"/>
      <c r="C10" s="66"/>
      <c r="D10" s="67">
        <f t="shared" si="0"/>
        <v>0</v>
      </c>
      <c r="E10" s="67">
        <f t="shared" si="1"/>
        <v>0</v>
      </c>
      <c r="J10" s="65"/>
      <c r="K10" s="64">
        <v>16</v>
      </c>
      <c r="L10" s="68">
        <f t="shared" si="2"/>
        <v>0</v>
      </c>
      <c r="M10" s="68">
        <f t="shared" si="2"/>
        <v>0</v>
      </c>
      <c r="N10" s="68">
        <f t="shared" si="4"/>
        <v>0</v>
      </c>
      <c r="O10" s="64">
        <f t="shared" si="3"/>
        <v>0</v>
      </c>
    </row>
    <row r="11" spans="1:15">
      <c r="A11" s="64">
        <v>15</v>
      </c>
      <c r="B11" s="66"/>
      <c r="C11" s="66"/>
      <c r="D11" s="67">
        <f t="shared" si="0"/>
        <v>0</v>
      </c>
      <c r="E11" s="67">
        <f t="shared" si="1"/>
        <v>0</v>
      </c>
      <c r="J11" s="65"/>
      <c r="K11" s="64">
        <v>15</v>
      </c>
      <c r="L11" s="68">
        <f t="shared" si="2"/>
        <v>0</v>
      </c>
      <c r="M11" s="68">
        <f t="shared" si="2"/>
        <v>0</v>
      </c>
      <c r="N11" s="68">
        <f t="shared" si="4"/>
        <v>0</v>
      </c>
      <c r="O11" s="64">
        <f t="shared" si="3"/>
        <v>0</v>
      </c>
    </row>
    <row r="12" spans="1:15">
      <c r="J12" s="65"/>
    </row>
    <row r="13" spans="1:15">
      <c r="A13" s="64" t="s">
        <v>136</v>
      </c>
      <c r="B13" s="64" t="s">
        <v>137</v>
      </c>
      <c r="C13" s="64" t="s">
        <v>128</v>
      </c>
      <c r="D13" s="64" t="s">
        <v>138</v>
      </c>
      <c r="E13" s="64" t="s">
        <v>139</v>
      </c>
      <c r="J13" s="65"/>
      <c r="K13" s="64" t="s">
        <v>140</v>
      </c>
      <c r="L13" s="64" t="s">
        <v>132</v>
      </c>
      <c r="M13" s="64" t="s">
        <v>133</v>
      </c>
      <c r="N13" s="64" t="s">
        <v>134</v>
      </c>
      <c r="O13" s="64" t="s">
        <v>141</v>
      </c>
    </row>
    <row r="14" spans="1:15">
      <c r="A14" s="64">
        <v>14</v>
      </c>
      <c r="B14" s="66"/>
      <c r="C14" s="66"/>
      <c r="D14" s="67">
        <f t="shared" ref="D14:D23" si="5">ABS(C14-B14)</f>
        <v>0</v>
      </c>
      <c r="E14" s="67">
        <f t="shared" ref="E14:E23" si="6">D14^2</f>
        <v>0</v>
      </c>
      <c r="J14" s="65"/>
      <c r="K14" s="64">
        <v>14</v>
      </c>
      <c r="L14" s="69">
        <f t="shared" ref="L14:M23" si="7">B14/1000</f>
        <v>0</v>
      </c>
      <c r="M14" s="69">
        <f t="shared" si="7"/>
        <v>0</v>
      </c>
      <c r="N14" s="64">
        <f t="shared" ref="N14:N23" si="8">ABS(M14-L14)</f>
        <v>0</v>
      </c>
      <c r="O14" s="64">
        <f t="shared" ref="O14:O23" si="9">N14^2</f>
        <v>0</v>
      </c>
    </row>
    <row r="15" spans="1:15">
      <c r="A15" s="64">
        <v>13</v>
      </c>
      <c r="B15" s="66"/>
      <c r="C15" s="66"/>
      <c r="D15" s="67">
        <f t="shared" si="5"/>
        <v>0</v>
      </c>
      <c r="E15" s="67">
        <f t="shared" si="6"/>
        <v>0</v>
      </c>
      <c r="J15" s="65"/>
      <c r="K15" s="64">
        <v>13</v>
      </c>
      <c r="L15" s="69">
        <f t="shared" si="7"/>
        <v>0</v>
      </c>
      <c r="M15" s="69">
        <f t="shared" si="7"/>
        <v>0</v>
      </c>
      <c r="N15" s="64">
        <f t="shared" si="8"/>
        <v>0</v>
      </c>
      <c r="O15" s="64">
        <f t="shared" si="9"/>
        <v>0</v>
      </c>
    </row>
    <row r="16" spans="1:15">
      <c r="A16" s="64">
        <v>12</v>
      </c>
      <c r="B16" s="66"/>
      <c r="C16" s="66"/>
      <c r="D16" s="67">
        <f t="shared" si="5"/>
        <v>0</v>
      </c>
      <c r="E16" s="67">
        <f t="shared" si="6"/>
        <v>0</v>
      </c>
      <c r="J16" s="65"/>
      <c r="K16" s="64">
        <v>12</v>
      </c>
      <c r="L16" s="69">
        <f t="shared" si="7"/>
        <v>0</v>
      </c>
      <c r="M16" s="69">
        <f t="shared" si="7"/>
        <v>0</v>
      </c>
      <c r="N16" s="64">
        <f t="shared" si="8"/>
        <v>0</v>
      </c>
      <c r="O16" s="64">
        <f t="shared" si="9"/>
        <v>0</v>
      </c>
    </row>
    <row r="17" spans="1:15">
      <c r="A17" s="64">
        <v>11</v>
      </c>
      <c r="B17" s="66"/>
      <c r="C17" s="66"/>
      <c r="D17" s="67">
        <f t="shared" si="5"/>
        <v>0</v>
      </c>
      <c r="E17" s="67">
        <f t="shared" si="6"/>
        <v>0</v>
      </c>
      <c r="J17" s="65"/>
      <c r="K17" s="64">
        <v>11</v>
      </c>
      <c r="L17" s="69">
        <f t="shared" si="7"/>
        <v>0</v>
      </c>
      <c r="M17" s="69">
        <f t="shared" si="7"/>
        <v>0</v>
      </c>
      <c r="N17" s="64">
        <f t="shared" si="8"/>
        <v>0</v>
      </c>
      <c r="O17" s="64">
        <f t="shared" si="9"/>
        <v>0</v>
      </c>
    </row>
    <row r="18" spans="1:15">
      <c r="A18" s="64">
        <v>10</v>
      </c>
      <c r="B18" s="66"/>
      <c r="C18" s="66"/>
      <c r="D18" s="67">
        <f t="shared" si="5"/>
        <v>0</v>
      </c>
      <c r="E18" s="67">
        <f t="shared" si="6"/>
        <v>0</v>
      </c>
      <c r="J18" s="65"/>
      <c r="K18" s="64">
        <v>10</v>
      </c>
      <c r="L18" s="69">
        <f t="shared" si="7"/>
        <v>0</v>
      </c>
      <c r="M18" s="69">
        <f t="shared" si="7"/>
        <v>0</v>
      </c>
      <c r="N18" s="64">
        <f t="shared" si="8"/>
        <v>0</v>
      </c>
      <c r="O18" s="64">
        <f t="shared" si="9"/>
        <v>0</v>
      </c>
    </row>
    <row r="19" spans="1:15">
      <c r="A19" s="64">
        <v>9</v>
      </c>
      <c r="B19" s="66"/>
      <c r="C19" s="66"/>
      <c r="D19" s="67">
        <f t="shared" si="5"/>
        <v>0</v>
      </c>
      <c r="E19" s="67">
        <f t="shared" si="6"/>
        <v>0</v>
      </c>
      <c r="J19" s="65"/>
      <c r="K19" s="64">
        <v>9</v>
      </c>
      <c r="L19" s="69">
        <f t="shared" si="7"/>
        <v>0</v>
      </c>
      <c r="M19" s="69">
        <f t="shared" si="7"/>
        <v>0</v>
      </c>
      <c r="N19" s="64">
        <f t="shared" si="8"/>
        <v>0</v>
      </c>
      <c r="O19" s="64">
        <f t="shared" si="9"/>
        <v>0</v>
      </c>
    </row>
    <row r="20" spans="1:15">
      <c r="A20" s="64">
        <v>8</v>
      </c>
      <c r="B20" s="66"/>
      <c r="C20" s="66"/>
      <c r="D20" s="67">
        <f t="shared" si="5"/>
        <v>0</v>
      </c>
      <c r="E20" s="67">
        <f t="shared" si="6"/>
        <v>0</v>
      </c>
      <c r="J20" s="65"/>
      <c r="K20" s="64">
        <v>8</v>
      </c>
      <c r="L20" s="69">
        <f t="shared" si="7"/>
        <v>0</v>
      </c>
      <c r="M20" s="69">
        <f t="shared" si="7"/>
        <v>0</v>
      </c>
      <c r="N20" s="64">
        <f t="shared" si="8"/>
        <v>0</v>
      </c>
      <c r="O20" s="64">
        <f t="shared" si="9"/>
        <v>0</v>
      </c>
    </row>
    <row r="21" spans="1:15">
      <c r="A21" s="64">
        <v>7</v>
      </c>
      <c r="B21" s="66"/>
      <c r="C21" s="66"/>
      <c r="D21" s="67">
        <f t="shared" si="5"/>
        <v>0</v>
      </c>
      <c r="E21" s="67">
        <f t="shared" si="6"/>
        <v>0</v>
      </c>
      <c r="J21" s="65"/>
      <c r="K21" s="64">
        <v>7</v>
      </c>
      <c r="L21" s="69">
        <f t="shared" si="7"/>
        <v>0</v>
      </c>
      <c r="M21" s="69">
        <f t="shared" si="7"/>
        <v>0</v>
      </c>
      <c r="N21" s="64">
        <f t="shared" si="8"/>
        <v>0</v>
      </c>
      <c r="O21" s="64">
        <f t="shared" si="9"/>
        <v>0</v>
      </c>
    </row>
    <row r="22" spans="1:15">
      <c r="A22" s="64">
        <v>6</v>
      </c>
      <c r="B22" s="66"/>
      <c r="C22" s="66"/>
      <c r="D22" s="67">
        <f t="shared" si="5"/>
        <v>0</v>
      </c>
      <c r="E22" s="67">
        <f t="shared" si="6"/>
        <v>0</v>
      </c>
      <c r="J22" s="65"/>
      <c r="K22" s="64">
        <v>6</v>
      </c>
      <c r="L22" s="69">
        <f t="shared" si="7"/>
        <v>0</v>
      </c>
      <c r="M22" s="69">
        <f t="shared" si="7"/>
        <v>0</v>
      </c>
      <c r="N22" s="64">
        <f t="shared" si="8"/>
        <v>0</v>
      </c>
      <c r="O22" s="64">
        <f t="shared" si="9"/>
        <v>0</v>
      </c>
    </row>
    <row r="23" spans="1:15">
      <c r="A23" s="64">
        <v>5</v>
      </c>
      <c r="B23" s="66"/>
      <c r="C23" s="66"/>
      <c r="D23" s="67">
        <f t="shared" si="5"/>
        <v>0</v>
      </c>
      <c r="E23" s="67">
        <f t="shared" si="6"/>
        <v>0</v>
      </c>
      <c r="J23" s="65"/>
      <c r="K23" s="64">
        <v>5</v>
      </c>
      <c r="L23" s="69">
        <f t="shared" si="7"/>
        <v>0</v>
      </c>
      <c r="M23" s="69">
        <f t="shared" si="7"/>
        <v>0</v>
      </c>
      <c r="N23" s="64">
        <f t="shared" si="8"/>
        <v>0</v>
      </c>
      <c r="O23" s="64">
        <f t="shared" si="9"/>
        <v>0</v>
      </c>
    </row>
    <row r="24" spans="1:15">
      <c r="J24" s="65"/>
    </row>
    <row r="25" spans="1:15">
      <c r="A25" s="70" t="s">
        <v>142</v>
      </c>
      <c r="B25" s="70" t="s">
        <v>143</v>
      </c>
      <c r="C25" s="70" t="s">
        <v>144</v>
      </c>
      <c r="D25" s="64" t="s">
        <v>145</v>
      </c>
      <c r="E25" s="64" t="s">
        <v>146</v>
      </c>
      <c r="F25" s="64" t="s">
        <v>147</v>
      </c>
      <c r="G25" s="71" t="s">
        <v>148</v>
      </c>
      <c r="H25" s="64" t="s">
        <v>149</v>
      </c>
      <c r="I25" s="71" t="s">
        <v>150</v>
      </c>
      <c r="J25" s="65"/>
      <c r="K25" s="64" t="s">
        <v>151</v>
      </c>
      <c r="L25" s="64" t="s">
        <v>152</v>
      </c>
      <c r="M25" s="64" t="s">
        <v>153</v>
      </c>
      <c r="N25" s="64" t="s">
        <v>154</v>
      </c>
      <c r="O25" s="64" t="s">
        <v>155</v>
      </c>
    </row>
    <row r="26" spans="1:15">
      <c r="A26" s="67">
        <f t="shared" ref="A26:A35" si="10">E2</f>
        <v>0</v>
      </c>
      <c r="B26" s="67">
        <f t="shared" ref="B26:B35" si="11">E14</f>
        <v>0</v>
      </c>
      <c r="C26" s="67">
        <f t="shared" ref="C26:C35" si="12">E2-E14</f>
        <v>0</v>
      </c>
      <c r="D26" s="65">
        <v>589.29999999999995</v>
      </c>
      <c r="E26" s="67">
        <f t="shared" ref="E26:E35" si="13">M26</f>
        <v>0</v>
      </c>
      <c r="F26" s="72">
        <f>AVERAGE(E26:E35)</f>
        <v>0</v>
      </c>
      <c r="G26" s="67">
        <f t="shared" ref="G26:G35" si="14">ABS(E26-$F$26)</f>
        <v>0</v>
      </c>
      <c r="H26" s="73">
        <f>AVERAGE(G26:G35)</f>
        <v>0</v>
      </c>
      <c r="I26" s="74" t="e">
        <f t="shared" ref="I26:I35" si="15">G26/$F$26</f>
        <v>#DIV/0!</v>
      </c>
      <c r="J26" s="65"/>
      <c r="K26" s="75">
        <v>5.8930000000000002E-7</v>
      </c>
      <c r="L26" s="64">
        <f t="shared" ref="L26:L35" si="16">O2-O14</f>
        <v>0</v>
      </c>
      <c r="M26" s="67">
        <f t="shared" ref="M26:M35" si="17">L26/(4*(K2-K14)*$K$26)</f>
        <v>0</v>
      </c>
      <c r="N26" s="73">
        <f>AVERAGE(M26:M35)</f>
        <v>0</v>
      </c>
      <c r="O26" s="64">
        <f t="shared" ref="O26:O35" si="18">ABS(M26-$N$26)</f>
        <v>0</v>
      </c>
    </row>
    <row r="27" spans="1:15">
      <c r="A27" s="67">
        <f t="shared" si="10"/>
        <v>0</v>
      </c>
      <c r="B27" s="67">
        <f t="shared" si="11"/>
        <v>0</v>
      </c>
      <c r="C27" s="67">
        <f t="shared" si="12"/>
        <v>0</v>
      </c>
      <c r="D27" s="65"/>
      <c r="E27" s="67">
        <f t="shared" si="13"/>
        <v>0</v>
      </c>
      <c r="F27" s="72"/>
      <c r="G27" s="67">
        <f t="shared" si="14"/>
        <v>0</v>
      </c>
      <c r="H27" s="73"/>
      <c r="I27" s="74" t="e">
        <f t="shared" si="15"/>
        <v>#DIV/0!</v>
      </c>
      <c r="J27" s="65"/>
      <c r="K27" s="65"/>
      <c r="L27" s="64">
        <f t="shared" si="16"/>
        <v>0</v>
      </c>
      <c r="M27" s="67">
        <f t="shared" si="17"/>
        <v>0</v>
      </c>
      <c r="N27" s="73"/>
      <c r="O27" s="64">
        <f t="shared" si="18"/>
        <v>0</v>
      </c>
    </row>
    <row r="28" spans="1:15">
      <c r="A28" s="67">
        <f t="shared" si="10"/>
        <v>0</v>
      </c>
      <c r="B28" s="67">
        <f t="shared" si="11"/>
        <v>0</v>
      </c>
      <c r="C28" s="67">
        <f t="shared" si="12"/>
        <v>0</v>
      </c>
      <c r="D28" s="65"/>
      <c r="E28" s="67">
        <f t="shared" si="13"/>
        <v>0</v>
      </c>
      <c r="F28" s="72"/>
      <c r="G28" s="67">
        <f t="shared" si="14"/>
        <v>0</v>
      </c>
      <c r="H28" s="73"/>
      <c r="I28" s="74" t="e">
        <f t="shared" si="15"/>
        <v>#DIV/0!</v>
      </c>
      <c r="J28" s="65"/>
      <c r="K28" s="65"/>
      <c r="L28" s="64">
        <f t="shared" si="16"/>
        <v>0</v>
      </c>
      <c r="M28" s="67">
        <f t="shared" si="17"/>
        <v>0</v>
      </c>
      <c r="N28" s="73"/>
      <c r="O28" s="64">
        <f t="shared" si="18"/>
        <v>0</v>
      </c>
    </row>
    <row r="29" spans="1:15">
      <c r="A29" s="67">
        <f t="shared" si="10"/>
        <v>0</v>
      </c>
      <c r="B29" s="67">
        <f t="shared" si="11"/>
        <v>0</v>
      </c>
      <c r="C29" s="67">
        <f t="shared" si="12"/>
        <v>0</v>
      </c>
      <c r="D29" s="65"/>
      <c r="E29" s="67">
        <f t="shared" si="13"/>
        <v>0</v>
      </c>
      <c r="F29" s="72"/>
      <c r="G29" s="67">
        <f t="shared" si="14"/>
        <v>0</v>
      </c>
      <c r="H29" s="73"/>
      <c r="I29" s="74" t="e">
        <f t="shared" si="15"/>
        <v>#DIV/0!</v>
      </c>
      <c r="J29" s="65"/>
      <c r="K29" s="65"/>
      <c r="L29" s="64">
        <f t="shared" si="16"/>
        <v>0</v>
      </c>
      <c r="M29" s="67">
        <f t="shared" si="17"/>
        <v>0</v>
      </c>
      <c r="N29" s="73"/>
      <c r="O29" s="64">
        <f t="shared" si="18"/>
        <v>0</v>
      </c>
    </row>
    <row r="30" spans="1:15">
      <c r="A30" s="67">
        <f t="shared" si="10"/>
        <v>0</v>
      </c>
      <c r="B30" s="67">
        <f t="shared" si="11"/>
        <v>0</v>
      </c>
      <c r="C30" s="67">
        <f t="shared" si="12"/>
        <v>0</v>
      </c>
      <c r="D30" s="65"/>
      <c r="E30" s="67">
        <f t="shared" si="13"/>
        <v>0</v>
      </c>
      <c r="F30" s="72"/>
      <c r="G30" s="67">
        <f t="shared" si="14"/>
        <v>0</v>
      </c>
      <c r="H30" s="73"/>
      <c r="I30" s="74" t="e">
        <f t="shared" si="15"/>
        <v>#DIV/0!</v>
      </c>
      <c r="J30" s="65"/>
      <c r="K30" s="65"/>
      <c r="L30" s="64">
        <f t="shared" si="16"/>
        <v>0</v>
      </c>
      <c r="M30" s="67">
        <f t="shared" si="17"/>
        <v>0</v>
      </c>
      <c r="N30" s="73"/>
      <c r="O30" s="64">
        <f t="shared" si="18"/>
        <v>0</v>
      </c>
    </row>
    <row r="31" spans="1:15">
      <c r="A31" s="67">
        <f t="shared" si="10"/>
        <v>0</v>
      </c>
      <c r="B31" s="67">
        <f t="shared" si="11"/>
        <v>0</v>
      </c>
      <c r="C31" s="67">
        <f t="shared" si="12"/>
        <v>0</v>
      </c>
      <c r="D31" s="65"/>
      <c r="E31" s="67">
        <f t="shared" si="13"/>
        <v>0</v>
      </c>
      <c r="F31" s="72"/>
      <c r="G31" s="67">
        <f t="shared" si="14"/>
        <v>0</v>
      </c>
      <c r="H31" s="73"/>
      <c r="I31" s="74" t="e">
        <f t="shared" si="15"/>
        <v>#DIV/0!</v>
      </c>
      <c r="J31" s="65"/>
      <c r="K31" s="65"/>
      <c r="L31" s="64">
        <f t="shared" si="16"/>
        <v>0</v>
      </c>
      <c r="M31" s="67">
        <f t="shared" si="17"/>
        <v>0</v>
      </c>
      <c r="N31" s="73"/>
      <c r="O31" s="64">
        <f t="shared" si="18"/>
        <v>0</v>
      </c>
    </row>
    <row r="32" spans="1:15">
      <c r="A32" s="67">
        <f t="shared" si="10"/>
        <v>0</v>
      </c>
      <c r="B32" s="67">
        <f t="shared" si="11"/>
        <v>0</v>
      </c>
      <c r="C32" s="67">
        <f t="shared" si="12"/>
        <v>0</v>
      </c>
      <c r="D32" s="65"/>
      <c r="E32" s="67">
        <f t="shared" si="13"/>
        <v>0</v>
      </c>
      <c r="F32" s="72"/>
      <c r="G32" s="67">
        <f t="shared" si="14"/>
        <v>0</v>
      </c>
      <c r="H32" s="73"/>
      <c r="I32" s="74" t="e">
        <f t="shared" si="15"/>
        <v>#DIV/0!</v>
      </c>
      <c r="J32" s="65"/>
      <c r="K32" s="65"/>
      <c r="L32" s="64">
        <f t="shared" si="16"/>
        <v>0</v>
      </c>
      <c r="M32" s="67">
        <f t="shared" si="17"/>
        <v>0</v>
      </c>
      <c r="N32" s="73"/>
      <c r="O32" s="64">
        <f t="shared" si="18"/>
        <v>0</v>
      </c>
    </row>
    <row r="33" spans="1:15">
      <c r="A33" s="67">
        <f t="shared" si="10"/>
        <v>0</v>
      </c>
      <c r="B33" s="67">
        <f t="shared" si="11"/>
        <v>0</v>
      </c>
      <c r="C33" s="67">
        <f t="shared" si="12"/>
        <v>0</v>
      </c>
      <c r="D33" s="65"/>
      <c r="E33" s="67">
        <f t="shared" si="13"/>
        <v>0</v>
      </c>
      <c r="F33" s="72"/>
      <c r="G33" s="67">
        <f t="shared" si="14"/>
        <v>0</v>
      </c>
      <c r="H33" s="73"/>
      <c r="I33" s="74" t="e">
        <f t="shared" si="15"/>
        <v>#DIV/0!</v>
      </c>
      <c r="J33" s="65"/>
      <c r="K33" s="65"/>
      <c r="L33" s="64">
        <f t="shared" si="16"/>
        <v>0</v>
      </c>
      <c r="M33" s="67">
        <f t="shared" si="17"/>
        <v>0</v>
      </c>
      <c r="N33" s="73"/>
      <c r="O33" s="64">
        <f t="shared" si="18"/>
        <v>0</v>
      </c>
    </row>
    <row r="34" spans="1:15">
      <c r="A34" s="67">
        <f t="shared" si="10"/>
        <v>0</v>
      </c>
      <c r="B34" s="67">
        <f t="shared" si="11"/>
        <v>0</v>
      </c>
      <c r="C34" s="67">
        <f t="shared" si="12"/>
        <v>0</v>
      </c>
      <c r="D34" s="65"/>
      <c r="E34" s="67">
        <f t="shared" si="13"/>
        <v>0</v>
      </c>
      <c r="F34" s="72"/>
      <c r="G34" s="67">
        <f t="shared" si="14"/>
        <v>0</v>
      </c>
      <c r="H34" s="73"/>
      <c r="I34" s="74" t="e">
        <f t="shared" si="15"/>
        <v>#DIV/0!</v>
      </c>
      <c r="J34" s="65"/>
      <c r="K34" s="65"/>
      <c r="L34" s="64">
        <f t="shared" si="16"/>
        <v>0</v>
      </c>
      <c r="M34" s="67">
        <f t="shared" si="17"/>
        <v>0</v>
      </c>
      <c r="N34" s="73"/>
      <c r="O34" s="64">
        <f t="shared" si="18"/>
        <v>0</v>
      </c>
    </row>
    <row r="35" spans="1:15">
      <c r="A35" s="67">
        <f t="shared" si="10"/>
        <v>0</v>
      </c>
      <c r="B35" s="67">
        <f t="shared" si="11"/>
        <v>0</v>
      </c>
      <c r="C35" s="67">
        <f t="shared" si="12"/>
        <v>0</v>
      </c>
      <c r="D35" s="65"/>
      <c r="E35" s="67">
        <f t="shared" si="13"/>
        <v>0</v>
      </c>
      <c r="F35" s="72"/>
      <c r="G35" s="67">
        <f t="shared" si="14"/>
        <v>0</v>
      </c>
      <c r="H35" s="73"/>
      <c r="I35" s="74" t="e">
        <f t="shared" si="15"/>
        <v>#DIV/0!</v>
      </c>
      <c r="J35" s="65"/>
      <c r="K35" s="65"/>
      <c r="L35" s="64">
        <f t="shared" si="16"/>
        <v>0</v>
      </c>
      <c r="M35" s="67">
        <f t="shared" si="17"/>
        <v>0</v>
      </c>
      <c r="N35" s="73"/>
      <c r="O35" s="64">
        <f t="shared" si="18"/>
        <v>0</v>
      </c>
    </row>
    <row r="36" spans="1:15">
      <c r="B36" s="67"/>
      <c r="C36" s="67"/>
      <c r="H36" s="76" t="e">
        <f>H26/F26</f>
        <v>#DIV/0!</v>
      </c>
    </row>
    <row r="37" spans="1:15">
      <c r="B37" s="67"/>
      <c r="C37" s="67"/>
    </row>
    <row r="38" spans="1:15">
      <c r="B38" s="67"/>
      <c r="C38" s="67"/>
    </row>
    <row r="39" spans="1:15">
      <c r="B39" s="67"/>
      <c r="C39" s="67"/>
    </row>
    <row r="40" spans="1:15">
      <c r="B40" s="67"/>
      <c r="C40" s="67"/>
    </row>
    <row r="41" spans="1:15">
      <c r="B41" s="67"/>
      <c r="C41" s="67"/>
    </row>
    <row r="42" spans="1:15">
      <c r="B42" s="67"/>
      <c r="C42" s="67"/>
    </row>
  </sheetData>
  <mergeCells count="6">
    <mergeCell ref="J1:J35"/>
    <mergeCell ref="D26:D35"/>
    <mergeCell ref="F26:F35"/>
    <mergeCell ref="H26:H35"/>
    <mergeCell ref="K26:K35"/>
    <mergeCell ref="N26:N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workbookViewId="0">
      <selection activeCell="C2" sqref="C2:D9"/>
    </sheetView>
  </sheetViews>
  <sheetFormatPr defaultColWidth="11.53125" defaultRowHeight="15"/>
  <cols>
    <col min="1" max="3" width="11.53125" style="78"/>
    <col min="4" max="4" width="10.6640625" style="78" customWidth="1"/>
    <col min="5" max="5" width="16" style="78" customWidth="1"/>
    <col min="6" max="16384" width="11.53125" style="78"/>
  </cols>
  <sheetData>
    <row r="1" spans="1:9">
      <c r="A1" s="77" t="s">
        <v>157</v>
      </c>
      <c r="B1" s="77" t="s">
        <v>158</v>
      </c>
      <c r="C1" s="77" t="s">
        <v>159</v>
      </c>
      <c r="D1" s="77" t="s">
        <v>160</v>
      </c>
      <c r="E1" s="77" t="s">
        <v>161</v>
      </c>
    </row>
    <row r="2" spans="1:9">
      <c r="A2" s="77">
        <v>0</v>
      </c>
      <c r="B2" s="79">
        <f t="shared" ref="B2:B9" si="0">A2*10</f>
        <v>0</v>
      </c>
      <c r="C2" s="88"/>
      <c r="D2" s="88"/>
      <c r="E2" s="79" t="e">
        <f>AVERAGE(C2:D2)</f>
        <v>#DIV/0!</v>
      </c>
    </row>
    <row r="3" spans="1:9">
      <c r="A3" s="77">
        <v>0.5</v>
      </c>
      <c r="B3" s="79">
        <f t="shared" si="0"/>
        <v>5</v>
      </c>
      <c r="C3" s="88"/>
      <c r="D3" s="88"/>
      <c r="E3" s="79" t="e">
        <f t="shared" ref="E3:E9" si="1">AVERAGE(C3:D3)</f>
        <v>#DIV/0!</v>
      </c>
    </row>
    <row r="4" spans="1:9">
      <c r="A4" s="77">
        <v>1</v>
      </c>
      <c r="B4" s="79">
        <f t="shared" si="0"/>
        <v>10</v>
      </c>
      <c r="C4" s="88"/>
      <c r="D4" s="88"/>
      <c r="E4" s="79" t="e">
        <f t="shared" si="1"/>
        <v>#DIV/0!</v>
      </c>
    </row>
    <row r="5" spans="1:9">
      <c r="A5" s="77">
        <v>1.5</v>
      </c>
      <c r="B5" s="79">
        <f t="shared" si="0"/>
        <v>15</v>
      </c>
      <c r="C5" s="88"/>
      <c r="D5" s="88"/>
      <c r="E5" s="79" t="e">
        <f t="shared" si="1"/>
        <v>#DIV/0!</v>
      </c>
    </row>
    <row r="6" spans="1:9">
      <c r="A6" s="77">
        <v>2</v>
      </c>
      <c r="B6" s="79">
        <f t="shared" si="0"/>
        <v>20</v>
      </c>
      <c r="C6" s="88"/>
      <c r="D6" s="88"/>
      <c r="E6" s="79" t="e">
        <f t="shared" si="1"/>
        <v>#DIV/0!</v>
      </c>
    </row>
    <row r="7" spans="1:9">
      <c r="A7" s="77">
        <v>2.5</v>
      </c>
      <c r="B7" s="79">
        <f t="shared" si="0"/>
        <v>25</v>
      </c>
      <c r="C7" s="88"/>
      <c r="D7" s="88"/>
      <c r="E7" s="79" t="e">
        <f t="shared" si="1"/>
        <v>#DIV/0!</v>
      </c>
    </row>
    <row r="8" spans="1:9">
      <c r="A8" s="77">
        <v>3</v>
      </c>
      <c r="B8" s="79">
        <f t="shared" si="0"/>
        <v>30</v>
      </c>
      <c r="C8" s="88"/>
      <c r="D8" s="88"/>
      <c r="E8" s="79" t="e">
        <f t="shared" si="1"/>
        <v>#DIV/0!</v>
      </c>
    </row>
    <row r="9" spans="1:9">
      <c r="A9" s="77">
        <v>3.5</v>
      </c>
      <c r="B9" s="79">
        <f t="shared" si="0"/>
        <v>35</v>
      </c>
      <c r="C9" s="88"/>
      <c r="D9" s="88"/>
      <c r="E9" s="79" t="e">
        <f t="shared" si="1"/>
        <v>#DIV/0!</v>
      </c>
    </row>
    <row r="15" spans="1:9">
      <c r="A15" s="80" t="s">
        <v>162</v>
      </c>
      <c r="B15" s="80"/>
      <c r="C15" s="80"/>
      <c r="D15" s="80"/>
      <c r="E15" s="80"/>
      <c r="F15" s="80"/>
      <c r="G15" s="80"/>
      <c r="H15" s="80"/>
      <c r="I15" s="80"/>
    </row>
    <row r="16" spans="1:9">
      <c r="A16" s="77" t="s">
        <v>157</v>
      </c>
      <c r="B16" s="77">
        <v>0</v>
      </c>
      <c r="C16" s="77">
        <v>0.5</v>
      </c>
      <c r="D16" s="77">
        <v>1</v>
      </c>
      <c r="E16" s="77">
        <v>1.5</v>
      </c>
      <c r="F16" s="77">
        <v>2</v>
      </c>
      <c r="G16" s="77">
        <v>2.5</v>
      </c>
      <c r="H16" s="77">
        <v>3</v>
      </c>
      <c r="I16" s="77">
        <v>3.5</v>
      </c>
    </row>
    <row r="17" spans="1:9">
      <c r="A17" s="77" t="s">
        <v>163</v>
      </c>
      <c r="B17" s="79">
        <v>0</v>
      </c>
      <c r="C17" s="79">
        <v>5</v>
      </c>
      <c r="D17" s="79">
        <v>10</v>
      </c>
      <c r="E17" s="79">
        <v>15</v>
      </c>
      <c r="F17" s="79">
        <v>20</v>
      </c>
      <c r="G17" s="79">
        <v>25</v>
      </c>
      <c r="H17" s="79">
        <v>30</v>
      </c>
      <c r="I17" s="79">
        <v>35</v>
      </c>
    </row>
    <row r="18" spans="1:9">
      <c r="A18" s="77" t="s">
        <v>159</v>
      </c>
      <c r="B18" s="88"/>
      <c r="C18" s="88"/>
      <c r="D18" s="88"/>
      <c r="E18" s="88"/>
      <c r="F18" s="88"/>
      <c r="G18" s="88"/>
      <c r="H18" s="88"/>
      <c r="I18" s="88"/>
    </row>
    <row r="19" spans="1:9">
      <c r="A19" s="77" t="s">
        <v>160</v>
      </c>
      <c r="B19" s="88"/>
      <c r="C19" s="88"/>
      <c r="D19" s="88"/>
      <c r="E19" s="88"/>
      <c r="F19" s="88"/>
      <c r="G19" s="88"/>
      <c r="H19" s="88"/>
      <c r="I19" s="88"/>
    </row>
    <row r="20" spans="1:9">
      <c r="A20" s="77" t="s">
        <v>161</v>
      </c>
      <c r="B20" s="79" t="e">
        <f t="shared" ref="B20:I20" si="2">AVERAGE(B18:B19)</f>
        <v>#DIV/0!</v>
      </c>
      <c r="C20" s="79" t="e">
        <f t="shared" si="2"/>
        <v>#DIV/0!</v>
      </c>
      <c r="D20" s="79" t="e">
        <f t="shared" si="2"/>
        <v>#DIV/0!</v>
      </c>
      <c r="E20" s="79" t="e">
        <f t="shared" si="2"/>
        <v>#DIV/0!</v>
      </c>
      <c r="F20" s="79" t="e">
        <f t="shared" si="2"/>
        <v>#DIV/0!</v>
      </c>
      <c r="G20" s="79" t="e">
        <f t="shared" si="2"/>
        <v>#DIV/0!</v>
      </c>
      <c r="H20" s="79" t="e">
        <f t="shared" si="2"/>
        <v>#DIV/0!</v>
      </c>
      <c r="I20" s="79" t="e">
        <f t="shared" si="2"/>
        <v>#DIV/0!</v>
      </c>
    </row>
    <row r="23" spans="1:9">
      <c r="A23" s="81" t="s">
        <v>164</v>
      </c>
      <c r="B23" s="81"/>
      <c r="C23" s="81"/>
      <c r="D23" s="81"/>
      <c r="E23" s="81"/>
      <c r="F23" s="81"/>
      <c r="G23" s="81"/>
      <c r="H23" s="82"/>
      <c r="I23" s="82"/>
    </row>
    <row r="24" spans="1:9">
      <c r="A24" s="77" t="s">
        <v>165</v>
      </c>
      <c r="B24" s="77" t="s">
        <v>166</v>
      </c>
      <c r="C24" s="77" t="s">
        <v>167</v>
      </c>
      <c r="D24" s="77" t="s">
        <v>168</v>
      </c>
      <c r="E24" s="77" t="s">
        <v>169</v>
      </c>
      <c r="F24" s="77" t="s">
        <v>170</v>
      </c>
      <c r="G24" s="78" t="s">
        <v>12</v>
      </c>
    </row>
    <row r="25" spans="1:9">
      <c r="A25" s="77">
        <v>1</v>
      </c>
      <c r="B25" s="88"/>
      <c r="C25" s="88"/>
      <c r="D25" s="83">
        <v>33.1</v>
      </c>
      <c r="E25" s="84">
        <v>34.96</v>
      </c>
      <c r="F25" s="89"/>
      <c r="G25" s="85" t="e">
        <f>(ABS(B25-C25)/1000)/($F$25*PI()*(($D$25+$E$25)/1000))</f>
        <v>#DIV/0!</v>
      </c>
    </row>
    <row r="26" spans="1:9">
      <c r="A26" s="77">
        <v>2</v>
      </c>
      <c r="B26" s="88"/>
      <c r="C26" s="88"/>
      <c r="D26" s="83"/>
      <c r="E26" s="84"/>
      <c r="F26" s="89"/>
      <c r="G26" s="85" t="e">
        <f>(ABS(B26-C26)/1000)/($F$25*PI()*(($D$25+$E$25)/1000))</f>
        <v>#DIV/0!</v>
      </c>
    </row>
    <row r="27" spans="1:9">
      <c r="A27" s="77">
        <v>3</v>
      </c>
      <c r="B27" s="88"/>
      <c r="C27" s="88"/>
      <c r="D27" s="83"/>
      <c r="E27" s="84"/>
      <c r="F27" s="89"/>
      <c r="G27" s="85" t="e">
        <f>(ABS(B27-C27)/1000)/($F$25*PI()*(($D$25+$E$25)/1000))</f>
        <v>#DIV/0!</v>
      </c>
    </row>
    <row r="28" spans="1:9">
      <c r="A28" s="77">
        <v>4</v>
      </c>
      <c r="B28" s="88"/>
      <c r="C28" s="88"/>
      <c r="D28" s="83"/>
      <c r="E28" s="84"/>
      <c r="F28" s="89"/>
      <c r="G28" s="85" t="e">
        <f>(ABS(B28-C28)/1000)/($F$25*PI()*(($D$25+$E$25)/1000))</f>
        <v>#DIV/0!</v>
      </c>
    </row>
    <row r="29" spans="1:9">
      <c r="A29" s="77">
        <v>5</v>
      </c>
      <c r="B29" s="88"/>
      <c r="C29" s="88"/>
      <c r="D29" s="83"/>
      <c r="E29" s="84"/>
      <c r="F29" s="89"/>
      <c r="G29" s="85" t="e">
        <f>(ABS(B29-C29)/1000)/($F$25*PI()*(($D$25+$E$25)/1000))</f>
        <v>#DIV/0!</v>
      </c>
    </row>
    <row r="30" spans="1:9">
      <c r="A30" s="81" t="s">
        <v>171</v>
      </c>
      <c r="B30" s="81"/>
      <c r="C30" s="81"/>
      <c r="D30" s="81"/>
      <c r="E30" s="81"/>
      <c r="F30" s="81"/>
      <c r="G30" s="86" t="e">
        <f>AVERAGE(G25:G29)</f>
        <v>#DIV/0!</v>
      </c>
      <c r="H30" s="78" t="s">
        <v>172</v>
      </c>
    </row>
    <row r="32" spans="1:9">
      <c r="A32" s="81"/>
      <c r="B32" s="81"/>
      <c r="C32" s="81"/>
      <c r="D32" s="81"/>
      <c r="E32" s="81"/>
      <c r="F32" s="81"/>
      <c r="G32" s="81"/>
      <c r="H32" s="81"/>
      <c r="I32" s="81"/>
    </row>
    <row r="33" spans="7:9">
      <c r="G33" s="77"/>
      <c r="H33" s="77"/>
      <c r="I33" s="77"/>
    </row>
    <row r="34" spans="7:9">
      <c r="G34" s="83"/>
      <c r="H34" s="84"/>
      <c r="I34" s="84"/>
    </row>
    <row r="35" spans="7:9">
      <c r="G35" s="83"/>
      <c r="H35" s="84"/>
      <c r="I35" s="84"/>
    </row>
    <row r="36" spans="7:9">
      <c r="G36" s="87"/>
      <c r="H36" s="77"/>
      <c r="I36" s="77"/>
    </row>
    <row r="37" spans="7:9">
      <c r="G37" s="87"/>
      <c r="H37" s="77"/>
      <c r="I37" s="77"/>
    </row>
  </sheetData>
  <mergeCells count="10">
    <mergeCell ref="A32:I32"/>
    <mergeCell ref="G34:G35"/>
    <mergeCell ref="H34:H35"/>
    <mergeCell ref="I34:I35"/>
    <mergeCell ref="A15:I15"/>
    <mergeCell ref="A23:G23"/>
    <mergeCell ref="D25:D29"/>
    <mergeCell ref="E25:E29"/>
    <mergeCell ref="F25:F29"/>
    <mergeCell ref="A30:F3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workbookViewId="0">
      <selection activeCell="E20" sqref="E20"/>
    </sheetView>
  </sheetViews>
  <sheetFormatPr defaultColWidth="11.53125" defaultRowHeight="13.9"/>
  <cols>
    <col min="1" max="16384" width="11.53125" style="90"/>
  </cols>
  <sheetData>
    <row r="1" spans="2:9">
      <c r="B1" s="90" t="s">
        <v>165</v>
      </c>
      <c r="C1" s="90" t="s">
        <v>185</v>
      </c>
      <c r="D1" s="90" t="s">
        <v>184</v>
      </c>
      <c r="E1" s="91" t="s">
        <v>183</v>
      </c>
      <c r="F1" s="91" t="s">
        <v>182</v>
      </c>
    </row>
    <row r="2" spans="2:9">
      <c r="B2" s="92" t="s">
        <v>181</v>
      </c>
      <c r="C2" s="93">
        <v>0</v>
      </c>
      <c r="D2" s="94">
        <v>1710000</v>
      </c>
      <c r="E2" s="91"/>
      <c r="F2" s="91"/>
    </row>
    <row r="3" spans="2:9">
      <c r="B3" s="92" t="s">
        <v>180</v>
      </c>
      <c r="C3" s="93">
        <v>3.81</v>
      </c>
      <c r="D3" s="94"/>
      <c r="E3" s="95">
        <f>(G11/1000)*$D$2</f>
        <v>1303.02</v>
      </c>
      <c r="F3" s="96">
        <f>I12/E7</f>
        <v>3.0771043163334854E-2</v>
      </c>
    </row>
    <row r="4" spans="2:9">
      <c r="B4" s="92" t="s">
        <v>179</v>
      </c>
      <c r="C4" s="93">
        <v>7.79</v>
      </c>
      <c r="D4" s="94"/>
      <c r="E4" s="95">
        <f>(G12/1000)*$D$2</f>
        <v>1361.16</v>
      </c>
      <c r="F4" s="96"/>
    </row>
    <row r="5" spans="2:9">
      <c r="B5" s="92" t="s">
        <v>178</v>
      </c>
      <c r="C5" s="93">
        <v>12.16</v>
      </c>
      <c r="D5" s="94"/>
      <c r="E5" s="95">
        <f>(G13/1000)*$D$2</f>
        <v>1494.54</v>
      </c>
      <c r="F5" s="96"/>
    </row>
    <row r="6" spans="2:9">
      <c r="B6" s="92" t="s">
        <v>177</v>
      </c>
      <c r="C6" s="93">
        <v>16.399999999999999</v>
      </c>
      <c r="D6" s="94"/>
      <c r="E6" s="95">
        <f>(G14/1000)*$D$2</f>
        <v>1450.0799999999995</v>
      </c>
      <c r="F6" s="96"/>
    </row>
    <row r="7" spans="2:9">
      <c r="B7" s="91" t="s">
        <v>171</v>
      </c>
      <c r="C7" s="91"/>
      <c r="D7" s="91"/>
      <c r="E7" s="97">
        <f>AVERAGE(E3:E6)</f>
        <v>1402.1999999999998</v>
      </c>
      <c r="F7" s="96"/>
    </row>
    <row r="10" spans="2:9">
      <c r="G10" s="90" t="s">
        <v>176</v>
      </c>
      <c r="I10" s="91" t="s">
        <v>175</v>
      </c>
    </row>
    <row r="11" spans="2:9">
      <c r="G11" s="90">
        <f>2*(C3-C2)/10</f>
        <v>0.76200000000000001</v>
      </c>
      <c r="H11" s="90">
        <f>(E3-$E$7)^2</f>
        <v>9836.6723999999667</v>
      </c>
      <c r="I11" s="91"/>
    </row>
    <row r="12" spans="2:9">
      <c r="G12" s="90">
        <f>2*(C4-C3)/10</f>
        <v>0.79600000000000004</v>
      </c>
      <c r="H12" s="90">
        <f>(E4-$E$7)^2</f>
        <v>1684.2815999999784</v>
      </c>
      <c r="I12" s="91">
        <f>SQRT(H17^2+H18^2)</f>
        <v>43.147156723628129</v>
      </c>
    </row>
    <row r="13" spans="2:9">
      <c r="G13" s="90">
        <f>2*(C5-C4)/10</f>
        <v>0.874</v>
      </c>
      <c r="H13" s="90">
        <f>(E5-$E$7)^2</f>
        <v>8526.6756000000278</v>
      </c>
      <c r="I13" s="91"/>
    </row>
    <row r="14" spans="2:9">
      <c r="G14" s="90">
        <f>2*(C6-C5)/10</f>
        <v>0.84799999999999964</v>
      </c>
      <c r="H14" s="90">
        <f>(E6-$E$7)^2</f>
        <v>2292.4943999999668</v>
      </c>
      <c r="I14" s="91"/>
    </row>
    <row r="15" spans="2:9">
      <c r="I15" s="91"/>
    </row>
    <row r="16" spans="2:9">
      <c r="G16" s="91" t="s">
        <v>186</v>
      </c>
      <c r="H16" s="91"/>
    </row>
    <row r="17" spans="7:8">
      <c r="G17" s="90" t="s">
        <v>174</v>
      </c>
      <c r="H17" s="90">
        <f>SQRT((SUM(H11:H14) )/12)</f>
        <v>43.147155178528223</v>
      </c>
    </row>
    <row r="18" spans="7:8">
      <c r="G18" s="90" t="s">
        <v>173</v>
      </c>
      <c r="H18" s="90">
        <f>0.02/SQRT(3)</f>
        <v>1.1547005383792516E-2</v>
      </c>
    </row>
  </sheetData>
  <mergeCells count="8">
    <mergeCell ref="G16:H16"/>
    <mergeCell ref="D2:D6"/>
    <mergeCell ref="I12:I15"/>
    <mergeCell ref="E1:E2"/>
    <mergeCell ref="I10:I11"/>
    <mergeCell ref="B7:D7"/>
    <mergeCell ref="F1:F2"/>
    <mergeCell ref="F3:F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Normal="100" workbookViewId="0">
      <selection activeCell="B5" sqref="B5:C14"/>
    </sheetView>
  </sheetViews>
  <sheetFormatPr defaultColWidth="11.53125" defaultRowHeight="15"/>
  <cols>
    <col min="1" max="4" width="11.53125" style="98"/>
    <col min="5" max="5" width="9.3984375" style="98" bestFit="1" customWidth="1"/>
    <col min="6" max="6" width="10.265625" style="98" bestFit="1" customWidth="1"/>
    <col min="7" max="16384" width="11.53125" style="98"/>
  </cols>
  <sheetData>
    <row r="2" spans="1:8">
      <c r="A2" s="99" t="s">
        <v>187</v>
      </c>
      <c r="B2" s="99" t="s">
        <v>188</v>
      </c>
      <c r="C2" s="99"/>
      <c r="D2" s="99"/>
      <c r="E2" s="99"/>
      <c r="F2" s="99"/>
      <c r="G2" s="99" t="s">
        <v>189</v>
      </c>
    </row>
    <row r="3" spans="1:8">
      <c r="A3" s="99"/>
      <c r="B3" s="100" t="s">
        <v>190</v>
      </c>
      <c r="C3" s="100" t="s">
        <v>191</v>
      </c>
      <c r="D3" s="99"/>
      <c r="E3" s="99" t="s">
        <v>171</v>
      </c>
      <c r="F3" s="99"/>
      <c r="G3" s="99"/>
    </row>
    <row r="4" spans="1:8">
      <c r="A4" s="99"/>
      <c r="B4" s="100" t="s">
        <v>192</v>
      </c>
      <c r="C4" s="100" t="s">
        <v>192</v>
      </c>
      <c r="D4" s="99"/>
      <c r="E4" s="100" t="s">
        <v>192</v>
      </c>
      <c r="F4" s="100" t="s">
        <v>193</v>
      </c>
      <c r="G4" s="99"/>
    </row>
    <row r="5" spans="1:8">
      <c r="A5" s="100">
        <v>200</v>
      </c>
      <c r="B5" s="101"/>
      <c r="C5" s="101"/>
      <c r="D5" s="99"/>
      <c r="E5" s="103" t="e">
        <f>AVERAGE(B5:C5)</f>
        <v>#DIV/0!</v>
      </c>
      <c r="F5" s="104" t="e">
        <f>E5/100*1000</f>
        <v>#DIV/0!</v>
      </c>
      <c r="G5" s="104" t="e">
        <f>A5-F5</f>
        <v>#DIV/0!</v>
      </c>
    </row>
    <row r="6" spans="1:8">
      <c r="A6" s="100">
        <v>400</v>
      </c>
      <c r="B6" s="101"/>
      <c r="C6" s="101"/>
      <c r="D6" s="99"/>
      <c r="E6" s="103" t="e">
        <f t="shared" ref="E6:E14" si="0">AVERAGE(B6:C6)</f>
        <v>#DIV/0!</v>
      </c>
      <c r="F6" s="104" t="e">
        <f t="shared" ref="F6:F14" si="1">E6/100*1000</f>
        <v>#DIV/0!</v>
      </c>
      <c r="G6" s="104" t="e">
        <f t="shared" ref="G6:G14" si="2">A6-F6</f>
        <v>#DIV/0!</v>
      </c>
    </row>
    <row r="7" spans="1:8">
      <c r="A7" s="100">
        <v>600</v>
      </c>
      <c r="B7" s="101"/>
      <c r="C7" s="101"/>
      <c r="D7" s="99"/>
      <c r="E7" s="103" t="e">
        <f t="shared" si="0"/>
        <v>#DIV/0!</v>
      </c>
      <c r="F7" s="104" t="e">
        <f t="shared" si="1"/>
        <v>#DIV/0!</v>
      </c>
      <c r="G7" s="104" t="e">
        <f t="shared" si="2"/>
        <v>#DIV/0!</v>
      </c>
    </row>
    <row r="8" spans="1:8">
      <c r="A8" s="100">
        <v>800</v>
      </c>
      <c r="B8" s="101"/>
      <c r="C8" s="101"/>
      <c r="D8" s="99"/>
      <c r="E8" s="103" t="e">
        <f t="shared" si="0"/>
        <v>#DIV/0!</v>
      </c>
      <c r="F8" s="104" t="e">
        <f t="shared" si="1"/>
        <v>#DIV/0!</v>
      </c>
      <c r="G8" s="104" t="e">
        <f t="shared" si="2"/>
        <v>#DIV/0!</v>
      </c>
    </row>
    <row r="9" spans="1:8">
      <c r="A9" s="100">
        <v>1000</v>
      </c>
      <c r="B9" s="101"/>
      <c r="C9" s="101"/>
      <c r="D9" s="99"/>
      <c r="E9" s="103" t="e">
        <f t="shared" si="0"/>
        <v>#DIV/0!</v>
      </c>
      <c r="F9" s="104" t="e">
        <f t="shared" si="1"/>
        <v>#DIV/0!</v>
      </c>
      <c r="G9" s="104" t="e">
        <f t="shared" si="2"/>
        <v>#DIV/0!</v>
      </c>
    </row>
    <row r="10" spans="1:8">
      <c r="A10" s="100">
        <v>1200</v>
      </c>
      <c r="B10" s="101"/>
      <c r="C10" s="101"/>
      <c r="D10" s="99"/>
      <c r="E10" s="103" t="e">
        <f t="shared" si="0"/>
        <v>#DIV/0!</v>
      </c>
      <c r="F10" s="104" t="e">
        <f t="shared" si="1"/>
        <v>#DIV/0!</v>
      </c>
      <c r="G10" s="104" t="e">
        <f t="shared" si="2"/>
        <v>#DIV/0!</v>
      </c>
    </row>
    <row r="11" spans="1:8">
      <c r="A11" s="100">
        <v>1400</v>
      </c>
      <c r="B11" s="101"/>
      <c r="C11" s="101"/>
      <c r="D11" s="99"/>
      <c r="E11" s="103" t="e">
        <f t="shared" si="0"/>
        <v>#DIV/0!</v>
      </c>
      <c r="F11" s="104" t="e">
        <f t="shared" si="1"/>
        <v>#DIV/0!</v>
      </c>
      <c r="G11" s="104" t="e">
        <f t="shared" si="2"/>
        <v>#DIV/0!</v>
      </c>
    </row>
    <row r="12" spans="1:8">
      <c r="A12" s="100">
        <v>1600</v>
      </c>
      <c r="B12" s="101"/>
      <c r="C12" s="101"/>
      <c r="D12" s="99"/>
      <c r="E12" s="103" t="e">
        <f t="shared" si="0"/>
        <v>#DIV/0!</v>
      </c>
      <c r="F12" s="104" t="e">
        <f t="shared" si="1"/>
        <v>#DIV/0!</v>
      </c>
      <c r="G12" s="104" t="e">
        <f t="shared" si="2"/>
        <v>#DIV/0!</v>
      </c>
    </row>
    <row r="13" spans="1:8">
      <c r="A13" s="100">
        <v>1800</v>
      </c>
      <c r="B13" s="101"/>
      <c r="C13" s="101"/>
      <c r="D13" s="99"/>
      <c r="E13" s="103" t="e">
        <f t="shared" si="0"/>
        <v>#DIV/0!</v>
      </c>
      <c r="F13" s="104" t="e">
        <f t="shared" si="1"/>
        <v>#DIV/0!</v>
      </c>
      <c r="G13" s="104" t="e">
        <f t="shared" si="2"/>
        <v>#DIV/0!</v>
      </c>
    </row>
    <row r="14" spans="1:8">
      <c r="A14" s="100">
        <v>1999</v>
      </c>
      <c r="B14" s="101"/>
      <c r="C14" s="101"/>
      <c r="D14" s="99"/>
      <c r="E14" s="103" t="e">
        <f t="shared" si="0"/>
        <v>#DIV/0!</v>
      </c>
      <c r="F14" s="104" t="e">
        <f t="shared" si="1"/>
        <v>#DIV/0!</v>
      </c>
      <c r="G14" s="104" t="e">
        <f t="shared" si="2"/>
        <v>#DIV/0!</v>
      </c>
    </row>
    <row r="16" spans="1:8">
      <c r="G16" s="102" t="e">
        <f>MAX(G5:G14)/$A$14</f>
        <v>#DIV/0!</v>
      </c>
      <c r="H16" s="98" t="s">
        <v>194</v>
      </c>
    </row>
  </sheetData>
  <mergeCells count="5">
    <mergeCell ref="A2:A4"/>
    <mergeCell ref="B2:F2"/>
    <mergeCell ref="G2:G4"/>
    <mergeCell ref="E3:F3"/>
    <mergeCell ref="D3:D1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薄透镜焦距</vt:lpstr>
      <vt:lpstr>杨氏模量</vt:lpstr>
      <vt:lpstr>PN结</vt:lpstr>
      <vt:lpstr>电表改装</vt:lpstr>
      <vt:lpstr>金属比热容</vt:lpstr>
      <vt:lpstr>牛顿环</vt:lpstr>
      <vt:lpstr>表面张力</vt:lpstr>
      <vt:lpstr>超声光栅</vt:lpstr>
      <vt:lpstr>电位差计</vt:lpstr>
      <vt:lpstr>弗兰克赫兹实验</vt:lpstr>
      <vt:lpstr>霍尔效应</vt:lpstr>
      <vt:lpstr>迈克尔逊干涉仪</vt:lpstr>
      <vt:lpstr>声速的测量</vt:lpstr>
      <vt:lpstr>RLC谐振电路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符家铭</dc:creator>
  <cp:lastModifiedBy>符家铭</cp:lastModifiedBy>
  <dcterms:created xsi:type="dcterms:W3CDTF">2016-05-22T06:04:02Z</dcterms:created>
  <dcterms:modified xsi:type="dcterms:W3CDTF">2017-03-10T17:06:51Z</dcterms:modified>
</cp:coreProperties>
</file>