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filterPrivacy="1" defaultThemeVersion="124226"/>
  <xr:revisionPtr revIDLastSave="3" documentId="13_ncr:1_{C708EF79-4E5A-403D-80CA-BC5A89E07CCE}" xr6:coauthVersionLast="47" xr6:coauthVersionMax="47" xr10:uidLastSave="{AF2BD60F-DAC4-9047-A264-FE9205E241D8}"/>
  <bookViews>
    <workbookView xWindow="0" yWindow="500" windowWidth="28800" windowHeight="16100" firstSheet="6" activeTab="6" xr2:uid="{00000000-000D-0000-FFFF-FFFF00000000}"/>
  </bookViews>
  <sheets>
    <sheet name="Chevy Volt" sheetId="2" r:id="rId1"/>
    <sheet name="Mitsubishi i-MiEV" sheetId="8" r:id="rId2"/>
    <sheet name="Nissan Leaf" sheetId="1" r:id="rId3"/>
    <sheet name="Chevy Bolt" sheetId="3" r:id="rId4"/>
    <sheet name="BMWi3" sheetId="9" r:id="rId5"/>
    <sheet name="Tesla Model S" sheetId="5" r:id="rId6"/>
    <sheet name="Tesla" sheetId="11" r:id="rId7"/>
    <sheet name="note" sheetId="12" r:id="rId8"/>
    <sheet name="Summary" sheetId="6" r:id="rId9"/>
    <sheet name="Sheet1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1" l="1"/>
  <c r="V14" i="11"/>
  <c r="W14" i="11"/>
  <c r="J14" i="11"/>
  <c r="X14" i="11" s="1"/>
  <c r="AC14" i="11"/>
  <c r="U15" i="11"/>
  <c r="V15" i="11"/>
  <c r="W15" i="11"/>
  <c r="J15" i="11"/>
  <c r="X15" i="11" s="1"/>
  <c r="AC15" i="11"/>
  <c r="J13" i="11"/>
  <c r="X13" i="11" s="1"/>
  <c r="AC13" i="11"/>
  <c r="W13" i="11"/>
  <c r="U13" i="11"/>
  <c r="V13" i="11"/>
  <c r="J12" i="11"/>
  <c r="X12" i="11" s="1"/>
  <c r="AC12" i="11"/>
  <c r="W12" i="11"/>
  <c r="U12" i="11"/>
  <c r="V12" i="11"/>
  <c r="W11" i="11"/>
  <c r="J11" i="11"/>
  <c r="X11" i="11" s="1"/>
  <c r="U11" i="11"/>
  <c r="V11" i="11"/>
  <c r="AC11" i="11"/>
  <c r="H10" i="11"/>
  <c r="R10" i="11" s="1"/>
  <c r="H9" i="11"/>
  <c r="H8" i="11"/>
  <c r="R8" i="11" s="1"/>
  <c r="S8" i="11" s="1"/>
  <c r="H7" i="11"/>
  <c r="H6" i="11"/>
  <c r="H5" i="11"/>
  <c r="H4" i="11"/>
  <c r="R4" i="11" s="1"/>
  <c r="H3" i="11"/>
  <c r="R3" i="11" s="1"/>
  <c r="I4" i="11"/>
  <c r="J4" i="11" s="1"/>
  <c r="X4" i="11" s="1"/>
  <c r="I3" i="11"/>
  <c r="J3" i="11" s="1"/>
  <c r="X3" i="11" s="1"/>
  <c r="I2" i="11"/>
  <c r="AC2" i="11" s="1"/>
  <c r="W2" i="11"/>
  <c r="W3" i="11"/>
  <c r="W4" i="11"/>
  <c r="R2" i="11"/>
  <c r="U2" i="11"/>
  <c r="V2" i="11"/>
  <c r="U3" i="11"/>
  <c r="V3" i="11"/>
  <c r="U4" i="11"/>
  <c r="V4" i="11"/>
  <c r="W10" i="11"/>
  <c r="J10" i="11"/>
  <c r="X10" i="11" s="1"/>
  <c r="U10" i="11"/>
  <c r="V10" i="11"/>
  <c r="AC10" i="11"/>
  <c r="W9" i="11"/>
  <c r="J9" i="11"/>
  <c r="X9" i="11" s="1"/>
  <c r="U9" i="11"/>
  <c r="V9" i="11"/>
  <c r="AC9" i="11"/>
  <c r="U8" i="11"/>
  <c r="V8" i="11"/>
  <c r="W8" i="11"/>
  <c r="J8" i="11"/>
  <c r="X8" i="11" s="1"/>
  <c r="AC8" i="11"/>
  <c r="AC5" i="11"/>
  <c r="W6" i="11"/>
  <c r="W7" i="11"/>
  <c r="V6" i="11"/>
  <c r="V7" i="11"/>
  <c r="U6" i="11"/>
  <c r="U7" i="11"/>
  <c r="I7" i="11"/>
  <c r="AC7" i="11" s="1"/>
  <c r="I6" i="11"/>
  <c r="AC6" i="11" s="1"/>
  <c r="J5" i="11"/>
  <c r="X5" i="11" s="1"/>
  <c r="W5" i="11"/>
  <c r="V5" i="11"/>
  <c r="U5" i="11"/>
  <c r="I24" i="5"/>
  <c r="J24" i="5"/>
  <c r="I25" i="5"/>
  <c r="J25" i="5"/>
  <c r="I26" i="5"/>
  <c r="J26" i="5"/>
  <c r="I27" i="5"/>
  <c r="J27" i="5"/>
  <c r="J28" i="5"/>
  <c r="V44" i="6"/>
  <c r="V43" i="6"/>
  <c r="H11" i="11" l="1"/>
  <c r="R7" i="11"/>
  <c r="T7" i="11" s="1"/>
  <c r="R5" i="11"/>
  <c r="R6" i="11"/>
  <c r="T6" i="11" s="1"/>
  <c r="R9" i="11"/>
  <c r="S9" i="11" s="1"/>
  <c r="AC4" i="11"/>
  <c r="S4" i="11"/>
  <c r="T4" i="11"/>
  <c r="AC3" i="11"/>
  <c r="S3" i="11"/>
  <c r="S2" i="11"/>
  <c r="J2" i="11"/>
  <c r="X2" i="11" s="1"/>
  <c r="T2" i="11"/>
  <c r="T3" i="11"/>
  <c r="J6" i="11"/>
  <c r="X6" i="11" s="1"/>
  <c r="J7" i="11"/>
  <c r="X7" i="11" s="1"/>
  <c r="T10" i="11"/>
  <c r="S10" i="11"/>
  <c r="T8" i="11"/>
  <c r="E53" i="6"/>
  <c r="G53" i="6" s="1"/>
  <c r="S5" i="11" l="1"/>
  <c r="R11" i="11"/>
  <c r="H12" i="11"/>
  <c r="S6" i="11"/>
  <c r="T5" i="11"/>
  <c r="T9" i="11"/>
  <c r="S7" i="11"/>
  <c r="I53" i="6"/>
  <c r="J12" i="10"/>
  <c r="H12" i="10"/>
  <c r="F12" i="10"/>
  <c r="E89" i="6"/>
  <c r="G89" i="6" s="1"/>
  <c r="E76" i="6"/>
  <c r="G76" i="6" s="1"/>
  <c r="E101" i="6"/>
  <c r="G101" i="6" s="1"/>
  <c r="R12" i="11" l="1"/>
  <c r="H13" i="11"/>
  <c r="S11" i="11"/>
  <c r="T11" i="11"/>
  <c r="E47" i="6"/>
  <c r="E48" i="6"/>
  <c r="F48" i="6" s="1"/>
  <c r="E49" i="6"/>
  <c r="E50" i="6"/>
  <c r="E69" i="6"/>
  <c r="G69" i="6" s="1"/>
  <c r="E70" i="6"/>
  <c r="G70" i="6" s="1"/>
  <c r="E71" i="6"/>
  <c r="G71" i="6" s="1"/>
  <c r="E72" i="6"/>
  <c r="G72" i="6" s="1"/>
  <c r="F89" i="6"/>
  <c r="E90" i="6"/>
  <c r="G90" i="6" s="1"/>
  <c r="E88" i="6"/>
  <c r="G88" i="6" s="1"/>
  <c r="E83" i="6"/>
  <c r="G83" i="6" s="1"/>
  <c r="E62" i="6"/>
  <c r="E103" i="6"/>
  <c r="G103" i="6" s="1"/>
  <c r="O17" i="6"/>
  <c r="R13" i="11" l="1"/>
  <c r="H14" i="11"/>
  <c r="T12" i="11"/>
  <c r="S12" i="11"/>
  <c r="S13" i="11"/>
  <c r="T13" i="11"/>
  <c r="F90" i="6"/>
  <c r="F70" i="6"/>
  <c r="G62" i="6"/>
  <c r="I62" i="6"/>
  <c r="F69" i="6"/>
  <c r="F62" i="6"/>
  <c r="F88" i="6"/>
  <c r="F72" i="6"/>
  <c r="G50" i="6"/>
  <c r="I50" i="6"/>
  <c r="F50" i="6"/>
  <c r="G48" i="6"/>
  <c r="I48" i="6"/>
  <c r="G47" i="6"/>
  <c r="I47" i="6"/>
  <c r="F47" i="6"/>
  <c r="F103" i="6"/>
  <c r="F83" i="6"/>
  <c r="F71" i="6"/>
  <c r="G49" i="6"/>
  <c r="I49" i="6"/>
  <c r="F49" i="6"/>
  <c r="O12" i="6"/>
  <c r="O15" i="6"/>
  <c r="O14" i="6"/>
  <c r="O13" i="6"/>
  <c r="O16" i="6"/>
  <c r="H15" i="11" l="1"/>
  <c r="R15" i="11" s="1"/>
  <c r="R14" i="11"/>
  <c r="E45" i="6"/>
  <c r="E51" i="6"/>
  <c r="E86" i="6"/>
  <c r="G86" i="6" s="1"/>
  <c r="E92" i="6"/>
  <c r="G92" i="6" s="1"/>
  <c r="E58" i="6"/>
  <c r="E77" i="6"/>
  <c r="G77" i="6" s="1"/>
  <c r="E68" i="6"/>
  <c r="G68" i="6" s="1"/>
  <c r="E67" i="6"/>
  <c r="G67" i="6" s="1"/>
  <c r="E52" i="6"/>
  <c r="E74" i="6"/>
  <c r="G74" i="6" s="1"/>
  <c r="E93" i="6"/>
  <c r="S14" i="11" l="1"/>
  <c r="T14" i="11"/>
  <c r="S15" i="11"/>
  <c r="T15" i="11"/>
  <c r="F93" i="6"/>
  <c r="G93" i="6"/>
  <c r="G52" i="6"/>
  <c r="I52" i="6"/>
  <c r="G58" i="6"/>
  <c r="I58" i="6"/>
  <c r="G45" i="6"/>
  <c r="I45" i="6"/>
  <c r="F74" i="6"/>
  <c r="F45" i="6"/>
  <c r="F52" i="6"/>
  <c r="G51" i="6"/>
  <c r="I51" i="6"/>
  <c r="F86" i="6"/>
  <c r="H91" i="5" l="1"/>
  <c r="H94" i="5" s="1"/>
  <c r="H90" i="5"/>
  <c r="H88" i="5" s="1"/>
  <c r="L88" i="5" s="1"/>
  <c r="H101" i="5" l="1"/>
  <c r="H100" i="5"/>
  <c r="H96" i="5"/>
  <c r="H97" i="5"/>
  <c r="H103" i="5"/>
  <c r="H93" i="5"/>
  <c r="H99" i="5"/>
  <c r="H95" i="5"/>
  <c r="H102" i="5"/>
  <c r="H98" i="5"/>
  <c r="J88" i="5"/>
  <c r="H69" i="5"/>
  <c r="H67" i="5" s="1"/>
  <c r="I94" i="5" s="1"/>
  <c r="H70" i="5"/>
  <c r="H76" i="5" s="1"/>
  <c r="H82" i="5" l="1"/>
  <c r="I82" i="5" s="1"/>
  <c r="H79" i="5"/>
  <c r="I79" i="5" s="1"/>
  <c r="H78" i="5"/>
  <c r="H75" i="5"/>
  <c r="I76" i="5"/>
  <c r="I95" i="5"/>
  <c r="I75" i="5"/>
  <c r="H74" i="5"/>
  <c r="H72" i="5"/>
  <c r="I72" i="5" s="1"/>
  <c r="I100" i="5"/>
  <c r="H81" i="5"/>
  <c r="I81" i="5" s="1"/>
  <c r="H77" i="5"/>
  <c r="H73" i="5"/>
  <c r="I73" i="5" s="1"/>
  <c r="L67" i="5"/>
  <c r="I96" i="5"/>
  <c r="I103" i="5"/>
  <c r="I101" i="5"/>
  <c r="I78" i="5"/>
  <c r="I102" i="5"/>
  <c r="I98" i="5"/>
  <c r="I97" i="5"/>
  <c r="J67" i="5"/>
  <c r="H80" i="5"/>
  <c r="I80" i="5" s="1"/>
  <c r="I99" i="5"/>
  <c r="I93" i="5"/>
  <c r="I74" i="5"/>
  <c r="I77" i="5"/>
  <c r="N12" i="6"/>
  <c r="Q12" i="6" s="1"/>
  <c r="N11" i="6"/>
  <c r="Q11" i="6" s="1"/>
  <c r="L15" i="6"/>
  <c r="L16" i="6"/>
  <c r="L12" i="6"/>
  <c r="H39" i="3" l="1"/>
  <c r="H55" i="3"/>
  <c r="H54" i="3"/>
  <c r="H52" i="3" s="1"/>
  <c r="H49" i="5"/>
  <c r="H58" i="5" l="1"/>
  <c r="H53" i="5"/>
  <c r="H51" i="5"/>
  <c r="H54" i="5"/>
  <c r="E87" i="6"/>
  <c r="G87" i="6" s="1"/>
  <c r="H48" i="5"/>
  <c r="H46" i="5" s="1"/>
  <c r="L50" i="5" s="1"/>
  <c r="H26" i="3"/>
  <c r="N18" i="6"/>
  <c r="J46" i="5" l="1"/>
  <c r="I53" i="5"/>
  <c r="I58" i="5"/>
  <c r="I54" i="5"/>
  <c r="I51" i="5"/>
  <c r="E73" i="6"/>
  <c r="G73" i="6" s="1"/>
  <c r="E75" i="6"/>
  <c r="G75" i="6" s="1"/>
  <c r="E78" i="6"/>
  <c r="G78" i="6" s="1"/>
  <c r="E79" i="6"/>
  <c r="G79" i="6" s="1"/>
  <c r="E80" i="6"/>
  <c r="G80" i="6" s="1"/>
  <c r="E81" i="6"/>
  <c r="G81" i="6" s="1"/>
  <c r="E82" i="6"/>
  <c r="G82" i="6" s="1"/>
  <c r="C19" i="5"/>
  <c r="L13" i="6"/>
  <c r="L14" i="6"/>
  <c r="C16" i="1"/>
  <c r="F67" i="6" l="1"/>
  <c r="M16" i="6"/>
  <c r="N16" i="6"/>
  <c r="Q16" i="6" s="1"/>
  <c r="F87" i="6"/>
  <c r="E91" i="6"/>
  <c r="E94" i="6"/>
  <c r="E95" i="6"/>
  <c r="E97" i="6"/>
  <c r="G97" i="6" s="1"/>
  <c r="E98" i="6"/>
  <c r="E99" i="6"/>
  <c r="E100" i="6"/>
  <c r="E102" i="6"/>
  <c r="F53" i="6"/>
  <c r="E46" i="6"/>
  <c r="F51" i="6"/>
  <c r="E54" i="6"/>
  <c r="E55" i="6"/>
  <c r="E56" i="6"/>
  <c r="E57" i="6"/>
  <c r="F58" i="6"/>
  <c r="E59" i="6"/>
  <c r="E61" i="6"/>
  <c r="F75" i="6"/>
  <c r="F79" i="6"/>
  <c r="F80" i="6"/>
  <c r="F68" i="6"/>
  <c r="F73" i="6"/>
  <c r="F76" i="6"/>
  <c r="F77" i="6"/>
  <c r="F78" i="6"/>
  <c r="F81" i="6"/>
  <c r="F82" i="6"/>
  <c r="H42" i="1"/>
  <c r="I42" i="1" s="1"/>
  <c r="J42" i="1" s="1"/>
  <c r="F61" i="6" l="1"/>
  <c r="G61" i="6"/>
  <c r="I61" i="6"/>
  <c r="F46" i="6"/>
  <c r="G46" i="6"/>
  <c r="I46" i="6"/>
  <c r="F99" i="6"/>
  <c r="G99" i="6"/>
  <c r="F94" i="6"/>
  <c r="G94" i="6"/>
  <c r="F59" i="6"/>
  <c r="G59" i="6"/>
  <c r="E60" i="6" s="1"/>
  <c r="I59" i="6"/>
  <c r="F54" i="6"/>
  <c r="G54" i="6"/>
  <c r="I54" i="6"/>
  <c r="F102" i="6"/>
  <c r="G102" i="6"/>
  <c r="F56" i="6"/>
  <c r="G56" i="6"/>
  <c r="I56" i="6"/>
  <c r="F55" i="6"/>
  <c r="G55" i="6"/>
  <c r="I55" i="6"/>
  <c r="F98" i="6"/>
  <c r="G98" i="6"/>
  <c r="F91" i="6"/>
  <c r="G91" i="6"/>
  <c r="F57" i="6"/>
  <c r="G57" i="6"/>
  <c r="I57" i="6"/>
  <c r="F100" i="6"/>
  <c r="G100" i="6"/>
  <c r="F95" i="6"/>
  <c r="G95" i="6"/>
  <c r="E96" i="6" s="1"/>
  <c r="F101" i="6"/>
  <c r="F97" i="6"/>
  <c r="F92" i="6"/>
  <c r="H41" i="3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H43" i="1"/>
  <c r="I43" i="1" s="1"/>
  <c r="J43" i="1" s="1"/>
  <c r="H44" i="1"/>
  <c r="I44" i="1" s="1"/>
  <c r="J44" i="1" s="1"/>
  <c r="H45" i="1"/>
  <c r="I45" i="1" s="1"/>
  <c r="H46" i="1"/>
  <c r="I46" i="1" s="1"/>
  <c r="H37" i="1"/>
  <c r="I37" i="1" s="1"/>
  <c r="J37" i="1" s="1"/>
  <c r="H40" i="3"/>
  <c r="H47" i="3"/>
  <c r="H46" i="3"/>
  <c r="H45" i="3"/>
  <c r="H44" i="3"/>
  <c r="H43" i="3"/>
  <c r="H42" i="3"/>
  <c r="J46" i="1" l="1"/>
  <c r="J45" i="1"/>
  <c r="J41" i="1"/>
  <c r="H52" i="5"/>
  <c r="H55" i="5"/>
  <c r="H56" i="5"/>
  <c r="H57" i="5"/>
  <c r="H59" i="5"/>
  <c r="H60" i="5"/>
  <c r="H61" i="5"/>
  <c r="I61" i="5" s="1"/>
  <c r="H62" i="5"/>
  <c r="C20" i="5"/>
  <c r="N27" i="6"/>
  <c r="M27" i="6"/>
  <c r="N26" i="6"/>
  <c r="M26" i="6"/>
  <c r="N25" i="6"/>
  <c r="N24" i="6"/>
  <c r="M24" i="6"/>
  <c r="N23" i="6"/>
  <c r="M23" i="6"/>
  <c r="N22" i="6"/>
  <c r="M22" i="6"/>
  <c r="C19" i="3"/>
  <c r="I45" i="3" s="1"/>
  <c r="J45" i="3" s="1"/>
  <c r="C14" i="3"/>
  <c r="H26" i="1"/>
  <c r="I41" i="3" l="1"/>
  <c r="J41" i="3" s="1"/>
  <c r="I40" i="3"/>
  <c r="J40" i="3" s="1"/>
  <c r="I43" i="3"/>
  <c r="J43" i="3" s="1"/>
  <c r="I47" i="3"/>
  <c r="J47" i="3" s="1"/>
  <c r="C20" i="3"/>
  <c r="I26" i="3"/>
  <c r="K43" i="3"/>
  <c r="K47" i="3"/>
  <c r="K41" i="3"/>
  <c r="K44" i="3"/>
  <c r="K39" i="3"/>
  <c r="I39" i="3"/>
  <c r="J39" i="3" s="1"/>
  <c r="K40" i="3"/>
  <c r="K45" i="3"/>
  <c r="K42" i="3"/>
  <c r="K46" i="3"/>
  <c r="I46" i="3"/>
  <c r="J46" i="3" s="1"/>
  <c r="I44" i="3"/>
  <c r="J44" i="3" s="1"/>
  <c r="I42" i="3"/>
  <c r="J42" i="3" s="1"/>
  <c r="I52" i="5"/>
  <c r="H60" i="3"/>
  <c r="H61" i="3"/>
  <c r="H62" i="3"/>
  <c r="H63" i="3"/>
  <c r="H64" i="3"/>
  <c r="H65" i="3"/>
  <c r="H58" i="3"/>
  <c r="H57" i="3"/>
  <c r="J57" i="3" s="1"/>
  <c r="H59" i="3"/>
  <c r="J59" i="3" s="1"/>
  <c r="I60" i="5"/>
  <c r="I59" i="5"/>
  <c r="I57" i="5"/>
  <c r="I56" i="5"/>
  <c r="I55" i="5"/>
  <c r="I62" i="5"/>
  <c r="N14" i="6"/>
  <c r="Q14" i="6" s="1"/>
  <c r="N13" i="6"/>
  <c r="Q13" i="6" s="1"/>
  <c r="C18" i="9"/>
  <c r="C16" i="9"/>
  <c r="H26" i="9" s="1"/>
  <c r="I26" i="9" s="1"/>
  <c r="C15" i="9"/>
  <c r="C20" i="9" s="1"/>
  <c r="H24" i="9" l="1"/>
  <c r="I24" i="9" s="1"/>
  <c r="H25" i="9"/>
  <c r="I25" i="9" s="1"/>
  <c r="I59" i="3"/>
  <c r="K59" i="3" s="1"/>
  <c r="I65" i="3"/>
  <c r="K65" i="3" s="1"/>
  <c r="J65" i="3"/>
  <c r="I57" i="3"/>
  <c r="K57" i="3" s="1"/>
  <c r="I58" i="3"/>
  <c r="K58" i="3" s="1"/>
  <c r="J58" i="3"/>
  <c r="I64" i="3"/>
  <c r="K64" i="3" s="1"/>
  <c r="J64" i="3"/>
  <c r="I63" i="3"/>
  <c r="K63" i="3" s="1"/>
  <c r="J63" i="3"/>
  <c r="I62" i="3"/>
  <c r="K62" i="3" s="1"/>
  <c r="J62" i="3"/>
  <c r="I61" i="3"/>
  <c r="K61" i="3" s="1"/>
  <c r="J61" i="3"/>
  <c r="I60" i="3"/>
  <c r="K60" i="3" s="1"/>
  <c r="J60" i="3"/>
  <c r="K25" i="9"/>
  <c r="K24" i="9" l="1"/>
  <c r="J24" i="9"/>
  <c r="J25" i="9"/>
  <c r="N15" i="6"/>
  <c r="M12" i="6"/>
  <c r="M13" i="6"/>
  <c r="M15" i="6"/>
  <c r="M18" i="6"/>
  <c r="M11" i="6"/>
  <c r="C16" i="8"/>
  <c r="H27" i="8" s="1"/>
  <c r="C19" i="8"/>
  <c r="I26" i="1"/>
  <c r="H25" i="8" l="1"/>
  <c r="Q15" i="6"/>
  <c r="Q18" i="6" s="1"/>
  <c r="H24" i="8"/>
  <c r="I24" i="8" s="1"/>
  <c r="H28" i="8"/>
  <c r="I28" i="8" s="1"/>
  <c r="H26" i="8"/>
  <c r="I26" i="8" s="1"/>
  <c r="J27" i="8"/>
  <c r="J25" i="8"/>
  <c r="J23" i="8"/>
  <c r="J28" i="8"/>
  <c r="J26" i="8"/>
  <c r="J24" i="8"/>
  <c r="K27" i="8"/>
  <c r="I27" i="8"/>
  <c r="H23" i="8"/>
  <c r="C15" i="1"/>
  <c r="C19" i="1" s="1"/>
  <c r="K28" i="1"/>
  <c r="H28" i="1"/>
  <c r="C16" i="5"/>
  <c r="H25" i="3"/>
  <c r="I25" i="3" s="1"/>
  <c r="H24" i="3"/>
  <c r="K24" i="3" s="1"/>
  <c r="J25" i="3"/>
  <c r="C13" i="3"/>
  <c r="H24" i="2"/>
  <c r="H25" i="2"/>
  <c r="C19" i="2"/>
  <c r="K24" i="2" s="1"/>
  <c r="C14" i="2"/>
  <c r="C13" i="2"/>
  <c r="I28" i="1"/>
  <c r="H27" i="1"/>
  <c r="K27" i="1" s="1"/>
  <c r="H24" i="1"/>
  <c r="K24" i="1" s="1"/>
  <c r="H23" i="1"/>
  <c r="I23" i="1" s="1"/>
  <c r="I24" i="2" l="1"/>
  <c r="C20" i="2"/>
  <c r="J24" i="2" s="1"/>
  <c r="C18" i="2"/>
  <c r="I27" i="1"/>
  <c r="K25" i="8"/>
  <c r="I25" i="8"/>
  <c r="J28" i="1"/>
  <c r="J25" i="1"/>
  <c r="J23" i="1"/>
  <c r="J26" i="1"/>
  <c r="J27" i="1"/>
  <c r="H34" i="5"/>
  <c r="H33" i="5"/>
  <c r="H35" i="5"/>
  <c r="H36" i="5"/>
  <c r="H26" i="5"/>
  <c r="H37" i="5"/>
  <c r="H25" i="5"/>
  <c r="H39" i="5"/>
  <c r="H24" i="5"/>
  <c r="H41" i="5"/>
  <c r="H38" i="5"/>
  <c r="H43" i="5"/>
  <c r="H42" i="5"/>
  <c r="H40" i="5"/>
  <c r="H27" i="5"/>
  <c r="K24" i="8"/>
  <c r="K26" i="8"/>
  <c r="K28" i="8"/>
  <c r="K23" i="8"/>
  <c r="I23" i="8"/>
  <c r="K25" i="3"/>
  <c r="C18" i="3"/>
  <c r="I24" i="3"/>
  <c r="J24" i="3"/>
  <c r="J25" i="2"/>
  <c r="K26" i="1"/>
  <c r="K23" i="1"/>
  <c r="I24" i="1"/>
  <c r="J24" i="1"/>
  <c r="H25" i="1"/>
  <c r="I25" i="1" s="1"/>
  <c r="K25" i="5" l="1"/>
  <c r="J73" i="5"/>
  <c r="I34" i="5"/>
  <c r="J34" i="5" s="1"/>
  <c r="J94" i="5"/>
  <c r="J52" i="5"/>
  <c r="J95" i="5"/>
  <c r="I35" i="5"/>
  <c r="J74" i="5"/>
  <c r="J53" i="5"/>
  <c r="J96" i="5"/>
  <c r="I36" i="5"/>
  <c r="J54" i="5"/>
  <c r="J75" i="5"/>
  <c r="J55" i="5"/>
  <c r="I37" i="5"/>
  <c r="J35" i="5" s="1"/>
  <c r="J97" i="5"/>
  <c r="J76" i="5"/>
  <c r="J51" i="5"/>
  <c r="J93" i="5"/>
  <c r="J72" i="5"/>
  <c r="I33" i="5"/>
  <c r="J33" i="5" s="1"/>
  <c r="J101" i="5"/>
  <c r="J80" i="5"/>
  <c r="J60" i="5"/>
  <c r="J99" i="5"/>
  <c r="J78" i="5"/>
  <c r="J57" i="5"/>
  <c r="J100" i="5"/>
  <c r="J79" i="5"/>
  <c r="J59" i="5"/>
  <c r="J102" i="5"/>
  <c r="J81" i="5"/>
  <c r="J61" i="5"/>
  <c r="J103" i="5"/>
  <c r="J82" i="5"/>
  <c r="J62" i="5"/>
  <c r="J98" i="5"/>
  <c r="J77" i="5"/>
  <c r="J56" i="5"/>
  <c r="I39" i="5"/>
  <c r="J38" i="5" s="1"/>
  <c r="I40" i="5"/>
  <c r="J39" i="5" s="1"/>
  <c r="I42" i="5"/>
  <c r="J41" i="5" s="1"/>
  <c r="I43" i="5"/>
  <c r="J42" i="5" s="1"/>
  <c r="I38" i="5"/>
  <c r="J37" i="5" s="1"/>
  <c r="I41" i="5"/>
  <c r="J40" i="5" s="1"/>
  <c r="K26" i="5"/>
  <c r="K24" i="5"/>
  <c r="I25" i="2"/>
  <c r="K25" i="2"/>
  <c r="K25" i="1"/>
</calcChain>
</file>

<file path=xl/sharedStrings.xml><?xml version="1.0" encoding="utf-8"?>
<sst xmlns="http://schemas.openxmlformats.org/spreadsheetml/2006/main" count="503" uniqueCount="200">
  <si>
    <t>Chevy Volt (Gen-2)</t>
  </si>
  <si>
    <t>18.4 kWh, usable 14 kW</t>
  </si>
  <si>
    <t>30 kWh</t>
  </si>
  <si>
    <t>119 Wh/L</t>
  </si>
  <si>
    <t>101 Wh/kg</t>
  </si>
  <si>
    <t>Range, miles</t>
  </si>
  <si>
    <t>183 kG</t>
  </si>
  <si>
    <t>Form Factor</t>
  </si>
  <si>
    <t>prismatic</t>
  </si>
  <si>
    <t>Chemistry</t>
  </si>
  <si>
    <t>gr/LMO</t>
  </si>
  <si>
    <t>No of Modules</t>
  </si>
  <si>
    <t>96S2P</t>
  </si>
  <si>
    <t>Cells/Module</t>
  </si>
  <si>
    <t>No of Parallel Strings in Each Module</t>
  </si>
  <si>
    <t>No of series cells per/ Module</t>
  </si>
  <si>
    <t>Nominal cell voltage, V</t>
  </si>
  <si>
    <t>Max cell voltage, V</t>
  </si>
  <si>
    <t>Nominal Pack Voltage, V</t>
  </si>
  <si>
    <t>Max Pack Voltage, V</t>
  </si>
  <si>
    <t>Peak Current, Amps</t>
  </si>
  <si>
    <t>Cell Capacity, Ah</t>
  </si>
  <si>
    <t>Module/Pack Capacity, Ah</t>
  </si>
  <si>
    <t>Pack kWh</t>
  </si>
  <si>
    <t>Charging Options</t>
  </si>
  <si>
    <t>Charging Rate</t>
  </si>
  <si>
    <t>Amps</t>
  </si>
  <si>
    <t>C-rate</t>
  </si>
  <si>
    <t>Time (hr)-power based</t>
  </si>
  <si>
    <t>Time (hr)-Capacity based</t>
  </si>
  <si>
    <t>Level 1 (120V outlet), kW</t>
  </si>
  <si>
    <t>Level-1</t>
  </si>
  <si>
    <t>Level 2 (240V Outlet), kW</t>
  </si>
  <si>
    <t xml:space="preserve">Level 2 </t>
  </si>
  <si>
    <t xml:space="preserve">DC Fast Charge </t>
  </si>
  <si>
    <t>Not availabe</t>
  </si>
  <si>
    <t>Mitsubishi i-MiEV</t>
  </si>
  <si>
    <t>109 Wh/kg</t>
  </si>
  <si>
    <t>kWh</t>
  </si>
  <si>
    <t>218 Wh/L</t>
  </si>
  <si>
    <t>Forced air cooling</t>
  </si>
  <si>
    <t>88 cells total</t>
  </si>
  <si>
    <t>[4]</t>
  </si>
  <si>
    <t>Prismatic</t>
  </si>
  <si>
    <t>2S2P</t>
  </si>
  <si>
    <t>Level 2 (208-240V Outlet), kW</t>
  </si>
  <si>
    <t>DC Fast Charge (CHAdeMO-480 V outlet), kW</t>
  </si>
  <si>
    <t>CHAdeMO-40kW</t>
  </si>
  <si>
    <t>80% charge in 30 mins</t>
  </si>
  <si>
    <t>CHAdeMO-60kW</t>
  </si>
  <si>
    <t>Future goal 100 kW</t>
  </si>
  <si>
    <t>CHAdeMO-100kW (future)</t>
  </si>
  <si>
    <r>
      <t xml:space="preserve">80% charge in </t>
    </r>
    <r>
      <rPr>
        <sz val="11"/>
        <color theme="1"/>
        <rFont val="Calibri"/>
        <family val="2"/>
      </rPr>
      <t>~25 mins</t>
    </r>
  </si>
  <si>
    <t>CHAdeMO-150kW (future)</t>
  </si>
  <si>
    <t>1530 installed in the US as of 1/20/2016</t>
  </si>
  <si>
    <t>Nissan Leaf</t>
  </si>
  <si>
    <t>24 kWh</t>
  </si>
  <si>
    <t>Pouch</t>
  </si>
  <si>
    <t>gr/(LMO+LNO)</t>
  </si>
  <si>
    <t>400VDC</t>
  </si>
  <si>
    <t>Battery Charger Power (kW)</t>
  </si>
  <si>
    <t>Time (mins) to charge 50%</t>
  </si>
  <si>
    <t>Chevy Bolt EV</t>
  </si>
  <si>
    <t>kWh rated</t>
  </si>
  <si>
    <t xml:space="preserve"> Wh/L</t>
  </si>
  <si>
    <t>Wh/kg</t>
  </si>
  <si>
    <t>440 kG</t>
  </si>
  <si>
    <t>150 kW peak power</t>
  </si>
  <si>
    <t>96S3P</t>
  </si>
  <si>
    <t>-</t>
  </si>
  <si>
    <t>50 miles in less than 2 hrs with level 2 [1]</t>
  </si>
  <si>
    <t>at least 50 kWSAE DC Combo Connector</t>
  </si>
  <si>
    <t>90 miles in 30 minutes and fill the battery to 80% capacity in an hour [2]</t>
  </si>
  <si>
    <t>60 kWh</t>
  </si>
  <si>
    <t>600VDC</t>
  </si>
  <si>
    <t>Pack capacity, Ah</t>
  </si>
  <si>
    <t>Cells in Series</t>
  </si>
  <si>
    <t>Nominal voltage, V</t>
  </si>
  <si>
    <t>Pack max voltage, V</t>
  </si>
  <si>
    <t>% Current change</t>
  </si>
  <si>
    <t>BMWi3</t>
  </si>
  <si>
    <t>EPA</t>
  </si>
  <si>
    <t>gr/NCM</t>
  </si>
  <si>
    <t>*</t>
  </si>
  <si>
    <t>battery provider Samsung SDI</t>
  </si>
  <si>
    <t>8 modules each contains 12 cells in series making up 45V module</t>
  </si>
  <si>
    <t>27.2 kWh usable</t>
  </si>
  <si>
    <t>DC Fast Charge -50</t>
  </si>
  <si>
    <t>chargers 80% of capacity in less than 40 minutes</t>
  </si>
  <si>
    <t>Tesla Model S</t>
  </si>
  <si>
    <t>&gt;=265 (EPA)</t>
  </si>
  <si>
    <t>?</t>
  </si>
  <si>
    <t xml:space="preserve">gr/NCA </t>
  </si>
  <si>
    <t>Bo_note:Most EV makers use NMC batteries; Tesla uses NCA.</t>
  </si>
  <si>
    <t>96S74P</t>
  </si>
  <si>
    <t>Cells/Module of group</t>
  </si>
  <si>
    <t>Bo_note:different from 96 ? What is this?</t>
  </si>
  <si>
    <t>3.6/3.7</t>
  </si>
  <si>
    <t>Bo_note:from EV manufacturer?</t>
  </si>
  <si>
    <t xml:space="preserve"> I think the cells are 3.2 Ah</t>
  </si>
  <si>
    <t>Bo_note: A C-rate of 1C is also known as a one-hour discharge; 0.5C or C/2 is a two-hour discharge and 0.2C or C/5 is a 5-hour discharge.</t>
  </si>
  <si>
    <t>On board charger AC to DC.</t>
  </si>
  <si>
    <t>Level-1 (1.8 kW) 4 miles/hr</t>
  </si>
  <si>
    <t>1.4 kW charger available</t>
  </si>
  <si>
    <t>Level 2 (10 kW) 29 miles/hr</t>
  </si>
  <si>
    <t>SAE DC Combo Connector</t>
  </si>
  <si>
    <t>Super Charger (120 kW current max)</t>
  </si>
  <si>
    <t>Charge 80% in 40 minutes or 170 miles in 30 mins</t>
  </si>
  <si>
    <t>135 kW avaialable</t>
  </si>
  <si>
    <t>Charge 100% in 75 minutes</t>
  </si>
  <si>
    <t>150 kW</t>
  </si>
  <si>
    <t>90 kWh-250 Ah original</t>
  </si>
  <si>
    <t xml:space="preserve">pack capacity reduction </t>
  </si>
  <si>
    <t>800VDC</t>
  </si>
  <si>
    <t>1000VDC</t>
  </si>
  <si>
    <t>ID</t>
  </si>
  <si>
    <t>Year</t>
  </si>
  <si>
    <t>Model</t>
  </si>
  <si>
    <t>SubModel</t>
  </si>
  <si>
    <t>BodyType</t>
  </si>
  <si>
    <t>FuelType</t>
  </si>
  <si>
    <t>EVRange_miles</t>
  </si>
  <si>
    <t>CurrentRange_miles</t>
  </si>
  <si>
    <t>kWhRated</t>
  </si>
  <si>
    <t>ModulePackCapacity_Ah</t>
  </si>
  <si>
    <t>NominalPackVoltage</t>
  </si>
  <si>
    <t>FormFactor</t>
  </si>
  <si>
    <t>NumOfSeriesModules</t>
  </si>
  <si>
    <t>NumParallelStringsPerModule</t>
  </si>
  <si>
    <t>MaxCellVoltage</t>
  </si>
  <si>
    <t>MinCellVoltage</t>
  </si>
  <si>
    <t>SOC_pct</t>
  </si>
  <si>
    <t>EnergyStranded_kWh</t>
  </si>
  <si>
    <t>CurrentPackVoltage</t>
  </si>
  <si>
    <t>MaxPackVoltage</t>
  </si>
  <si>
    <t>MinPackVoltage</t>
  </si>
  <si>
    <t>NominalCellVoltage</t>
  </si>
  <si>
    <t>CellCapacity_Ah</t>
  </si>
  <si>
    <t>MPGeCity</t>
  </si>
  <si>
    <t>MPGeHighway</t>
  </si>
  <si>
    <t>MPGeCombined</t>
  </si>
  <si>
    <t>Efficiency_kwhPerMile</t>
  </si>
  <si>
    <t>EfficiencyEst_kwhPerMile</t>
  </si>
  <si>
    <t>BatteryLocation</t>
  </si>
  <si>
    <t>ERG</t>
  </si>
  <si>
    <t>Standard Range</t>
  </si>
  <si>
    <t>sedan</t>
  </si>
  <si>
    <t>electric</t>
  </si>
  <si>
    <t xml:space="preserve">grNCA </t>
  </si>
  <si>
    <t>cylinderical</t>
  </si>
  <si>
    <t>under</t>
  </si>
  <si>
    <t>Long Range</t>
  </si>
  <si>
    <t>Performance</t>
  </si>
  <si>
    <t>Y</t>
  </si>
  <si>
    <t>SUV</t>
  </si>
  <si>
    <t>note:</t>
  </si>
  <si>
    <t>data from VIN</t>
  </si>
  <si>
    <t>mile input</t>
  </si>
  <si>
    <t>basic info from EV website</t>
  </si>
  <si>
    <t>calculated SOC and current voltage</t>
  </si>
  <si>
    <t>cell information, might need estimate</t>
  </si>
  <si>
    <t>calculated battery info</t>
  </si>
  <si>
    <t>optional, not critically needed</t>
  </si>
  <si>
    <t>EPA range from EPA website</t>
  </si>
  <si>
    <t>400 VDC</t>
  </si>
  <si>
    <t>Range( miles)</t>
  </si>
  <si>
    <t>Level II (kW)</t>
  </si>
  <si>
    <t>DC Fast (kW)</t>
  </si>
  <si>
    <t>Pack Max Voltage (V)</t>
  </si>
  <si>
    <t>Pack Capacity (Ah)</t>
  </si>
  <si>
    <t>Miles/kWh</t>
  </si>
  <si>
    <t>miles/min</t>
  </si>
  <si>
    <t>Wh/mile</t>
  </si>
  <si>
    <t>Chevy Volt</t>
  </si>
  <si>
    <t>estimate</t>
  </si>
  <si>
    <t>http://www.mitsubishicars.com/imiev/features/charging</t>
  </si>
  <si>
    <t>http://www.blinknetwork.com/drivingelectric</t>
  </si>
  <si>
    <t>https://www.bmwusa.com/vehicles/bmwi/i3.html</t>
  </si>
  <si>
    <t>Chevy Bolt</t>
  </si>
  <si>
    <t>http://www.chevrolet.com/bolt-ev-electric-vehicle.html</t>
  </si>
  <si>
    <t>https://www.tesla.com/charging</t>
  </si>
  <si>
    <t>400 kW DCFC</t>
  </si>
  <si>
    <t>assumed</t>
  </si>
  <si>
    <t xml:space="preserve">Tesla Model S </t>
  </si>
  <si>
    <t>Discontinued</t>
  </si>
  <si>
    <t>Chevy Bold 80 kW charger ref- manual</t>
  </si>
  <si>
    <t>https://my.chevrolet.com/content/dam/gmownercenter/gmna/dynamic/manuals/2017/Chevrolet/BOLT%20EV/Owner's%20Manual.pdf</t>
  </si>
  <si>
    <t>Capacity, Ah</t>
  </si>
  <si>
    <t>Crate</t>
  </si>
  <si>
    <t>Charging capacity, Ah</t>
  </si>
  <si>
    <t>Charger kW</t>
  </si>
  <si>
    <t>Charge (C-rate)</t>
  </si>
  <si>
    <t>Time (mins) to charge 80%</t>
  </si>
  <si>
    <t>Current (A)</t>
  </si>
  <si>
    <t>Charge time (min)</t>
  </si>
  <si>
    <t>Tesla Model S-90kWh</t>
  </si>
  <si>
    <t>KWh</t>
  </si>
  <si>
    <t>Pack</t>
  </si>
  <si>
    <t>V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</si>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</sst>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FF0000"/>
      <name val="Open Sans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0" fontId="6" fillId="0" borderId="0" xfId="0" applyFont="1"/>
    <xf numFmtId="0" fontId="0" fillId="0" borderId="0" xfId="0" applyBorder="1" applyAlignment="1">
      <alignment wrapText="1"/>
    </xf>
    <xf numFmtId="0" fontId="7" fillId="0" borderId="0" xfId="1"/>
    <xf numFmtId="0" fontId="2" fillId="0" borderId="0" xfId="0" applyFont="1" applyBorder="1"/>
    <xf numFmtId="0" fontId="4" fillId="3" borderId="0" xfId="0" applyFont="1" applyFill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2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4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0" fillId="9" borderId="0" xfId="0" applyFont="1" applyFill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7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0" fontId="0" fillId="6" borderId="0" xfId="0" applyNumberFormat="1" applyFont="1" applyFill="1" applyAlignment="1">
      <alignment horizontal="left" vertical="center" wrapText="1"/>
    </xf>
    <xf numFmtId="2" fontId="0" fillId="6" borderId="0" xfId="0" applyNumberFormat="1" applyFont="1" applyFill="1" applyAlignment="1">
      <alignment horizontal="left" vertical="center" wrapText="1"/>
    </xf>
    <xf numFmtId="0" fontId="0" fillId="6" borderId="0" xfId="0" applyNumberFormat="1" applyFont="1" applyFill="1" applyAlignment="1">
      <alignment horizontal="left" vertical="center" wrapText="1"/>
    </xf>
    <xf numFmtId="2" fontId="0" fillId="7" borderId="0" xfId="0" applyNumberFormat="1" applyFont="1" applyFill="1" applyAlignment="1">
      <alignment horizontal="left" vertical="center" wrapText="1"/>
    </xf>
    <xf numFmtId="2" fontId="0" fillId="8" borderId="0" xfId="0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10" fontId="0" fillId="0" borderId="0" xfId="0" applyNumberFormat="1" applyFont="1" applyFill="1" applyAlignment="1">
      <alignment horizontal="left" vertical="center" wrapText="1"/>
    </xf>
    <xf numFmtId="2" fontId="0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5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60 kWh-400V</c:v>
          </c:tx>
          <c:xVal>
            <c:numRef>
              <c:f>'Chevy Bolt'!$G$39:$G$47</c:f>
              <c:numCache>
                <c:formatCode>General</c:formatCode>
                <c:ptCount val="9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</c:numCache>
            </c:numRef>
          </c:xVal>
          <c:yVal>
            <c:numRef>
              <c:f>'Chevy Bolt'!$J$39:$J$47</c:f>
              <c:numCache>
                <c:formatCode>General</c:formatCode>
                <c:ptCount val="9"/>
                <c:pt idx="0">
                  <c:v>1097.2222222222222</c:v>
                </c:pt>
                <c:pt idx="1">
                  <c:v>197.5</c:v>
                </c:pt>
                <c:pt idx="2">
                  <c:v>39.5</c:v>
                </c:pt>
                <c:pt idx="3">
                  <c:v>16.458333333333332</c:v>
                </c:pt>
                <c:pt idx="4">
                  <c:v>13.166666666666666</c:v>
                </c:pt>
                <c:pt idx="5">
                  <c:v>9.875</c:v>
                </c:pt>
                <c:pt idx="6">
                  <c:v>7.8999999999999986</c:v>
                </c:pt>
                <c:pt idx="7">
                  <c:v>6.583333333333333</c:v>
                </c:pt>
                <c:pt idx="8">
                  <c:v>5.6428571428571432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B-43CB-8120-F1AA0CC3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1872"/>
        <c:axId val="162794840"/>
      </c:scatterChart>
      <c:valAx>
        <c:axId val="162661872"/>
        <c:scaling>
          <c:orientation val="minMax"/>
          <c:max val="3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62794840"/>
        <c:crosses val="autoZero"/>
        <c:crossBetween val="midCat"/>
      </c:valAx>
      <c:valAx>
        <c:axId val="16279484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61872"/>
        <c:crosses val="autoZero"/>
        <c:crossBetween val="midCat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7394723807671"/>
          <c:y val="8.9599285003167689E-2"/>
          <c:w val="0.69750074263972817"/>
          <c:h val="0.75538504043269894"/>
        </c:manualLayout>
      </c:layout>
      <c:scatterChart>
        <c:scatterStyle val="smoothMarker"/>
        <c:varyColors val="0"/>
        <c:ser>
          <c:idx val="0"/>
          <c:order val="0"/>
          <c:tx>
            <c:v>Bolt 60 kWh</c:v>
          </c:tx>
          <c:marker>
            <c:symbol val="circle"/>
            <c:size val="8"/>
          </c:marker>
          <c:xVal>
            <c:numRef>
              <c:f>Summary!$D$50:$D$61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Summary!$F$50:$F$61</c:f>
              <c:numCache>
                <c:formatCode>General</c:formatCode>
                <c:ptCount val="12"/>
                <c:pt idx="0">
                  <c:v>39.500789999999995</c:v>
                </c:pt>
                <c:pt idx="1">
                  <c:v>32.917324999999998</c:v>
                </c:pt>
                <c:pt idx="2">
                  <c:v>24.687993749999997</c:v>
                </c:pt>
                <c:pt idx="3">
                  <c:v>19.750394999999997</c:v>
                </c:pt>
                <c:pt idx="4">
                  <c:v>16.458662499999999</c:v>
                </c:pt>
                <c:pt idx="5">
                  <c:v>14.62992222222222</c:v>
                </c:pt>
                <c:pt idx="6">
                  <c:v>13.166929999999997</c:v>
                </c:pt>
                <c:pt idx="7">
                  <c:v>9.8751974999999987</c:v>
                </c:pt>
                <c:pt idx="8">
                  <c:v>7.9001579999999985</c:v>
                </c:pt>
                <c:pt idx="9">
                  <c:v>6.5834649999999986</c:v>
                </c:pt>
                <c:pt idx="11">
                  <c:v>5.6429699999999992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0-40F5-9B62-E2A1857A1BF3}"/>
            </c:ext>
          </c:extLst>
        </c:ser>
        <c:ser>
          <c:idx val="3"/>
          <c:order val="1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Summary!$D$45:$D$62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Summary!$H$45:$H$62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0-40F5-9B62-E2A1857A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59584"/>
        <c:axId val="256359976"/>
      </c:scatterChart>
      <c:scatterChart>
        <c:scatterStyle val="smoothMarker"/>
        <c:varyColors val="0"/>
        <c:ser>
          <c:idx val="5"/>
          <c:order val="2"/>
          <c:tx>
            <c:v>Bolt 60 kWh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circle"/>
            <c:size val="8"/>
            <c:spPr>
              <a:noFill/>
              <a:ln w="25400">
                <a:solidFill>
                  <a:srgbClr val="0070C0"/>
                </a:solidFill>
              </a:ln>
            </c:spPr>
          </c:marker>
          <c:xVal>
            <c:numRef>
              <c:f>Summary!$D$45:$D$61</c:f>
              <c:numCache>
                <c:formatCode>General</c:formatCode>
                <c:ptCount val="17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</c:numCache>
            </c:numRef>
          </c:xVal>
          <c:yVal>
            <c:numRef>
              <c:f>Summary!$E$45:$E$61</c:f>
              <c:numCache>
                <c:formatCode>General</c:formatCode>
                <c:ptCount val="17"/>
                <c:pt idx="0">
                  <c:v>2.734122532739219E-2</c:v>
                </c:pt>
                <c:pt idx="1">
                  <c:v>0.15189569626328994</c:v>
                </c:pt>
                <c:pt idx="2">
                  <c:v>0.30379139252657988</c:v>
                </c:pt>
                <c:pt idx="3">
                  <c:v>0.4556870887898698</c:v>
                </c:pt>
                <c:pt idx="4">
                  <c:v>0.60758278505315977</c:v>
                </c:pt>
                <c:pt idx="5">
                  <c:v>0.75947848131644968</c:v>
                </c:pt>
                <c:pt idx="6">
                  <c:v>0.9113741775797396</c:v>
                </c:pt>
                <c:pt idx="7">
                  <c:v>1.2151655701063195</c:v>
                </c:pt>
                <c:pt idx="8">
                  <c:v>1.5189569626328994</c:v>
                </c:pt>
                <c:pt idx="9">
                  <c:v>1.8227483551594792</c:v>
                </c:pt>
                <c:pt idx="10">
                  <c:v>2.0505918995544143</c:v>
                </c:pt>
                <c:pt idx="11">
                  <c:v>2.2784354439493493</c:v>
                </c:pt>
                <c:pt idx="12">
                  <c:v>3.0379139252657987</c:v>
                </c:pt>
                <c:pt idx="13">
                  <c:v>3.7973924065822486</c:v>
                </c:pt>
                <c:pt idx="14">
                  <c:v>4.5568708878986985</c:v>
                </c:pt>
                <c:pt idx="15">
                  <c:v>4.8261540757648644</c:v>
                </c:pt>
                <c:pt idx="16">
                  <c:v>5.316349369215148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30-40F5-9B62-E2A1857A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90600"/>
        <c:axId val="256490208"/>
      </c:scatterChart>
      <c:valAx>
        <c:axId val="256359584"/>
        <c:scaling>
          <c:orientation val="minMax"/>
          <c:max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359976"/>
        <c:crosses val="autoZero"/>
        <c:crossBetween val="midCat"/>
        <c:majorUnit val="50"/>
        <c:minorUnit val="25"/>
      </c:valAx>
      <c:valAx>
        <c:axId val="256359976"/>
        <c:scaling>
          <c:orientation val="minMax"/>
          <c:max val="5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Recharge</a:t>
                </a:r>
                <a:r>
                  <a:rPr lang="en-US" baseline="0"/>
                  <a:t> 50% Capacity</a:t>
                </a:r>
                <a:r>
                  <a:rPr lang="en-US"/>
                  <a:t> (min)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359584"/>
        <c:crosses val="autoZero"/>
        <c:crossBetween val="midCat"/>
        <c:minorUnit val="5"/>
      </c:valAx>
      <c:valAx>
        <c:axId val="256490208"/>
        <c:scaling>
          <c:orientation val="minMax"/>
          <c:max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C-Rate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256490600"/>
        <c:crosses val="max"/>
        <c:crossBetween val="midCat"/>
        <c:majorUnit val="2"/>
        <c:minorUnit val="1"/>
      </c:valAx>
      <c:valAx>
        <c:axId val="256490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4902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2659643126004596"/>
          <c:y val="0.10614683286046735"/>
          <c:w val="0.33795405806832279"/>
          <c:h val="0.132264337403168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7394723807671"/>
          <c:y val="8.9599285003167689E-2"/>
          <c:w val="0.69750074263972817"/>
          <c:h val="0.75538504043269894"/>
        </c:manualLayout>
      </c:layout>
      <c:scatterChart>
        <c:scatterStyle val="smoothMarker"/>
        <c:varyColors val="0"/>
        <c:ser>
          <c:idx val="2"/>
          <c:order val="0"/>
          <c:tx>
            <c:v>24 kWh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Summary!$D$86:$D$103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Summary!$G$86:$G$103</c:f>
              <c:numCache>
                <c:formatCode>General</c:formatCode>
                <c:ptCount val="18"/>
                <c:pt idx="0">
                  <c:v>711.78240000000005</c:v>
                </c:pt>
                <c:pt idx="1">
                  <c:v>128.12083200000004</c:v>
                </c:pt>
                <c:pt idx="2">
                  <c:v>64.060416000000018</c:v>
                </c:pt>
                <c:pt idx="3">
                  <c:v>42.706944</c:v>
                </c:pt>
                <c:pt idx="4">
                  <c:v>32.030208000000009</c:v>
                </c:pt>
                <c:pt idx="5">
                  <c:v>25.624166400000004</c:v>
                </c:pt>
                <c:pt idx="6">
                  <c:v>21.353472</c:v>
                </c:pt>
                <c:pt idx="7">
                  <c:v>16.015104000000004</c:v>
                </c:pt>
                <c:pt idx="8">
                  <c:v>12.812083200000002</c:v>
                </c:pt>
                <c:pt idx="9">
                  <c:v>10.676736</c:v>
                </c:pt>
                <c:pt idx="10">
                  <c:v>10</c:v>
                </c:pt>
                <c:pt idx="11">
                  <c:v>9.4904320000000002</c:v>
                </c:pt>
                <c:pt idx="12">
                  <c:v>8.5413888</c:v>
                </c:pt>
                <c:pt idx="13">
                  <c:v>6.4060416000000009</c:v>
                </c:pt>
                <c:pt idx="14">
                  <c:v>5.1248332800000007</c:v>
                </c:pt>
                <c:pt idx="15">
                  <c:v>4.2706944</c:v>
                </c:pt>
                <c:pt idx="16">
                  <c:v>3.6605952000000004</c:v>
                </c:pt>
                <c:pt idx="17">
                  <c:v>3.2030208000000004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D-429B-9B77-54F4453346A2}"/>
            </c:ext>
          </c:extLst>
        </c:ser>
        <c:ser>
          <c:idx val="0"/>
          <c:order val="1"/>
          <c:tx>
            <c:v>60 kWh</c:v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Summary!$D$45:$D$62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Summary!$G$45:$G$62</c:f>
              <c:numCache>
                <c:formatCode>General</c:formatCode>
                <c:ptCount val="18"/>
                <c:pt idx="0">
                  <c:v>1755.5906666666667</c:v>
                </c:pt>
                <c:pt idx="1">
                  <c:v>316.00631999999996</c:v>
                </c:pt>
                <c:pt idx="2">
                  <c:v>158.00315999999998</c:v>
                </c:pt>
                <c:pt idx="3">
                  <c:v>105.33544000000001</c:v>
                </c:pt>
                <c:pt idx="4">
                  <c:v>79.00157999999999</c:v>
                </c:pt>
                <c:pt idx="5">
                  <c:v>63.201263999999995</c:v>
                </c:pt>
                <c:pt idx="6">
                  <c:v>52.667720000000003</c:v>
                </c:pt>
                <c:pt idx="7">
                  <c:v>39.500789999999995</c:v>
                </c:pt>
                <c:pt idx="8">
                  <c:v>31.600631999999997</c:v>
                </c:pt>
                <c:pt idx="9">
                  <c:v>26.333860000000001</c:v>
                </c:pt>
                <c:pt idx="10">
                  <c:v>23.407875555555552</c:v>
                </c:pt>
                <c:pt idx="11">
                  <c:v>21.067087999999998</c:v>
                </c:pt>
                <c:pt idx="12">
                  <c:v>15.800315999999999</c:v>
                </c:pt>
                <c:pt idx="13">
                  <c:v>12.640252799999999</c:v>
                </c:pt>
                <c:pt idx="14">
                  <c:v>10.533543999999999</c:v>
                </c:pt>
                <c:pt idx="15">
                  <c:v>10</c:v>
                </c:pt>
                <c:pt idx="16">
                  <c:v>9.028751999999999</c:v>
                </c:pt>
                <c:pt idx="17">
                  <c:v>7.9001579999999993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8D-429B-9B77-54F4453346A2}"/>
            </c:ext>
          </c:extLst>
        </c:ser>
        <c:ser>
          <c:idx val="1"/>
          <c:order val="2"/>
          <c:tx>
            <c:v>90 kWh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Summary!$D$72:$D$83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Summary!$G$72:$G$83</c:f>
              <c:numCache>
                <c:formatCode>General</c:formatCode>
                <c:ptCount val="12"/>
                <c:pt idx="0">
                  <c:v>96.768000000000001</c:v>
                </c:pt>
                <c:pt idx="1">
                  <c:v>80.64</c:v>
                </c:pt>
                <c:pt idx="2">
                  <c:v>60.480000000000011</c:v>
                </c:pt>
                <c:pt idx="3">
                  <c:v>48.384</c:v>
                </c:pt>
                <c:pt idx="4">
                  <c:v>40.32</c:v>
                </c:pt>
                <c:pt idx="5">
                  <c:v>35.840000000000003</c:v>
                </c:pt>
                <c:pt idx="6">
                  <c:v>32.256</c:v>
                </c:pt>
                <c:pt idx="7">
                  <c:v>24.192</c:v>
                </c:pt>
                <c:pt idx="8">
                  <c:v>19.3536</c:v>
                </c:pt>
                <c:pt idx="9">
                  <c:v>16.128</c:v>
                </c:pt>
                <c:pt idx="10">
                  <c:v>13.824000000000002</c:v>
                </c:pt>
                <c:pt idx="11">
                  <c:v>12.096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8D-429B-9B77-54F4453346A2}"/>
            </c:ext>
          </c:extLst>
        </c:ser>
        <c:ser>
          <c:idx val="3"/>
          <c:order val="3"/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Summary!$D$45:$D$62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Summary!$H$45:$H$62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D-429B-9B77-54F44533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91384"/>
        <c:axId val="256491776"/>
      </c:scatterChart>
      <c:scatterChart>
        <c:scatterStyle val="smoothMarker"/>
        <c:varyColors val="0"/>
        <c:ser>
          <c:idx val="4"/>
          <c:order val="4"/>
          <c:spPr>
            <a:ln w="38100"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Summary!$D$86:$D$103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Summary!$E$86:$E$103</c:f>
              <c:numCache>
                <c:formatCode>General</c:formatCode>
                <c:ptCount val="18"/>
                <c:pt idx="0">
                  <c:v>6.7436340094950364E-2</c:v>
                </c:pt>
                <c:pt idx="1">
                  <c:v>0.37464633386083535</c:v>
                </c:pt>
                <c:pt idx="2">
                  <c:v>0.74929266772167069</c:v>
                </c:pt>
                <c:pt idx="3">
                  <c:v>1.1239390015825061</c:v>
                </c:pt>
                <c:pt idx="4">
                  <c:v>1.4985853354433414</c:v>
                </c:pt>
                <c:pt idx="5">
                  <c:v>1.8732316693041768</c:v>
                </c:pt>
                <c:pt idx="6">
                  <c:v>2.2478780031650123</c:v>
                </c:pt>
                <c:pt idx="7">
                  <c:v>2.9971706708866828</c:v>
                </c:pt>
                <c:pt idx="8">
                  <c:v>3.7464633386083537</c:v>
                </c:pt>
                <c:pt idx="9">
                  <c:v>4.4957560063300246</c:v>
                </c:pt>
                <c:pt idx="10">
                  <c:v>4.8163357161577496</c:v>
                </c:pt>
                <c:pt idx="11">
                  <c:v>5.0577255071212779</c:v>
                </c:pt>
                <c:pt idx="12">
                  <c:v>5.6196950079125303</c:v>
                </c:pt>
                <c:pt idx="13">
                  <c:v>7.4929266772167074</c:v>
                </c:pt>
                <c:pt idx="14">
                  <c:v>9.3661583465208835</c:v>
                </c:pt>
                <c:pt idx="15">
                  <c:v>11.239390015825061</c:v>
                </c:pt>
                <c:pt idx="16">
                  <c:v>13.112621685129238</c:v>
                </c:pt>
                <c:pt idx="17">
                  <c:v>14.985853354433415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8D-429B-9B77-54F4453346A2}"/>
            </c:ext>
          </c:extLst>
        </c:ser>
        <c:ser>
          <c:idx val="5"/>
          <c:order val="5"/>
          <c:tx>
            <c:v>Bolt 60 kWh</c:v>
          </c:tx>
          <c:spPr>
            <a:ln w="38100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Summary!$D$45:$D$62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Summary!$E$45:$E$62</c:f>
              <c:numCache>
                <c:formatCode>General</c:formatCode>
                <c:ptCount val="18"/>
                <c:pt idx="0">
                  <c:v>2.734122532739219E-2</c:v>
                </c:pt>
                <c:pt idx="1">
                  <c:v>0.15189569626328994</c:v>
                </c:pt>
                <c:pt idx="2">
                  <c:v>0.30379139252657988</c:v>
                </c:pt>
                <c:pt idx="3">
                  <c:v>0.4556870887898698</c:v>
                </c:pt>
                <c:pt idx="4">
                  <c:v>0.60758278505315977</c:v>
                </c:pt>
                <c:pt idx="5">
                  <c:v>0.75947848131644968</c:v>
                </c:pt>
                <c:pt idx="6">
                  <c:v>0.9113741775797396</c:v>
                </c:pt>
                <c:pt idx="7">
                  <c:v>1.2151655701063195</c:v>
                </c:pt>
                <c:pt idx="8">
                  <c:v>1.5189569626328994</c:v>
                </c:pt>
                <c:pt idx="9">
                  <c:v>1.8227483551594792</c:v>
                </c:pt>
                <c:pt idx="10">
                  <c:v>2.0505918995544143</c:v>
                </c:pt>
                <c:pt idx="11">
                  <c:v>2.2784354439493493</c:v>
                </c:pt>
                <c:pt idx="12">
                  <c:v>3.0379139252657987</c:v>
                </c:pt>
                <c:pt idx="13">
                  <c:v>3.7973924065822486</c:v>
                </c:pt>
                <c:pt idx="14">
                  <c:v>4.5568708878986985</c:v>
                </c:pt>
                <c:pt idx="15">
                  <c:v>4.8261540757648644</c:v>
                </c:pt>
                <c:pt idx="16">
                  <c:v>5.316349369215148</c:v>
                </c:pt>
                <c:pt idx="17">
                  <c:v>6.0758278505315975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8D-429B-9B77-54F4453346A2}"/>
            </c:ext>
          </c:extLst>
        </c:ser>
        <c:ser>
          <c:idx val="6"/>
          <c:order val="6"/>
          <c:tx>
            <c:v>Model S 90 kWh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Summary!$D$67:$D$83</c:f>
              <c:numCache>
                <c:formatCode>General</c:formatCode>
                <c:ptCount val="17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</c:numCache>
            </c:numRef>
          </c:xVal>
          <c:yVal>
            <c:numRef>
              <c:f>Summary!$E$67:$E$83</c:f>
              <c:numCache>
                <c:formatCode>General</c:formatCode>
                <c:ptCount val="17"/>
                <c:pt idx="0">
                  <c:v>1.7857142857142856E-2</c:v>
                </c:pt>
                <c:pt idx="1">
                  <c:v>9.9206349206349201E-2</c:v>
                </c:pt>
                <c:pt idx="2">
                  <c:v>0.1984126984126984</c:v>
                </c:pt>
                <c:pt idx="3">
                  <c:v>0.29761904761904762</c:v>
                </c:pt>
                <c:pt idx="4">
                  <c:v>0.3968253968253968</c:v>
                </c:pt>
                <c:pt idx="5">
                  <c:v>0.49603174603174605</c:v>
                </c:pt>
                <c:pt idx="6">
                  <c:v>0.59523809523809523</c:v>
                </c:pt>
                <c:pt idx="7">
                  <c:v>0.79365079365079361</c:v>
                </c:pt>
                <c:pt idx="8">
                  <c:v>0.99206349206349209</c:v>
                </c:pt>
                <c:pt idx="9">
                  <c:v>1.1904761904761905</c:v>
                </c:pt>
                <c:pt idx="10">
                  <c:v>1.3392857142857142</c:v>
                </c:pt>
                <c:pt idx="11">
                  <c:v>1.4880952380952381</c:v>
                </c:pt>
                <c:pt idx="12">
                  <c:v>1.9841269841269842</c:v>
                </c:pt>
                <c:pt idx="13">
                  <c:v>2.4801587301587302</c:v>
                </c:pt>
                <c:pt idx="14">
                  <c:v>2.9761904761904763</c:v>
                </c:pt>
                <c:pt idx="15">
                  <c:v>3.4722222222222223</c:v>
                </c:pt>
                <c:pt idx="16">
                  <c:v>3.9682539682539684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8D-429B-9B77-54F44533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92560"/>
        <c:axId val="256492168"/>
      </c:scatterChart>
      <c:valAx>
        <c:axId val="256491384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491776"/>
        <c:crosses val="autoZero"/>
        <c:crossBetween val="midCat"/>
        <c:majorUnit val="50"/>
        <c:minorUnit val="25"/>
      </c:valAx>
      <c:valAx>
        <c:axId val="256491776"/>
        <c:scaling>
          <c:orientation val="minMax"/>
          <c:max val="75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Recharge</a:t>
                </a:r>
                <a:r>
                  <a:rPr lang="en-US" baseline="0"/>
                  <a:t> 70% Capacity</a:t>
                </a:r>
                <a:r>
                  <a:rPr lang="en-US"/>
                  <a:t> (min)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491384"/>
        <c:crosses val="autoZero"/>
        <c:crossBetween val="midCat"/>
        <c:minorUnit val="5"/>
      </c:valAx>
      <c:valAx>
        <c:axId val="256492168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Charging Rate (C-rate)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492560"/>
        <c:crosses val="max"/>
        <c:crossBetween val="midCat"/>
        <c:majorUnit val="2"/>
        <c:minorUnit val="1"/>
      </c:valAx>
      <c:valAx>
        <c:axId val="25649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4921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860279558078496"/>
          <c:y val="0.10344777752983306"/>
          <c:w val="0.2821401045799507"/>
          <c:h val="0.205138831330294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Tesla Model S (90 kWh-294 mi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543484626647145"/>
          <c:y val="3.92927308447937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2801399825022"/>
          <c:y val="0.12798887084284177"/>
          <c:w val="0.66162306892846445"/>
          <c:h val="0.68686650645534542"/>
        </c:manualLayout>
      </c:layout>
      <c:scatterChart>
        <c:scatterStyle val="lineMarker"/>
        <c:varyColors val="0"/>
        <c:ser>
          <c:idx val="1"/>
          <c:order val="1"/>
          <c:tx>
            <c:v>Current:400V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S'!$H$33:$H$43</c:f>
              <c:numCache>
                <c:formatCode>General</c:formatCode>
                <c:ptCount val="11"/>
                <c:pt idx="0">
                  <c:v>4.4642857142857135</c:v>
                </c:pt>
                <c:pt idx="1">
                  <c:v>24.801587301587301</c:v>
                </c:pt>
                <c:pt idx="2">
                  <c:v>124.00793650793649</c:v>
                </c:pt>
                <c:pt idx="3">
                  <c:v>248.01587301587298</c:v>
                </c:pt>
                <c:pt idx="4">
                  <c:v>297.61904761904759</c:v>
                </c:pt>
                <c:pt idx="5">
                  <c:v>334.82142857142856</c:v>
                </c:pt>
                <c:pt idx="6">
                  <c:v>372.02380952380946</c:v>
                </c:pt>
                <c:pt idx="7">
                  <c:v>496.03174603174597</c:v>
                </c:pt>
                <c:pt idx="8">
                  <c:v>620.03968253968242</c:v>
                </c:pt>
                <c:pt idx="9">
                  <c:v>744.04761904761892</c:v>
                </c:pt>
                <c:pt idx="10">
                  <c:v>868.05555555555543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9-4F97-AD23-5A485831D4BE}"/>
            </c:ext>
          </c:extLst>
        </c:ser>
        <c:ser>
          <c:idx val="2"/>
          <c:order val="2"/>
          <c:tx>
            <c:v>xx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'Tesla Model S'!$L$33:$L$35</c:f>
              <c:numCache>
                <c:formatCode>General</c:formatCode>
                <c:ptCount val="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</c:numCache>
            </c:numRef>
          </c:xVal>
          <c:yVal>
            <c:numRef>
              <c:f>'Tesla Model S'!$M$33:$M$35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9-4F97-AD23-5A485831D4BE}"/>
            </c:ext>
          </c:extLst>
        </c:ser>
        <c:ser>
          <c:idx val="3"/>
          <c:order val="3"/>
          <c:tx>
            <c:v>Current:600V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  <a:ln w="31750">
                <a:solidFill>
                  <a:srgbClr val="7030A0"/>
                </a:solidFill>
              </a:ln>
            </c:spPr>
          </c:marke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S'!$H$51:$H$62</c:f>
              <c:numCache>
                <c:formatCode>General</c:formatCode>
                <c:ptCount val="12"/>
                <c:pt idx="0">
                  <c:v>2.9761904761904758</c:v>
                </c:pt>
                <c:pt idx="1">
                  <c:v>16.534391534391531</c:v>
                </c:pt>
                <c:pt idx="2">
                  <c:v>82.671957671957657</c:v>
                </c:pt>
                <c:pt idx="3">
                  <c:v>165.34391534391531</c:v>
                </c:pt>
                <c:pt idx="4">
                  <c:v>198.4126984126984</c:v>
                </c:pt>
                <c:pt idx="5">
                  <c:v>223.21428571428569</c:v>
                </c:pt>
                <c:pt idx="6">
                  <c:v>248.01587301587298</c:v>
                </c:pt>
                <c:pt idx="7">
                  <c:v>297.61904761904759</c:v>
                </c:pt>
                <c:pt idx="8">
                  <c:v>330.68783068783063</c:v>
                </c:pt>
                <c:pt idx="9">
                  <c:v>413.3597883597883</c:v>
                </c:pt>
                <c:pt idx="10">
                  <c:v>496.03174603174597</c:v>
                </c:pt>
                <c:pt idx="11">
                  <c:v>578.70370370370358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9-4F97-AD23-5A485831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1072"/>
        <c:axId val="162168744"/>
      </c:scatterChart>
      <c:scatterChart>
        <c:scatterStyle val="lineMarker"/>
        <c:varyColors val="0"/>
        <c:ser>
          <c:idx val="0"/>
          <c:order val="0"/>
          <c:tx>
            <c:v>C-rate:400V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S'!$I$33:$I$43</c:f>
              <c:numCache>
                <c:formatCode>General</c:formatCode>
                <c:ptCount val="11"/>
                <c:pt idx="0">
                  <c:v>1.7857142857142853E-2</c:v>
                </c:pt>
                <c:pt idx="1">
                  <c:v>9.9206349206349201E-2</c:v>
                </c:pt>
                <c:pt idx="2">
                  <c:v>0.49603174603174599</c:v>
                </c:pt>
                <c:pt idx="3">
                  <c:v>0.99206349206349198</c:v>
                </c:pt>
                <c:pt idx="4">
                  <c:v>1.1904761904761905</c:v>
                </c:pt>
                <c:pt idx="5">
                  <c:v>1.3392857142857142</c:v>
                </c:pt>
                <c:pt idx="6">
                  <c:v>1.4880952380952379</c:v>
                </c:pt>
                <c:pt idx="7">
                  <c:v>1.984126984126984</c:v>
                </c:pt>
                <c:pt idx="8">
                  <c:v>2.4801587301587298</c:v>
                </c:pt>
                <c:pt idx="9">
                  <c:v>2.9761904761904758</c:v>
                </c:pt>
                <c:pt idx="10">
                  <c:v>3.4722222222222219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9-4F97-AD23-5A485831D4BE}"/>
            </c:ext>
          </c:extLst>
        </c:ser>
        <c:ser>
          <c:idx val="4"/>
          <c:order val="4"/>
          <c:tx>
            <c:v>C-rate:600V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 w="19050">
                <a:solidFill>
                  <a:srgbClr val="7030A0"/>
                </a:solidFill>
              </a:ln>
            </c:spPr>
          </c:marke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S'!$I$51:$I$62</c:f>
              <c:numCache>
                <c:formatCode>General</c:formatCode>
                <c:ptCount val="12"/>
                <c:pt idx="0">
                  <c:v>1.7619047619047618E-2</c:v>
                </c:pt>
                <c:pt idx="1">
                  <c:v>9.7883597883597878E-2</c:v>
                </c:pt>
                <c:pt idx="2">
                  <c:v>0.48941798941798936</c:v>
                </c:pt>
                <c:pt idx="3">
                  <c:v>0.97883597883597873</c:v>
                </c:pt>
                <c:pt idx="4">
                  <c:v>1.1746031746031746</c:v>
                </c:pt>
                <c:pt idx="5">
                  <c:v>1.3214285714285714</c:v>
                </c:pt>
                <c:pt idx="6">
                  <c:v>1.4682539682539681</c:v>
                </c:pt>
                <c:pt idx="7">
                  <c:v>1.7619047619047619</c:v>
                </c:pt>
                <c:pt idx="8">
                  <c:v>1.9576719576719575</c:v>
                </c:pt>
                <c:pt idx="9">
                  <c:v>2.447089947089947</c:v>
                </c:pt>
                <c:pt idx="10">
                  <c:v>2.9365079365079363</c:v>
                </c:pt>
                <c:pt idx="11">
                  <c:v>3.4259259259259256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9-4F97-AD23-5A485831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0760"/>
        <c:axId val="163197848"/>
      </c:scatterChart>
      <c:valAx>
        <c:axId val="1627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layout>
            <c:manualLayout>
              <c:xMode val="edge"/>
              <c:yMode val="edge"/>
              <c:x val="0.35397082914971201"/>
              <c:y val="0.8933188346748191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2168744"/>
        <c:crosses val="autoZero"/>
        <c:crossBetween val="midCat"/>
        <c:minorUnit val="20"/>
      </c:valAx>
      <c:valAx>
        <c:axId val="162168744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Current (A)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2771072"/>
        <c:crosses val="autoZero"/>
        <c:crossBetween val="midCat"/>
        <c:minorUnit val="50"/>
      </c:valAx>
      <c:valAx>
        <c:axId val="163197848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Charge Rate (C-rate)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39100760"/>
        <c:crosses val="max"/>
        <c:crossBetween val="midCat"/>
        <c:minorUnit val="0.2"/>
      </c:valAx>
      <c:valAx>
        <c:axId val="1391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978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4830380097070588"/>
          <c:y val="0.67158764290023665"/>
          <c:w val="0.39015008191090206"/>
          <c:h val="0.129321349566078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Tesla Model S (90 kWh-265 mi</a:t>
            </a:r>
            <a:r>
              <a:rPr lang="en-US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543484626647145"/>
          <c:y val="3.929273084479371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12801399825022"/>
          <c:y val="0.12798887084284177"/>
          <c:w val="0.66162306892846445"/>
          <c:h val="0.68686650645534542"/>
        </c:manualLayout>
      </c:layout>
      <c:scatterChart>
        <c:scatterStyle val="lineMarker"/>
        <c:varyColors val="0"/>
        <c:ser>
          <c:idx val="1"/>
          <c:order val="1"/>
          <c:tx>
            <c:v>Current - 400V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S'!$H$33:$H$43</c:f>
              <c:numCache>
                <c:formatCode>General</c:formatCode>
                <c:ptCount val="11"/>
                <c:pt idx="0">
                  <c:v>4.4642857142857135</c:v>
                </c:pt>
                <c:pt idx="1">
                  <c:v>24.801587301587301</c:v>
                </c:pt>
                <c:pt idx="2">
                  <c:v>124.00793650793649</c:v>
                </c:pt>
                <c:pt idx="3">
                  <c:v>248.01587301587298</c:v>
                </c:pt>
                <c:pt idx="4">
                  <c:v>297.61904761904759</c:v>
                </c:pt>
                <c:pt idx="5">
                  <c:v>334.82142857142856</c:v>
                </c:pt>
                <c:pt idx="6">
                  <c:v>372.02380952380946</c:v>
                </c:pt>
                <c:pt idx="7">
                  <c:v>496.03174603174597</c:v>
                </c:pt>
                <c:pt idx="8">
                  <c:v>620.03968253968242</c:v>
                </c:pt>
                <c:pt idx="9">
                  <c:v>744.04761904761892</c:v>
                </c:pt>
                <c:pt idx="10">
                  <c:v>868.05555555555543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702-AABD-E0F17565F247}"/>
            </c:ext>
          </c:extLst>
        </c:ser>
        <c:ser>
          <c:idx val="3"/>
          <c:order val="2"/>
          <c:tx>
            <c:v>Current - 600V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  <a:ln w="31750">
                <a:solidFill>
                  <a:srgbClr val="7030A0"/>
                </a:solidFill>
              </a:ln>
            </c:spPr>
          </c:marke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S'!$H$51:$H$62</c:f>
              <c:numCache>
                <c:formatCode>General</c:formatCode>
                <c:ptCount val="12"/>
                <c:pt idx="0">
                  <c:v>2.9761904761904758</c:v>
                </c:pt>
                <c:pt idx="1">
                  <c:v>16.534391534391531</c:v>
                </c:pt>
                <c:pt idx="2">
                  <c:v>82.671957671957657</c:v>
                </c:pt>
                <c:pt idx="3">
                  <c:v>165.34391534391531</c:v>
                </c:pt>
                <c:pt idx="4">
                  <c:v>198.4126984126984</c:v>
                </c:pt>
                <c:pt idx="5">
                  <c:v>223.21428571428569</c:v>
                </c:pt>
                <c:pt idx="6">
                  <c:v>248.01587301587298</c:v>
                </c:pt>
                <c:pt idx="7">
                  <c:v>297.61904761904759</c:v>
                </c:pt>
                <c:pt idx="8">
                  <c:v>330.68783068783063</c:v>
                </c:pt>
                <c:pt idx="9">
                  <c:v>413.3597883597883</c:v>
                </c:pt>
                <c:pt idx="10">
                  <c:v>496.03174603174597</c:v>
                </c:pt>
                <c:pt idx="11">
                  <c:v>578.70370370370358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C-4702-AABD-E0F17565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4024"/>
        <c:axId val="163468024"/>
      </c:scatterChart>
      <c:scatterChart>
        <c:scatterStyle val="lineMarker"/>
        <c:varyColors val="0"/>
        <c:ser>
          <c:idx val="0"/>
          <c:order val="0"/>
          <c:tx>
            <c:v>C-Rate - 400V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S'!$I$33:$I$43</c:f>
              <c:numCache>
                <c:formatCode>General</c:formatCode>
                <c:ptCount val="11"/>
                <c:pt idx="0">
                  <c:v>1.7857142857142853E-2</c:v>
                </c:pt>
                <c:pt idx="1">
                  <c:v>9.9206349206349201E-2</c:v>
                </c:pt>
                <c:pt idx="2">
                  <c:v>0.49603174603174599</c:v>
                </c:pt>
                <c:pt idx="3">
                  <c:v>0.99206349206349198</c:v>
                </c:pt>
                <c:pt idx="4">
                  <c:v>1.1904761904761905</c:v>
                </c:pt>
                <c:pt idx="5">
                  <c:v>1.3392857142857142</c:v>
                </c:pt>
                <c:pt idx="6">
                  <c:v>1.4880952380952379</c:v>
                </c:pt>
                <c:pt idx="7">
                  <c:v>1.984126984126984</c:v>
                </c:pt>
                <c:pt idx="8">
                  <c:v>2.4801587301587298</c:v>
                </c:pt>
                <c:pt idx="9">
                  <c:v>2.9761904761904758</c:v>
                </c:pt>
                <c:pt idx="10">
                  <c:v>3.4722222222222219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DC-4702-AABD-E0F17565F247}"/>
            </c:ext>
          </c:extLst>
        </c:ser>
        <c:ser>
          <c:idx val="2"/>
          <c:order val="3"/>
          <c:tx>
            <c:v>C-Rate - 600V</c:v>
          </c:tx>
          <c:spPr>
            <a:ln w="28575">
              <a:noFill/>
            </a:ln>
          </c:spP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S'!$I$51:$I$62</c:f>
              <c:numCache>
                <c:formatCode>General</c:formatCode>
                <c:ptCount val="12"/>
                <c:pt idx="0">
                  <c:v>1.7619047619047618E-2</c:v>
                </c:pt>
                <c:pt idx="1">
                  <c:v>9.7883597883597878E-2</c:v>
                </c:pt>
                <c:pt idx="2">
                  <c:v>0.48941798941798936</c:v>
                </c:pt>
                <c:pt idx="3">
                  <c:v>0.97883597883597873</c:v>
                </c:pt>
                <c:pt idx="4">
                  <c:v>1.1746031746031746</c:v>
                </c:pt>
                <c:pt idx="5">
                  <c:v>1.3214285714285714</c:v>
                </c:pt>
                <c:pt idx="6">
                  <c:v>1.4682539682539681</c:v>
                </c:pt>
                <c:pt idx="7">
                  <c:v>1.7619047619047619</c:v>
                </c:pt>
                <c:pt idx="8">
                  <c:v>1.9576719576719575</c:v>
                </c:pt>
                <c:pt idx="9">
                  <c:v>2.447089947089947</c:v>
                </c:pt>
                <c:pt idx="10">
                  <c:v>2.9365079365079363</c:v>
                </c:pt>
                <c:pt idx="11">
                  <c:v>3.4259259259259256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DC-4702-AABD-E0F17565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9720"/>
        <c:axId val="163468408"/>
      </c:scatterChart>
      <c:valAx>
        <c:axId val="16273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layout>
            <c:manualLayout>
              <c:xMode val="edge"/>
              <c:yMode val="edge"/>
              <c:x val="0.35397082914971201"/>
              <c:y val="0.8933188346748191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3468024"/>
        <c:crosses val="autoZero"/>
        <c:crossBetween val="midCat"/>
        <c:minorUnit val="20"/>
      </c:valAx>
      <c:valAx>
        <c:axId val="163468024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Current (A)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2734024"/>
        <c:crosses val="autoZero"/>
        <c:crossBetween val="midCat"/>
        <c:minorUnit val="50"/>
      </c:valAx>
      <c:valAx>
        <c:axId val="163468408"/>
        <c:scaling>
          <c:orientation val="minMax"/>
          <c:max val="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Charge Rate (C-rate)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3499720"/>
        <c:crosses val="max"/>
        <c:crossBetween val="midCat"/>
        <c:minorUnit val="0.2"/>
      </c:valAx>
      <c:valAx>
        <c:axId val="163499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468408"/>
        <c:crosses val="autoZero"/>
        <c:crossBetween val="midCat"/>
      </c:valAx>
      <c:spPr>
        <a:solidFill>
          <a:srgbClr val="FF0000">
            <a:alpha val="17000"/>
          </a:srgbClr>
        </a:solidFill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4830382565815635"/>
          <c:y val="0.68727394369821415"/>
          <c:w val="0.38123295951642411"/>
          <c:h val="0.1150697339303175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801399825022"/>
          <c:y val="9.923071380783284E-2"/>
          <c:w val="0.67778461783186195"/>
          <c:h val="0.71562472338016558"/>
        </c:manualLayout>
      </c:layout>
      <c:scatterChart>
        <c:scatterStyle val="lineMarker"/>
        <c:varyColors val="0"/>
        <c:ser>
          <c:idx val="1"/>
          <c:order val="0"/>
          <c:tx>
            <c:v>400V</c:v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S'!$H$33:$H$43</c:f>
              <c:numCache>
                <c:formatCode>General</c:formatCode>
                <c:ptCount val="11"/>
                <c:pt idx="0">
                  <c:v>4.4642857142857135</c:v>
                </c:pt>
                <c:pt idx="1">
                  <c:v>24.801587301587301</c:v>
                </c:pt>
                <c:pt idx="2">
                  <c:v>124.00793650793649</c:v>
                </c:pt>
                <c:pt idx="3">
                  <c:v>248.01587301587298</c:v>
                </c:pt>
                <c:pt idx="4">
                  <c:v>297.61904761904759</c:v>
                </c:pt>
                <c:pt idx="5">
                  <c:v>334.82142857142856</c:v>
                </c:pt>
                <c:pt idx="6">
                  <c:v>372.02380952380946</c:v>
                </c:pt>
                <c:pt idx="7">
                  <c:v>496.03174603174597</c:v>
                </c:pt>
                <c:pt idx="8">
                  <c:v>620.03968253968242</c:v>
                </c:pt>
                <c:pt idx="9">
                  <c:v>744.04761904761892</c:v>
                </c:pt>
                <c:pt idx="10">
                  <c:v>868.05555555555543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5-43EA-A931-072AB9F0FE2F}"/>
            </c:ext>
          </c:extLst>
        </c:ser>
        <c:ser>
          <c:idx val="3"/>
          <c:order val="1"/>
          <c:tx>
            <c:v>600V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002060"/>
              </a:solidFill>
              <a:ln w="31750">
                <a:noFill/>
              </a:ln>
            </c:spPr>
          </c:marke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S'!$H$51:$H$62</c:f>
              <c:numCache>
                <c:formatCode>General</c:formatCode>
                <c:ptCount val="12"/>
                <c:pt idx="0">
                  <c:v>2.9761904761904758</c:v>
                </c:pt>
                <c:pt idx="1">
                  <c:v>16.534391534391531</c:v>
                </c:pt>
                <c:pt idx="2">
                  <c:v>82.671957671957657</c:v>
                </c:pt>
                <c:pt idx="3">
                  <c:v>165.34391534391531</c:v>
                </c:pt>
                <c:pt idx="4">
                  <c:v>198.4126984126984</c:v>
                </c:pt>
                <c:pt idx="5">
                  <c:v>223.21428571428569</c:v>
                </c:pt>
                <c:pt idx="6">
                  <c:v>248.01587301587298</c:v>
                </c:pt>
                <c:pt idx="7">
                  <c:v>297.61904761904759</c:v>
                </c:pt>
                <c:pt idx="8">
                  <c:v>330.68783068783063</c:v>
                </c:pt>
                <c:pt idx="9">
                  <c:v>413.3597883597883</c:v>
                </c:pt>
                <c:pt idx="10">
                  <c:v>496.03174603174597</c:v>
                </c:pt>
                <c:pt idx="11">
                  <c:v>578.70370370370358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5-43EA-A931-072AB9F0FE2F}"/>
            </c:ext>
          </c:extLst>
        </c:ser>
        <c:ser>
          <c:idx val="0"/>
          <c:order val="2"/>
          <c:tx>
            <c:v>800V</c:v>
          </c:tx>
          <c:spPr>
            <a:ln w="28575">
              <a:noFill/>
            </a:ln>
          </c:spPr>
          <c:marker>
            <c:symbol val="triangle"/>
            <c:size val="9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'Tesla Model S'!$G$72:$G$82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S'!$H$72:$H$82</c:f>
              <c:numCache>
                <c:formatCode>General</c:formatCode>
                <c:ptCount val="11"/>
                <c:pt idx="0">
                  <c:v>2.2438294689603588</c:v>
                </c:pt>
                <c:pt idx="1">
                  <c:v>12.465719272001994</c:v>
                </c:pt>
                <c:pt idx="2">
                  <c:v>62.328596360009968</c:v>
                </c:pt>
                <c:pt idx="3">
                  <c:v>124.65719272001994</c:v>
                </c:pt>
                <c:pt idx="4">
                  <c:v>149.58863126402392</c:v>
                </c:pt>
                <c:pt idx="5">
                  <c:v>168.2872101720269</c:v>
                </c:pt>
                <c:pt idx="6">
                  <c:v>186.98578908002992</c:v>
                </c:pt>
                <c:pt idx="7">
                  <c:v>249.31438544003987</c:v>
                </c:pt>
                <c:pt idx="8">
                  <c:v>311.64298180004982</c:v>
                </c:pt>
                <c:pt idx="9">
                  <c:v>373.97157816005983</c:v>
                </c:pt>
                <c:pt idx="10">
                  <c:v>436.30017452006979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5-43EA-A931-072AB9F0FE2F}"/>
            </c:ext>
          </c:extLst>
        </c:ser>
        <c:ser>
          <c:idx val="2"/>
          <c:order val="3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'Tesla Model S'!$G$51:$G$63</c:f>
              <c:numCache>
                <c:formatCode>General</c:formatCode>
                <c:ptCount val="13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S'!$M$51:$M$62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5-43EA-A931-072AB9F0FE2F}"/>
            </c:ext>
          </c:extLst>
        </c:ser>
        <c:ser>
          <c:idx val="4"/>
          <c:order val="4"/>
          <c:tx>
            <c:v>1000V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'Tesla Model S'!$G$93:$G$103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S'!$H$93:$H$103</c:f>
              <c:numCache>
                <c:formatCode>General</c:formatCode>
                <c:ptCount val="11"/>
                <c:pt idx="0">
                  <c:v>1.7931858936043035</c:v>
                </c:pt>
                <c:pt idx="1">
                  <c:v>9.962143853357242</c:v>
                </c:pt>
                <c:pt idx="2">
                  <c:v>49.810719266786208</c:v>
                </c:pt>
                <c:pt idx="3">
                  <c:v>99.621438533572416</c:v>
                </c:pt>
                <c:pt idx="4">
                  <c:v>119.5457262402869</c:v>
                </c:pt>
                <c:pt idx="5">
                  <c:v>134.48894202032275</c:v>
                </c:pt>
                <c:pt idx="6">
                  <c:v>149.43215780035862</c:v>
                </c:pt>
                <c:pt idx="7">
                  <c:v>199.24287706714483</c:v>
                </c:pt>
                <c:pt idx="8">
                  <c:v>249.05359633393104</c:v>
                </c:pt>
                <c:pt idx="9">
                  <c:v>298.86431560071725</c:v>
                </c:pt>
                <c:pt idx="10">
                  <c:v>348.67503486750348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5-43EA-A931-072AB9F0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6024"/>
        <c:axId val="161916416"/>
      </c:scatterChart>
      <c:scatterChart>
        <c:scatterStyle val="lineMarker"/>
        <c:varyColors val="0"/>
        <c:ser>
          <c:idx val="5"/>
          <c:order val="5"/>
          <c:tx>
            <c:v>C-rate 400V</c:v>
          </c:tx>
          <c:spPr>
            <a:ln w="28575">
              <a:noFill/>
            </a:ln>
          </c:spP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S'!$I$33:$I$43</c:f>
              <c:numCache>
                <c:formatCode>General</c:formatCode>
                <c:ptCount val="11"/>
                <c:pt idx="0">
                  <c:v>1.7857142857142853E-2</c:v>
                </c:pt>
                <c:pt idx="1">
                  <c:v>9.9206349206349201E-2</c:v>
                </c:pt>
                <c:pt idx="2">
                  <c:v>0.49603174603174599</c:v>
                </c:pt>
                <c:pt idx="3">
                  <c:v>0.99206349206349198</c:v>
                </c:pt>
                <c:pt idx="4">
                  <c:v>1.1904761904761905</c:v>
                </c:pt>
                <c:pt idx="5">
                  <c:v>1.3392857142857142</c:v>
                </c:pt>
                <c:pt idx="6">
                  <c:v>1.4880952380952379</c:v>
                </c:pt>
                <c:pt idx="7">
                  <c:v>1.984126984126984</c:v>
                </c:pt>
                <c:pt idx="8">
                  <c:v>2.4801587301587298</c:v>
                </c:pt>
                <c:pt idx="9">
                  <c:v>2.9761904761904758</c:v>
                </c:pt>
                <c:pt idx="10">
                  <c:v>3.4722222222222219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35-43EA-A931-072AB9F0FE2F}"/>
            </c:ext>
          </c:extLst>
        </c:ser>
        <c:ser>
          <c:idx val="6"/>
          <c:order val="6"/>
          <c:tx>
            <c:v>C-rate 600V</c:v>
          </c:tx>
          <c:spPr>
            <a:ln w="28575">
              <a:noFill/>
            </a:ln>
          </c:spP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S'!$I$51:$I$62</c:f>
              <c:numCache>
                <c:formatCode>General</c:formatCode>
                <c:ptCount val="12"/>
                <c:pt idx="0">
                  <c:v>1.7619047619047618E-2</c:v>
                </c:pt>
                <c:pt idx="1">
                  <c:v>9.7883597883597878E-2</c:v>
                </c:pt>
                <c:pt idx="2">
                  <c:v>0.48941798941798936</c:v>
                </c:pt>
                <c:pt idx="3">
                  <c:v>0.97883597883597873</c:v>
                </c:pt>
                <c:pt idx="4">
                  <c:v>1.1746031746031746</c:v>
                </c:pt>
                <c:pt idx="5">
                  <c:v>1.3214285714285714</c:v>
                </c:pt>
                <c:pt idx="6">
                  <c:v>1.4682539682539681</c:v>
                </c:pt>
                <c:pt idx="7">
                  <c:v>1.7619047619047619</c:v>
                </c:pt>
                <c:pt idx="8">
                  <c:v>1.9576719576719575</c:v>
                </c:pt>
                <c:pt idx="9">
                  <c:v>2.447089947089947</c:v>
                </c:pt>
                <c:pt idx="10">
                  <c:v>2.9365079365079363</c:v>
                </c:pt>
                <c:pt idx="11">
                  <c:v>3.4259259259259256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35-43EA-A931-072AB9F0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5632"/>
        <c:axId val="161915240"/>
      </c:scatterChart>
      <c:valAx>
        <c:axId val="161916024"/>
        <c:scaling>
          <c:orientation val="minMax"/>
          <c:max val="3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layout>
            <c:manualLayout>
              <c:xMode val="edge"/>
              <c:yMode val="edge"/>
              <c:x val="0.35397082914971201"/>
              <c:y val="0.8933188346748191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1916416"/>
        <c:crosses val="autoZero"/>
        <c:crossBetween val="midCat"/>
        <c:majorUnit val="50"/>
        <c:minorUnit val="10"/>
      </c:valAx>
      <c:valAx>
        <c:axId val="161916416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Current (A)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1916024"/>
        <c:crosses val="autoZero"/>
        <c:crossBetween val="midCat"/>
        <c:minorUnit val="50"/>
      </c:valAx>
      <c:valAx>
        <c:axId val="161915240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crossAx val="161915632"/>
        <c:crosses val="max"/>
        <c:crossBetween val="midCat"/>
      </c:valAx>
      <c:valAx>
        <c:axId val="16191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915240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0183917919350991"/>
          <c:y val="0.11733930317533837"/>
          <c:w val="0.15545486359659588"/>
          <c:h val="0.3216242087386135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2801399825022"/>
          <c:y val="9.923071380783284E-2"/>
          <c:w val="0.67778461783186195"/>
          <c:h val="0.71562472338016558"/>
        </c:manualLayout>
      </c:layout>
      <c:scatterChart>
        <c:scatterStyle val="lineMarker"/>
        <c:varyColors val="0"/>
        <c:ser>
          <c:idx val="1"/>
          <c:order val="0"/>
          <c:tx>
            <c:v>400V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'Tesla Model S'!$G$33:$G$43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S'!$H$33:$H$43</c:f>
              <c:numCache>
                <c:formatCode>General</c:formatCode>
                <c:ptCount val="11"/>
                <c:pt idx="0">
                  <c:v>4.4642857142857135</c:v>
                </c:pt>
                <c:pt idx="1">
                  <c:v>24.801587301587301</c:v>
                </c:pt>
                <c:pt idx="2">
                  <c:v>124.00793650793649</c:v>
                </c:pt>
                <c:pt idx="3">
                  <c:v>248.01587301587298</c:v>
                </c:pt>
                <c:pt idx="4">
                  <c:v>297.61904761904759</c:v>
                </c:pt>
                <c:pt idx="5">
                  <c:v>334.82142857142856</c:v>
                </c:pt>
                <c:pt idx="6">
                  <c:v>372.02380952380946</c:v>
                </c:pt>
                <c:pt idx="7">
                  <c:v>496.03174603174597</c:v>
                </c:pt>
                <c:pt idx="8">
                  <c:v>620.03968253968242</c:v>
                </c:pt>
                <c:pt idx="9">
                  <c:v>744.04761904761892</c:v>
                </c:pt>
                <c:pt idx="10">
                  <c:v>868.05555555555543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74E-BB91-BC9829EA568E}"/>
            </c:ext>
          </c:extLst>
        </c:ser>
        <c:ser>
          <c:idx val="3"/>
          <c:order val="1"/>
          <c:tx>
            <c:v>600V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'Tesla Model S'!$G$51:$G$62</c:f>
              <c:numCache>
                <c:formatCode>General</c:formatCode>
                <c:ptCount val="12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S'!$H$51:$H$62</c:f>
              <c:numCache>
                <c:formatCode>General</c:formatCode>
                <c:ptCount val="12"/>
                <c:pt idx="0">
                  <c:v>2.9761904761904758</c:v>
                </c:pt>
                <c:pt idx="1">
                  <c:v>16.534391534391531</c:v>
                </c:pt>
                <c:pt idx="2">
                  <c:v>82.671957671957657</c:v>
                </c:pt>
                <c:pt idx="3">
                  <c:v>165.34391534391531</c:v>
                </c:pt>
                <c:pt idx="4">
                  <c:v>198.4126984126984</c:v>
                </c:pt>
                <c:pt idx="5">
                  <c:v>223.21428571428569</c:v>
                </c:pt>
                <c:pt idx="6">
                  <c:v>248.01587301587298</c:v>
                </c:pt>
                <c:pt idx="7">
                  <c:v>297.61904761904759</c:v>
                </c:pt>
                <c:pt idx="8">
                  <c:v>330.68783068783063</c:v>
                </c:pt>
                <c:pt idx="9">
                  <c:v>413.3597883597883</c:v>
                </c:pt>
                <c:pt idx="10">
                  <c:v>496.03174603174597</c:v>
                </c:pt>
                <c:pt idx="11">
                  <c:v>578.70370370370358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C-474E-BB91-BC9829EA568E}"/>
            </c:ext>
          </c:extLst>
        </c:ser>
        <c:ser>
          <c:idx val="0"/>
          <c:order val="2"/>
          <c:tx>
            <c:v>800V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'Tesla Model S'!$G$72:$G$82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S'!$H$72:$H$82</c:f>
              <c:numCache>
                <c:formatCode>General</c:formatCode>
                <c:ptCount val="11"/>
                <c:pt idx="0">
                  <c:v>2.2438294689603588</c:v>
                </c:pt>
                <c:pt idx="1">
                  <c:v>12.465719272001994</c:v>
                </c:pt>
                <c:pt idx="2">
                  <c:v>62.328596360009968</c:v>
                </c:pt>
                <c:pt idx="3">
                  <c:v>124.65719272001994</c:v>
                </c:pt>
                <c:pt idx="4">
                  <c:v>149.58863126402392</c:v>
                </c:pt>
                <c:pt idx="5">
                  <c:v>168.2872101720269</c:v>
                </c:pt>
                <c:pt idx="6">
                  <c:v>186.98578908002992</c:v>
                </c:pt>
                <c:pt idx="7">
                  <c:v>249.31438544003987</c:v>
                </c:pt>
                <c:pt idx="8">
                  <c:v>311.64298180004982</c:v>
                </c:pt>
                <c:pt idx="9">
                  <c:v>373.97157816005983</c:v>
                </c:pt>
                <c:pt idx="10">
                  <c:v>436.30017452006979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C-474E-BB91-BC9829EA568E}"/>
            </c:ext>
          </c:extLst>
        </c:ser>
        <c:ser>
          <c:idx val="2"/>
          <c:order val="3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'Tesla Model S'!$G$51:$G$63</c:f>
              <c:numCache>
                <c:formatCode>General</c:formatCode>
                <c:ptCount val="13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180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'Tesla Model S'!$M$51:$M$62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C-474E-BB91-BC9829EA568E}"/>
            </c:ext>
          </c:extLst>
        </c:ser>
        <c:ser>
          <c:idx val="4"/>
          <c:order val="4"/>
          <c:tx>
            <c:v>1000V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'Tesla Model S'!$G$93:$G$103</c:f>
              <c:numCache>
                <c:formatCode>General</c:formatCode>
                <c:ptCount val="11"/>
                <c:pt idx="0">
                  <c:v>1.8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'Tesla Model S'!$H$93:$H$103</c:f>
              <c:numCache>
                <c:formatCode>General</c:formatCode>
                <c:ptCount val="11"/>
                <c:pt idx="0">
                  <c:v>1.7931858936043035</c:v>
                </c:pt>
                <c:pt idx="1">
                  <c:v>9.962143853357242</c:v>
                </c:pt>
                <c:pt idx="2">
                  <c:v>49.810719266786208</c:v>
                </c:pt>
                <c:pt idx="3">
                  <c:v>99.621438533572416</c:v>
                </c:pt>
                <c:pt idx="4">
                  <c:v>119.5457262402869</c:v>
                </c:pt>
                <c:pt idx="5">
                  <c:v>134.48894202032275</c:v>
                </c:pt>
                <c:pt idx="6">
                  <c:v>149.43215780035862</c:v>
                </c:pt>
                <c:pt idx="7">
                  <c:v>199.24287706714483</c:v>
                </c:pt>
                <c:pt idx="8">
                  <c:v>249.05359633393104</c:v>
                </c:pt>
                <c:pt idx="9">
                  <c:v>298.86431560071725</c:v>
                </c:pt>
                <c:pt idx="10">
                  <c:v>348.67503486750348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8C-474E-BB91-BC9829EA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7984"/>
        <c:axId val="163700392"/>
      </c:scatterChart>
      <c:valAx>
        <c:axId val="161917984"/>
        <c:scaling>
          <c:orientation val="minMax"/>
          <c:max val="3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layout>
            <c:manualLayout>
              <c:xMode val="edge"/>
              <c:yMode val="edge"/>
              <c:x val="0.35397082914971201"/>
              <c:y val="0.8933188346748191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3700392"/>
        <c:crosses val="autoZero"/>
        <c:crossBetween val="midCat"/>
        <c:majorUnit val="50"/>
        <c:minorUnit val="10"/>
      </c:valAx>
      <c:valAx>
        <c:axId val="163700392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chemeClr val="bg1">
                  <a:lumMod val="9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Current (A)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1917984"/>
        <c:crosses val="autoZero"/>
        <c:crossBetween val="midCat"/>
        <c:minorUnit val="50"/>
      </c:valAx>
      <c:spPr>
        <a:noFill/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0183917919350991"/>
          <c:y val="0.11733930317533837"/>
          <c:w val="0.23424274238447468"/>
          <c:h val="0.209205908085018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2617327826469"/>
          <c:y val="6.0383504220245861E-2"/>
          <c:w val="0.70837273530187328"/>
          <c:h val="0.75153779338733739"/>
        </c:manualLayout>
      </c:layout>
      <c:barChart>
        <c:barDir val="col"/>
        <c:grouping val="clustered"/>
        <c:varyColors val="0"/>
        <c:ser>
          <c:idx val="2"/>
          <c:order val="0"/>
          <c:tx>
            <c:v>kWh</c:v>
          </c:tx>
          <c:spPr>
            <a:solidFill>
              <a:schemeClr val="accent6">
                <a:lumMod val="60000"/>
                <a:lumOff val="40000"/>
              </a:schemeClr>
            </a:solidFill>
            <a:ln w="28575">
              <a:noFill/>
            </a:ln>
          </c:spPr>
          <c:invertIfNegative val="0"/>
          <c:cat>
            <c:strRef>
              <c:f>Summary!$D$12:$D$17</c:f>
              <c:strCache>
                <c:ptCount val="6"/>
                <c:pt idx="0">
                  <c:v>Mitsubishi i-MiEV</c:v>
                </c:pt>
                <c:pt idx="1">
                  <c:v>Nissan Leaf</c:v>
                </c:pt>
                <c:pt idx="2">
                  <c:v>BMWi3</c:v>
                </c:pt>
                <c:pt idx="3">
                  <c:v>Chevy Bolt</c:v>
                </c:pt>
                <c:pt idx="4">
                  <c:v>Tesla Model S</c:v>
                </c:pt>
                <c:pt idx="5">
                  <c:v>400 kW DCFC</c:v>
                </c:pt>
              </c:strCache>
            </c:strRef>
          </c:cat>
          <c:val>
            <c:numRef>
              <c:f>Summary!$F$12:$F$16</c:f>
              <c:numCache>
                <c:formatCode>General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33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3-4240-A044-E64DE6C2AAD7}"/>
            </c:ext>
          </c:extLst>
        </c:ser>
        <c:ser>
          <c:idx val="0"/>
          <c:order val="1"/>
          <c:tx>
            <c:v>Power</c:v>
          </c:tx>
          <c:spPr>
            <a:solidFill>
              <a:srgbClr val="00B0F0"/>
            </a:solidFill>
          </c:spPr>
          <c:invertIfNegative val="0"/>
          <c:cat>
            <c:strRef>
              <c:f>Summary!$D$12:$D$17</c:f>
              <c:strCache>
                <c:ptCount val="6"/>
                <c:pt idx="0">
                  <c:v>Mitsubishi i-MiEV</c:v>
                </c:pt>
                <c:pt idx="1">
                  <c:v>Nissan Leaf</c:v>
                </c:pt>
                <c:pt idx="2">
                  <c:v>BMWi3</c:v>
                </c:pt>
                <c:pt idx="3">
                  <c:v>Chevy Bolt</c:v>
                </c:pt>
                <c:pt idx="4">
                  <c:v>Tesla Model S</c:v>
                </c:pt>
                <c:pt idx="5">
                  <c:v>400 kW DCFC</c:v>
                </c:pt>
              </c:strCache>
            </c:strRef>
          </c:cat>
          <c:val>
            <c:numRef>
              <c:f>Summary!$I$12:$I$17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80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3-4240-A044-E64DE6C2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01176"/>
        <c:axId val="163701568"/>
      </c:barChart>
      <c:scatterChart>
        <c:scatterStyle val="lineMarker"/>
        <c:varyColors val="0"/>
        <c:ser>
          <c:idx val="3"/>
          <c:order val="2"/>
          <c:tx>
            <c:v>mile/min</c:v>
          </c:tx>
          <c:spPr>
            <a:ln w="38100">
              <a:solidFill>
                <a:srgbClr val="FF0000"/>
              </a:solidFill>
            </a:ln>
          </c:spPr>
          <c:marker>
            <c:symbol val="star"/>
            <c:size val="11"/>
            <c:spPr>
              <a:ln w="19050">
                <a:solidFill>
                  <a:srgbClr val="FF0000"/>
                </a:solidFill>
              </a:ln>
            </c:spPr>
          </c:marker>
          <c:xVal>
            <c:strRef>
              <c:f>Summary!$D$12:$D$17</c:f>
              <c:strCache>
                <c:ptCount val="6"/>
                <c:pt idx="0">
                  <c:v>Mitsubishi i-MiEV</c:v>
                </c:pt>
                <c:pt idx="1">
                  <c:v>Nissan Leaf</c:v>
                </c:pt>
                <c:pt idx="2">
                  <c:v>BMWi3</c:v>
                </c:pt>
                <c:pt idx="3">
                  <c:v>Chevy Bolt</c:v>
                </c:pt>
                <c:pt idx="4">
                  <c:v>Tesla Model S</c:v>
                </c:pt>
                <c:pt idx="5">
                  <c:v>400 kW DCFC</c:v>
                </c:pt>
              </c:strCache>
            </c:strRef>
          </c:xVal>
          <c:yVal>
            <c:numRef>
              <c:f>Summary!$O$12:$O$17</c:f>
              <c:numCache>
                <c:formatCode>General</c:formatCode>
                <c:ptCount val="6"/>
                <c:pt idx="0">
                  <c:v>1.6533333333333333</c:v>
                </c:pt>
                <c:pt idx="1">
                  <c:v>2.38</c:v>
                </c:pt>
                <c:pt idx="2">
                  <c:v>2.6057142857142859</c:v>
                </c:pt>
                <c:pt idx="3">
                  <c:v>3</c:v>
                </c:pt>
                <c:pt idx="4">
                  <c:v>5.666666666666667</c:v>
                </c:pt>
                <c:pt idx="5">
                  <c:v>22.222222222222221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3-4240-A044-E64DE6C2A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2352"/>
        <c:axId val="163701960"/>
      </c:scatterChart>
      <c:catAx>
        <c:axId val="163701176"/>
        <c:scaling>
          <c:orientation val="minMax"/>
        </c:scaling>
        <c:delete val="0"/>
        <c:axPos val="b"/>
        <c:numFmt formatCode="General" sourceLinked="0"/>
        <c:majorTickMark val="none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63701568"/>
        <c:crosses val="autoZero"/>
        <c:auto val="1"/>
        <c:lblAlgn val="ctr"/>
        <c:lblOffset val="100"/>
        <c:noMultiLvlLbl val="0"/>
      </c:catAx>
      <c:valAx>
        <c:axId val="163701568"/>
        <c:scaling>
          <c:orientation val="minMax"/>
          <c:max val="150"/>
        </c:scaling>
        <c:delete val="0"/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DC</a:t>
                </a:r>
                <a:r>
                  <a:rPr lang="en-US" sz="1600" baseline="0"/>
                  <a:t> Fast </a:t>
                </a:r>
                <a:r>
                  <a:rPr lang="en-US" sz="1600"/>
                  <a:t>Charger Power (kW) and Pack Size (kWh)</a:t>
                </a:r>
              </a:p>
            </c:rich>
          </c:tx>
          <c:layout>
            <c:manualLayout>
              <c:xMode val="edge"/>
              <c:yMode val="edge"/>
              <c:x val="6.7335369906087933E-2"/>
              <c:y val="0.10765404110769053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3701176"/>
        <c:crosses val="autoZero"/>
        <c:crossBetween val="between"/>
        <c:majorUnit val="25"/>
        <c:minorUnit val="12.5"/>
      </c:valAx>
      <c:valAx>
        <c:axId val="163701960"/>
        <c:scaling>
          <c:orientation val="minMax"/>
          <c:max val="24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Miles</a:t>
                </a:r>
                <a:r>
                  <a:rPr lang="en-US" sz="1600" baseline="0"/>
                  <a:t> min</a:t>
                </a:r>
                <a:r>
                  <a:rPr lang="en-US" sz="1600" baseline="30000"/>
                  <a:t>-1</a:t>
                </a:r>
                <a:r>
                  <a:rPr lang="en-US" sz="1600" baseline="0"/>
                  <a:t> 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95337913073584757"/>
              <c:y val="0.40137560322264909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163702352"/>
        <c:crosses val="max"/>
        <c:crossBetween val="midCat"/>
        <c:majorUnit val="2"/>
        <c:minorUnit val="1"/>
      </c:valAx>
      <c:valAx>
        <c:axId val="16370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37019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19273940646287679"/>
          <c:y val="7.3240997752978723E-2"/>
          <c:w val="0.49426160927765805"/>
          <c:h val="0.112759682018165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0434080355341"/>
          <c:y val="8.9599285003167689E-2"/>
          <c:w val="0.74373602775177583"/>
          <c:h val="0.75643474522581233"/>
        </c:manualLayout>
      </c:layout>
      <c:scatterChart>
        <c:scatterStyle val="smoothMarker"/>
        <c:varyColors val="0"/>
        <c:ser>
          <c:idx val="2"/>
          <c:order val="0"/>
          <c:tx>
            <c:v>Leaf 24 kWh</c:v>
          </c:tx>
          <c:xVal>
            <c:numRef>
              <c:f>Summary!$D$91:$D$102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Summary!$E$91:$E$102</c:f>
              <c:numCache>
                <c:formatCode>General</c:formatCode>
                <c:ptCount val="12"/>
                <c:pt idx="0">
                  <c:v>1.8732316693041768</c:v>
                </c:pt>
                <c:pt idx="1">
                  <c:v>2.2478780031650123</c:v>
                </c:pt>
                <c:pt idx="2">
                  <c:v>2.9971706708866828</c:v>
                </c:pt>
                <c:pt idx="3">
                  <c:v>3.7464633386083537</c:v>
                </c:pt>
                <c:pt idx="4">
                  <c:v>4.4957560063300246</c:v>
                </c:pt>
                <c:pt idx="5">
                  <c:v>4.8163357161577496</c:v>
                </c:pt>
                <c:pt idx="6">
                  <c:v>5.0577255071212779</c:v>
                </c:pt>
                <c:pt idx="7">
                  <c:v>5.6196950079125303</c:v>
                </c:pt>
                <c:pt idx="8">
                  <c:v>7.4929266772167074</c:v>
                </c:pt>
                <c:pt idx="9">
                  <c:v>9.3661583465208835</c:v>
                </c:pt>
                <c:pt idx="10">
                  <c:v>11.239390015825061</c:v>
                </c:pt>
                <c:pt idx="11">
                  <c:v>13.112621685129238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1-4075-B67C-70EE9F507D36}"/>
            </c:ext>
          </c:extLst>
        </c:ser>
        <c:ser>
          <c:idx val="0"/>
          <c:order val="1"/>
          <c:tx>
            <c:v>Bolt 60 kWh</c:v>
          </c:tx>
          <c:xVal>
            <c:numRef>
              <c:f>Summary!$D$50:$D$61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Summary!$E$50:$E$61</c:f>
              <c:numCache>
                <c:formatCode>General</c:formatCode>
                <c:ptCount val="12"/>
                <c:pt idx="0">
                  <c:v>0.75947848131644968</c:v>
                </c:pt>
                <c:pt idx="1">
                  <c:v>0.9113741775797396</c:v>
                </c:pt>
                <c:pt idx="2">
                  <c:v>1.2151655701063195</c:v>
                </c:pt>
                <c:pt idx="3">
                  <c:v>1.5189569626328994</c:v>
                </c:pt>
                <c:pt idx="4">
                  <c:v>1.8227483551594792</c:v>
                </c:pt>
                <c:pt idx="5">
                  <c:v>2.0505918995544143</c:v>
                </c:pt>
                <c:pt idx="6">
                  <c:v>2.2784354439493493</c:v>
                </c:pt>
                <c:pt idx="7">
                  <c:v>3.0379139252657987</c:v>
                </c:pt>
                <c:pt idx="8">
                  <c:v>3.7973924065822486</c:v>
                </c:pt>
                <c:pt idx="9">
                  <c:v>4.5568708878986985</c:v>
                </c:pt>
                <c:pt idx="10">
                  <c:v>4.8261540757648644</c:v>
                </c:pt>
                <c:pt idx="11">
                  <c:v>5.316349369215148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1-4075-B67C-70EE9F507D36}"/>
            </c:ext>
          </c:extLst>
        </c:ser>
        <c:ser>
          <c:idx val="1"/>
          <c:order val="2"/>
          <c:tx>
            <c:v>Model S 85 kWh</c:v>
          </c:tx>
          <c:xVal>
            <c:numRef>
              <c:f>Summary!$D$72:$D$82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Summary!$E$72:$E$82</c:f>
              <c:numCache>
                <c:formatCode>General</c:formatCode>
                <c:ptCount val="11"/>
                <c:pt idx="0">
                  <c:v>0.49603174603174605</c:v>
                </c:pt>
                <c:pt idx="1">
                  <c:v>0.59523809523809523</c:v>
                </c:pt>
                <c:pt idx="2">
                  <c:v>0.79365079365079361</c:v>
                </c:pt>
                <c:pt idx="3">
                  <c:v>0.99206349206349209</c:v>
                </c:pt>
                <c:pt idx="4">
                  <c:v>1.1904761904761905</c:v>
                </c:pt>
                <c:pt idx="5">
                  <c:v>1.3392857142857142</c:v>
                </c:pt>
                <c:pt idx="6">
                  <c:v>1.4880952380952381</c:v>
                </c:pt>
                <c:pt idx="7">
                  <c:v>1.9841269841269842</c:v>
                </c:pt>
                <c:pt idx="8">
                  <c:v>2.4801587301587302</c:v>
                </c:pt>
                <c:pt idx="9">
                  <c:v>2.9761904761904763</c:v>
                </c:pt>
                <c:pt idx="10">
                  <c:v>3.4722222222222223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61-4075-B67C-70EE9F50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136"/>
        <c:axId val="163703528"/>
      </c:scatterChart>
      <c:valAx>
        <c:axId val="163703136"/>
        <c:scaling>
          <c:orientation val="minMax"/>
          <c:max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3703528"/>
        <c:crosses val="autoZero"/>
        <c:crossBetween val="midCat"/>
        <c:minorUnit val="20"/>
      </c:valAx>
      <c:valAx>
        <c:axId val="163703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 Rate (C-rate)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63703136"/>
        <c:crosses val="autoZero"/>
        <c:crossBetween val="midCat"/>
        <c:majorUnit val="2"/>
        <c:min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27394723807671"/>
          <c:y val="8.9599285003167689E-2"/>
          <c:w val="0.69750074263972817"/>
          <c:h val="0.75538504043269894"/>
        </c:manualLayout>
      </c:layout>
      <c:scatterChart>
        <c:scatterStyle val="smoothMarker"/>
        <c:varyColors val="0"/>
        <c:ser>
          <c:idx val="2"/>
          <c:order val="0"/>
          <c:tx>
            <c:v>Leaf 24 kWh</c:v>
          </c:tx>
          <c:marker>
            <c:symbol val="triangle"/>
            <c:size val="8"/>
          </c:marker>
          <c:xVal>
            <c:numRef>
              <c:f>Summary!$D$91:$D$102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6">
                  <c:v>135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Summary!$F$91:$F$102</c:f>
              <c:numCache>
                <c:formatCode>General</c:formatCode>
                <c:ptCount val="12"/>
                <c:pt idx="0">
                  <c:v>16.015104000000001</c:v>
                </c:pt>
                <c:pt idx="1">
                  <c:v>13.34592</c:v>
                </c:pt>
                <c:pt idx="2">
                  <c:v>10.009440000000001</c:v>
                </c:pt>
                <c:pt idx="3">
                  <c:v>8.0075520000000004</c:v>
                </c:pt>
                <c:pt idx="4">
                  <c:v>6.6729599999999998</c:v>
                </c:pt>
                <c:pt idx="6">
                  <c:v>5.9315199999999999</c:v>
                </c:pt>
                <c:pt idx="7">
                  <c:v>5.338368</c:v>
                </c:pt>
                <c:pt idx="8">
                  <c:v>4.0037760000000002</c:v>
                </c:pt>
                <c:pt idx="9">
                  <c:v>3.2030208000000004</c:v>
                </c:pt>
                <c:pt idx="10">
                  <c:v>2.669184</c:v>
                </c:pt>
                <c:pt idx="11">
                  <c:v>2.2878720000000001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F-4E1B-8ACE-29A65FE6EBEB}"/>
            </c:ext>
          </c:extLst>
        </c:ser>
        <c:ser>
          <c:idx val="0"/>
          <c:order val="1"/>
          <c:tx>
            <c:v>Bolt 60 kWh</c:v>
          </c:tx>
          <c:marker>
            <c:symbol val="circle"/>
            <c:size val="8"/>
          </c:marker>
          <c:xVal>
            <c:numRef>
              <c:f>Summary!$D$50:$D$61</c:f>
              <c:numCache>
                <c:formatCode>General</c:formatCode>
                <c:ptCount val="12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Summary!$F$50:$F$61</c:f>
              <c:numCache>
                <c:formatCode>General</c:formatCode>
                <c:ptCount val="12"/>
                <c:pt idx="0">
                  <c:v>39.500789999999995</c:v>
                </c:pt>
                <c:pt idx="1">
                  <c:v>32.917324999999998</c:v>
                </c:pt>
                <c:pt idx="2">
                  <c:v>24.687993749999997</c:v>
                </c:pt>
                <c:pt idx="3">
                  <c:v>19.750394999999997</c:v>
                </c:pt>
                <c:pt idx="4">
                  <c:v>16.458662499999999</c:v>
                </c:pt>
                <c:pt idx="5">
                  <c:v>14.62992222222222</c:v>
                </c:pt>
                <c:pt idx="6">
                  <c:v>13.166929999999997</c:v>
                </c:pt>
                <c:pt idx="7">
                  <c:v>9.8751974999999987</c:v>
                </c:pt>
                <c:pt idx="8">
                  <c:v>7.9001579999999985</c:v>
                </c:pt>
                <c:pt idx="9">
                  <c:v>6.5834649999999986</c:v>
                </c:pt>
                <c:pt idx="11">
                  <c:v>5.6429699999999992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F-4E1B-8ACE-29A65FE6EBEB}"/>
            </c:ext>
          </c:extLst>
        </c:ser>
        <c:ser>
          <c:idx val="1"/>
          <c:order val="2"/>
          <c:tx>
            <c:v>Model S 90 kWh</c:v>
          </c:tx>
          <c:marker>
            <c:symbol val="square"/>
            <c:size val="8"/>
          </c:marker>
          <c:xVal>
            <c:numRef>
              <c:f>Summary!$D$72:$D$82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135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</c:numCache>
            </c:numRef>
          </c:xVal>
          <c:yVal>
            <c:numRef>
              <c:f>Summary!$F$72:$F$82</c:f>
              <c:numCache>
                <c:formatCode>General</c:formatCode>
                <c:ptCount val="11"/>
                <c:pt idx="0">
                  <c:v>60.48</c:v>
                </c:pt>
                <c:pt idx="1">
                  <c:v>50.4</c:v>
                </c:pt>
                <c:pt idx="2">
                  <c:v>37.800000000000004</c:v>
                </c:pt>
                <c:pt idx="3">
                  <c:v>30.24</c:v>
                </c:pt>
                <c:pt idx="4">
                  <c:v>25.2</c:v>
                </c:pt>
                <c:pt idx="5">
                  <c:v>22.400000000000002</c:v>
                </c:pt>
                <c:pt idx="6">
                  <c:v>20.16</c:v>
                </c:pt>
                <c:pt idx="7">
                  <c:v>15.12</c:v>
                </c:pt>
                <c:pt idx="8">
                  <c:v>12.096</c:v>
                </c:pt>
                <c:pt idx="9">
                  <c:v>10.08</c:v>
                </c:pt>
                <c:pt idx="1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F-4E1B-8ACE-29A65FE6EBEB}"/>
            </c:ext>
          </c:extLst>
        </c:ser>
        <c:ser>
          <c:idx val="3"/>
          <c:order val="3"/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Summary!$D$45:$D$62</c:f>
              <c:numCache>
                <c:formatCode>General</c:formatCode>
                <c:ptCount val="18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  <c:pt idx="17">
                  <c:v>400</c:v>
                </c:pt>
              </c:numCache>
            </c:numRef>
          </c:xVal>
          <c:yVal>
            <c:numRef>
              <c:f>Summary!$H$45:$H$62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F-4E1B-8ACE-29A65FE6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56448"/>
        <c:axId val="256356840"/>
      </c:scatterChart>
      <c:scatterChart>
        <c:scatterStyle val="smoothMarker"/>
        <c:varyColors val="0"/>
        <c:ser>
          <c:idx val="4"/>
          <c:order val="4"/>
          <c:tx>
            <c:v>Leaf 24 kWh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triangle"/>
            <c:size val="8"/>
            <c:spPr>
              <a:noFill/>
              <a:ln w="22225">
                <a:solidFill>
                  <a:srgbClr val="00B050"/>
                </a:solidFill>
              </a:ln>
            </c:spPr>
          </c:marker>
          <c:xVal>
            <c:numRef>
              <c:f>Summary!$D$86:$D$102</c:f>
              <c:numCache>
                <c:formatCode>General</c:formatCode>
                <c:ptCount val="17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1">
                  <c:v>135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</c:numCache>
            </c:numRef>
          </c:xVal>
          <c:yVal>
            <c:numRef>
              <c:f>Summary!$E$86:$E$102</c:f>
              <c:numCache>
                <c:formatCode>General</c:formatCode>
                <c:ptCount val="17"/>
                <c:pt idx="0">
                  <c:v>6.7436340094950364E-2</c:v>
                </c:pt>
                <c:pt idx="1">
                  <c:v>0.37464633386083535</c:v>
                </c:pt>
                <c:pt idx="2">
                  <c:v>0.74929266772167069</c:v>
                </c:pt>
                <c:pt idx="3">
                  <c:v>1.1239390015825061</c:v>
                </c:pt>
                <c:pt idx="4">
                  <c:v>1.4985853354433414</c:v>
                </c:pt>
                <c:pt idx="5">
                  <c:v>1.8732316693041768</c:v>
                </c:pt>
                <c:pt idx="6">
                  <c:v>2.2478780031650123</c:v>
                </c:pt>
                <c:pt idx="7">
                  <c:v>2.9971706708866828</c:v>
                </c:pt>
                <c:pt idx="8">
                  <c:v>3.7464633386083537</c:v>
                </c:pt>
                <c:pt idx="9">
                  <c:v>4.4957560063300246</c:v>
                </c:pt>
                <c:pt idx="10">
                  <c:v>4.8163357161577496</c:v>
                </c:pt>
                <c:pt idx="11">
                  <c:v>5.0577255071212779</c:v>
                </c:pt>
                <c:pt idx="12">
                  <c:v>5.6196950079125303</c:v>
                </c:pt>
                <c:pt idx="13">
                  <c:v>7.4929266772167074</c:v>
                </c:pt>
                <c:pt idx="14">
                  <c:v>9.3661583465208835</c:v>
                </c:pt>
                <c:pt idx="15">
                  <c:v>11.239390015825061</c:v>
                </c:pt>
                <c:pt idx="16">
                  <c:v>13.112621685129238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F-4E1B-8ACE-29A65FE6EBEB}"/>
            </c:ext>
          </c:extLst>
        </c:ser>
        <c:ser>
          <c:idx val="5"/>
          <c:order val="5"/>
          <c:tx>
            <c:v>Bolt 60 kWh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circle"/>
            <c:size val="8"/>
            <c:spPr>
              <a:noFill/>
              <a:ln w="25400">
                <a:solidFill>
                  <a:srgbClr val="0070C0"/>
                </a:solidFill>
              </a:ln>
            </c:spPr>
          </c:marker>
          <c:xVal>
            <c:numRef>
              <c:f>Summary!$D$45:$D$61</c:f>
              <c:numCache>
                <c:formatCode>General</c:formatCode>
                <c:ptCount val="17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6">
                  <c:v>350</c:v>
                </c:pt>
              </c:numCache>
            </c:numRef>
          </c:xVal>
          <c:yVal>
            <c:numRef>
              <c:f>Summary!$E$45:$E$61</c:f>
              <c:numCache>
                <c:formatCode>General</c:formatCode>
                <c:ptCount val="17"/>
                <c:pt idx="0">
                  <c:v>2.734122532739219E-2</c:v>
                </c:pt>
                <c:pt idx="1">
                  <c:v>0.15189569626328994</c:v>
                </c:pt>
                <c:pt idx="2">
                  <c:v>0.30379139252657988</c:v>
                </c:pt>
                <c:pt idx="3">
                  <c:v>0.4556870887898698</c:v>
                </c:pt>
                <c:pt idx="4">
                  <c:v>0.60758278505315977</c:v>
                </c:pt>
                <c:pt idx="5">
                  <c:v>0.75947848131644968</c:v>
                </c:pt>
                <c:pt idx="6">
                  <c:v>0.9113741775797396</c:v>
                </c:pt>
                <c:pt idx="7">
                  <c:v>1.2151655701063195</c:v>
                </c:pt>
                <c:pt idx="8">
                  <c:v>1.5189569626328994</c:v>
                </c:pt>
                <c:pt idx="9">
                  <c:v>1.8227483551594792</c:v>
                </c:pt>
                <c:pt idx="10">
                  <c:v>2.0505918995544143</c:v>
                </c:pt>
                <c:pt idx="11">
                  <c:v>2.2784354439493493</c:v>
                </c:pt>
                <c:pt idx="12">
                  <c:v>3.0379139252657987</c:v>
                </c:pt>
                <c:pt idx="13">
                  <c:v>3.7973924065822486</c:v>
                </c:pt>
                <c:pt idx="14">
                  <c:v>4.5568708878986985</c:v>
                </c:pt>
                <c:pt idx="15">
                  <c:v>4.8261540757648644</c:v>
                </c:pt>
                <c:pt idx="16">
                  <c:v>5.316349369215148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F-4E1B-8ACE-29A65FE6EBEB}"/>
            </c:ext>
          </c:extLst>
        </c:ser>
        <c:ser>
          <c:idx val="6"/>
          <c:order val="6"/>
          <c:tx>
            <c:v>Model S 90 kWh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square"/>
            <c:size val="8"/>
            <c:spPr>
              <a:noFill/>
              <a:ln w="25400">
                <a:solidFill>
                  <a:srgbClr val="C00000"/>
                </a:solidFill>
              </a:ln>
            </c:spPr>
          </c:marker>
          <c:xVal>
            <c:numRef>
              <c:f>Summary!$D$67:$D$82</c:f>
              <c:numCache>
                <c:formatCode>General</c:formatCode>
                <c:ptCount val="16"/>
                <c:pt idx="0">
                  <c:v>1.8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135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</c:numCache>
            </c:numRef>
          </c:xVal>
          <c:yVal>
            <c:numRef>
              <c:f>Summary!$E$67:$E$82</c:f>
              <c:numCache>
                <c:formatCode>General</c:formatCode>
                <c:ptCount val="16"/>
                <c:pt idx="0">
                  <c:v>1.7857142857142856E-2</c:v>
                </c:pt>
                <c:pt idx="1">
                  <c:v>9.9206349206349201E-2</c:v>
                </c:pt>
                <c:pt idx="2">
                  <c:v>0.1984126984126984</c:v>
                </c:pt>
                <c:pt idx="3">
                  <c:v>0.29761904761904762</c:v>
                </c:pt>
                <c:pt idx="4">
                  <c:v>0.3968253968253968</c:v>
                </c:pt>
                <c:pt idx="5">
                  <c:v>0.49603174603174605</c:v>
                </c:pt>
                <c:pt idx="6">
                  <c:v>0.59523809523809523</c:v>
                </c:pt>
                <c:pt idx="7">
                  <c:v>0.79365079365079361</c:v>
                </c:pt>
                <c:pt idx="8">
                  <c:v>0.99206349206349209</c:v>
                </c:pt>
                <c:pt idx="9">
                  <c:v>1.1904761904761905</c:v>
                </c:pt>
                <c:pt idx="10">
                  <c:v>1.3392857142857142</c:v>
                </c:pt>
                <c:pt idx="11">
                  <c:v>1.4880952380952381</c:v>
                </c:pt>
                <c:pt idx="12">
                  <c:v>1.9841269841269842</c:v>
                </c:pt>
                <c:pt idx="13">
                  <c:v>2.4801587301587302</c:v>
                </c:pt>
                <c:pt idx="14">
                  <c:v>2.9761904761904763</c:v>
                </c:pt>
                <c:pt idx="15">
                  <c:v>3.4722222222222223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F-4E1B-8ACE-29A65FE6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357624"/>
        <c:axId val="256357232"/>
      </c:scatterChart>
      <c:valAx>
        <c:axId val="256356448"/>
        <c:scaling>
          <c:orientation val="minMax"/>
          <c:max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Charger Power (kW)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356840"/>
        <c:crosses val="autoZero"/>
        <c:crossBetween val="midCat"/>
      </c:valAx>
      <c:valAx>
        <c:axId val="256356840"/>
        <c:scaling>
          <c:orientation val="minMax"/>
          <c:max val="75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Recharge</a:t>
                </a:r>
                <a:r>
                  <a:rPr lang="en-US" baseline="0"/>
                  <a:t> 50% Capacity</a:t>
                </a:r>
                <a:r>
                  <a:rPr lang="en-US"/>
                  <a:t> (min)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356448"/>
        <c:crosses val="autoZero"/>
        <c:crossBetween val="midCat"/>
        <c:minorUnit val="5"/>
      </c:valAx>
      <c:valAx>
        <c:axId val="256357232"/>
        <c:scaling>
          <c:orientation val="minMax"/>
          <c:max val="1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C-Rate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256357624"/>
        <c:crosses val="max"/>
        <c:crossBetween val="midCat"/>
        <c:majorUnit val="3"/>
        <c:minorUnit val="1"/>
      </c:valAx>
      <c:valAx>
        <c:axId val="256357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3572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5708738733239742"/>
          <c:y val="0.11694305418300445"/>
          <c:w val="0.2821401045799507"/>
          <c:h val="0.205138831330294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2365888474468"/>
          <c:y val="6.9138863185339086E-2"/>
          <c:w val="0.79963147150465841"/>
          <c:h val="0.7329839202472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</c:spPr>
          <c:invertIfNegative val="0"/>
          <c:cat>
            <c:strRef>
              <c:f>Summary!$D$12:$D$16</c:f>
              <c:strCache>
                <c:ptCount val="5"/>
                <c:pt idx="0">
                  <c:v>Mitsubishi i-MiEV</c:v>
                </c:pt>
                <c:pt idx="1">
                  <c:v>Nissan Leaf</c:v>
                </c:pt>
                <c:pt idx="2">
                  <c:v>BMWi3</c:v>
                </c:pt>
                <c:pt idx="3">
                  <c:v>Chevy Bolt</c:v>
                </c:pt>
                <c:pt idx="4">
                  <c:v>Tesla Model S</c:v>
                </c:pt>
              </c:strCache>
            </c:strRef>
          </c:cat>
          <c:val>
            <c:numRef>
              <c:f>Summary!$F$12:$F$16</c:f>
              <c:numCache>
                <c:formatCode>General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33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1-4739-9134-77411FD96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358408"/>
        <c:axId val="256358800"/>
      </c:barChart>
      <c:catAx>
        <c:axId val="25635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56358800"/>
        <c:crosses val="autoZero"/>
        <c:auto val="1"/>
        <c:lblAlgn val="ctr"/>
        <c:lblOffset val="100"/>
        <c:noMultiLvlLbl val="0"/>
      </c:catAx>
      <c:valAx>
        <c:axId val="25635880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 Size</a:t>
                </a:r>
                <a:r>
                  <a:rPr lang="en-US" baseline="0"/>
                  <a:t> (</a:t>
                </a:r>
                <a:r>
                  <a:rPr lang="en-US"/>
                  <a:t>kWh)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256358408"/>
        <c:crosses val="autoZero"/>
        <c:crossBetween val="between"/>
        <c:minorUnit val="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35</xdr:row>
      <xdr:rowOff>123825</xdr:rowOff>
    </xdr:from>
    <xdr:to>
      <xdr:col>9</xdr:col>
      <xdr:colOff>1419224</xdr:colOff>
      <xdr:row>44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4" y="7172325"/>
          <a:ext cx="103536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Source:</a:t>
          </a:r>
        </a:p>
        <a:p>
          <a:r>
            <a:rPr lang="en-US" sz="1100"/>
            <a:t>https://media.gm.com/content/dam/Media/microsites/product/Volt_2016/doc/VOLT_BATTERY.pdf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34</xdr:row>
      <xdr:rowOff>123825</xdr:rowOff>
    </xdr:from>
    <xdr:to>
      <xdr:col>9</xdr:col>
      <xdr:colOff>1419224</xdr:colOff>
      <xdr:row>43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04824" y="7172325"/>
          <a:ext cx="103536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[1] http://energy.gov/sites/prod/files/2015/02/f19/batteryiMiev4550.pdf</a:t>
          </a:r>
        </a:p>
        <a:p>
          <a:r>
            <a:rPr lang="en-US" sz="1100"/>
            <a:t>[2] http://www.plugincars.com/mitsubishi-i-miev</a:t>
          </a:r>
        </a:p>
        <a:p>
          <a:r>
            <a:rPr lang="en-US" sz="1100"/>
            <a:t>[3]http://www.mitsubishicars.com/imiev/specifications#</a:t>
          </a:r>
        </a:p>
        <a:p>
          <a:endParaRPr lang="en-US" sz="1100"/>
        </a:p>
        <a:p>
          <a:r>
            <a:rPr lang="en-US" sz="1100"/>
            <a:t>[4]https://www.fueleconomy.gov/feg/Find.do?action=sbs&amp;id=36023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34</xdr:row>
      <xdr:rowOff>123825</xdr:rowOff>
    </xdr:from>
    <xdr:to>
      <xdr:col>5</xdr:col>
      <xdr:colOff>9525</xdr:colOff>
      <xdr:row>56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04824" y="7172325"/>
          <a:ext cx="5505451" cy="418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 2010, Toyota, Nissan and Mitsubishi partnered to establish the CHAdeMO quick charge standard.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 In the U.S. they make up nearly three quarters of the existing quick charge infrastructure.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Worldwide, CHAdeMO passed the 10,000 station mark in late 2015, making it by far the most popular standard.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Most current CHAdeMO chargers have charge speeds of 40 – 60 kW, which is fast enough to charge a Nissan LEAF to 80 percent in about a half hour. In the future that could rise to as high 100 kW as improvements are made to the technology.</a:t>
          </a:r>
        </a:p>
        <a:p>
          <a:endParaRPr lang="en-US" sz="1100"/>
        </a:p>
        <a:p>
          <a:r>
            <a:rPr lang="en-US" sz="1100"/>
            <a:t>Source:</a:t>
          </a: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http://www.fleetcarma.com/dc-fast-charging-guide/</a:t>
          </a:r>
          <a:endParaRPr lang="en-US">
            <a:effectLst/>
          </a:endParaRPr>
        </a:p>
        <a:p>
          <a:pPr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Nissan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Website</a:t>
          </a:r>
        </a:p>
        <a:p>
          <a:pPr rtl="0" eaLnBrk="0" fontAlgn="base" hangingPunct="0"/>
          <a:r>
            <a:rPr lang="en-US">
              <a:effectLst/>
            </a:rPr>
            <a:t>http://evobsession.com/electric-car-charging-101-types-of-charging-apps-more/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35</xdr:row>
      <xdr:rowOff>123825</xdr:rowOff>
    </xdr:from>
    <xdr:to>
      <xdr:col>5</xdr:col>
      <xdr:colOff>19051</xdr:colOff>
      <xdr:row>45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04825" y="6981825"/>
          <a:ext cx="5514976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Source:</a:t>
          </a:r>
        </a:p>
        <a:p>
          <a:r>
            <a:rPr lang="en-US" sz="1100"/>
            <a:t>http://media.chevrolet.com/media/us/en/chevrolet/news.detail.html/content/Pages/news/us/en/2016/Jan/naias/chevy/0111-bolt-du.html</a:t>
          </a:r>
        </a:p>
        <a:p>
          <a:r>
            <a:rPr lang="en-US" sz="1100"/>
            <a:t>http://insideevs.com/deep-dive-chevrolet-bolt-battery-pack-motor-and-more/</a:t>
          </a:r>
        </a:p>
        <a:p>
          <a:endParaRPr lang="en-US" sz="1100"/>
        </a:p>
      </xdr:txBody>
    </xdr:sp>
    <xdr:clientData/>
  </xdr:twoCellAnchor>
  <xdr:twoCellAnchor>
    <xdr:from>
      <xdr:col>1</xdr:col>
      <xdr:colOff>885825</xdr:colOff>
      <xdr:row>49</xdr:row>
      <xdr:rowOff>71437</xdr:rowOff>
    </xdr:from>
    <xdr:to>
      <xdr:col>5</xdr:col>
      <xdr:colOff>66675</xdr:colOff>
      <xdr:row>63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35</xdr:row>
      <xdr:rowOff>123825</xdr:rowOff>
    </xdr:from>
    <xdr:to>
      <xdr:col>9</xdr:col>
      <xdr:colOff>1419224</xdr:colOff>
      <xdr:row>44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04824" y="6981825"/>
          <a:ext cx="10353675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Source:</a:t>
          </a:r>
        </a:p>
        <a:p>
          <a:r>
            <a:rPr lang="en-US" sz="1100"/>
            <a:t>https://www.press.bmwgroup.com/usa/article/detail/T0259560EN_US/the-new-2017-bmw-i3-94-ah-:-more-range-paired-to-high-level-dynamic-performance?language=en_US</a:t>
          </a:r>
        </a:p>
        <a:p>
          <a:r>
            <a:rPr lang="en-US" sz="1100"/>
            <a:t>http://www.hybridcars.com/teardown-reveals-bmw-i3-is-most-advanced-vehicle-on-the-planet/</a:t>
          </a:r>
        </a:p>
        <a:p>
          <a:endParaRPr lang="en-US" sz="1100"/>
        </a:p>
        <a:p>
          <a:r>
            <a:rPr lang="en-US" sz="1100"/>
            <a:t>http://insideevs.com/bmw-i3-94-ah-test-drive-review/</a:t>
          </a:r>
        </a:p>
        <a:p>
          <a:r>
            <a:rPr lang="en-US" sz="1100" b="1"/>
            <a:t>*http://vrworld.com/2016/02/03/samsung-invests-2-51-billion-into-electric-car-batteries/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35</xdr:row>
      <xdr:rowOff>0</xdr:rowOff>
    </xdr:from>
    <xdr:to>
      <xdr:col>5</xdr:col>
      <xdr:colOff>457201</xdr:colOff>
      <xdr:row>45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09601" y="7048500"/>
          <a:ext cx="645795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Tesla</a:t>
          </a:r>
          <a:r>
            <a:rPr lang="en-US" sz="1100" baseline="0"/>
            <a:t> Roadster: 53 kWh Battery Pack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S: Originally comes with the option of 40 kWh, 60 kWh, and 85 kWh. 40 kWh discontinued later.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http://teslapedia.org/model-s/tesla-driver/understanding-charging-rates/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http://www.teslamotors.wiki/wiki/Battery_Pack</a:t>
          </a:r>
          <a:r>
            <a:rPr lang="en-US"/>
            <a:t> </a:t>
          </a:r>
        </a:p>
        <a:p>
          <a:endParaRPr lang="en-US"/>
        </a:p>
        <a:p>
          <a:r>
            <a:rPr lang="en-US"/>
            <a:t>http://insideevs.com/tesla-says-sub-10-minute-supercharging-is-possible-we-doubt-it/-- 1500 volt</a:t>
          </a:r>
          <a:r>
            <a:rPr lang="en-US" baseline="0"/>
            <a:t> and 480 Ah range  source  to get </a:t>
          </a:r>
          <a:r>
            <a:rPr lang="en-US"/>
            <a:t>720 kW </a:t>
          </a:r>
        </a:p>
        <a:p>
          <a:r>
            <a:rPr lang="en-US"/>
            <a:t>https://en.wikipedia.org/wiki/Charging_station</a:t>
          </a:r>
        </a:p>
      </xdr:txBody>
    </xdr:sp>
    <xdr:clientData/>
  </xdr:twoCellAnchor>
  <xdr:twoCellAnchor>
    <xdr:from>
      <xdr:col>1</xdr:col>
      <xdr:colOff>47623</xdr:colOff>
      <xdr:row>60</xdr:row>
      <xdr:rowOff>133350</xdr:rowOff>
    </xdr:from>
    <xdr:to>
      <xdr:col>5</xdr:col>
      <xdr:colOff>552448</xdr:colOff>
      <xdr:row>86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285751</xdr:colOff>
      <xdr:row>99</xdr:row>
      <xdr:rowOff>142875</xdr:rowOff>
    </xdr:from>
    <xdr:to>
      <xdr:col>23</xdr:col>
      <xdr:colOff>476251</xdr:colOff>
      <xdr:row>125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86</xdr:row>
      <xdr:rowOff>28575</xdr:rowOff>
    </xdr:from>
    <xdr:to>
      <xdr:col>5</xdr:col>
      <xdr:colOff>533400</xdr:colOff>
      <xdr:row>111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11</xdr:col>
      <xdr:colOff>228600</xdr:colOff>
      <xdr:row>144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0.27576</cdr:x>
      <cdr:y>0.52745</cdr:y>
    </cdr:from>
    <cdr:to>
      <cdr:x>0.31061</cdr:x>
      <cdr:y>0.60588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2179E0C-2A09-4BF0-8573-788233A9BC55}"/>
            </a:ext>
          </a:extLst>
        </cdr:cNvPr>
        <cdr:cNvCxnSpPr>
          <a:stCxn xmlns:a="http://schemas.openxmlformats.org/drawingml/2006/main" id="6" idx="2"/>
        </cdr:cNvCxnSpPr>
      </cdr:nvCxnSpPr>
      <cdr:spPr>
        <a:xfrm xmlns:a="http://schemas.openxmlformats.org/drawingml/2006/main" flipH="1">
          <a:off x="1733550" y="2562225"/>
          <a:ext cx="219074" cy="3810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 w="med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0.19545</cdr:x>
      <cdr:y>0.45686</cdr:y>
    </cdr:from>
    <cdr:to>
      <cdr:x>0.42576</cdr:x>
      <cdr:y>0.52745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28724" y="2219325"/>
          <a:ext cx="1447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/>
            <a:t>Existing DCFCs</a:t>
          </a:r>
          <a:r>
            <a:rPr lang="en-US" sz="1500" baseline="0"/>
            <a:t> </a:t>
          </a:r>
          <a:endParaRPr lang="en-US" sz="15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128</xdr:row>
      <xdr:rowOff>85725</xdr:rowOff>
    </xdr:from>
    <xdr:to>
      <xdr:col>9</xdr:col>
      <xdr:colOff>904875</xdr:colOff>
      <xdr:row>159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130</xdr:row>
      <xdr:rowOff>142874</xdr:rowOff>
    </xdr:from>
    <xdr:to>
      <xdr:col>18</xdr:col>
      <xdr:colOff>66675</xdr:colOff>
      <xdr:row>155</xdr:row>
      <xdr:rowOff>76199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790575</xdr:colOff>
      <xdr:row>65</xdr:row>
      <xdr:rowOff>247650</xdr:rowOff>
    </xdr:from>
    <xdr:to>
      <xdr:col>15</xdr:col>
      <xdr:colOff>885825</xdr:colOff>
      <xdr:row>99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105</xdr:row>
      <xdr:rowOff>171450</xdr:rowOff>
    </xdr:from>
    <xdr:to>
      <xdr:col>23</xdr:col>
      <xdr:colOff>9524</xdr:colOff>
      <xdr:row>129</xdr:row>
      <xdr:rowOff>104775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pSpPr/>
      </xdr:nvGrpSpPr>
      <xdr:grpSpPr>
        <a:xfrm>
          <a:off x="15859124" y="20821650"/>
          <a:ext cx="8191500" cy="4505325"/>
          <a:chOff x="1819273" y="4924425"/>
          <a:chExt cx="5705475" cy="4505325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GraphicFramePr>
            <a:graphicFrameLocks/>
          </xdr:cNvGraphicFramePr>
        </xdr:nvGraphicFramePr>
        <xdr:xfrm>
          <a:off x="1819273" y="4924425"/>
          <a:ext cx="5705475" cy="4505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2762250" y="7667625"/>
            <a:ext cx="65722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500"/>
              <a:t>62 mi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 txBox="1"/>
        </xdr:nvSpPr>
        <xdr:spPr>
          <a:xfrm>
            <a:off x="3590925" y="7448550"/>
            <a:ext cx="79057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500"/>
              <a:t>84 mi</a:t>
            </a: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 txBox="1"/>
        </xdr:nvSpPr>
        <xdr:spPr>
          <a:xfrm>
            <a:off x="4505325" y="7134225"/>
            <a:ext cx="79057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500"/>
              <a:t>114 mi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 txBox="1"/>
        </xdr:nvSpPr>
        <xdr:spPr>
          <a:xfrm>
            <a:off x="5410200" y="6219825"/>
            <a:ext cx="79057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500"/>
              <a:t>200 mi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 txBox="1"/>
        </xdr:nvSpPr>
        <xdr:spPr>
          <a:xfrm>
            <a:off x="6296025" y="5257800"/>
            <a:ext cx="790575" cy="409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500"/>
              <a:t>265 mi</a:t>
            </a:r>
          </a:p>
        </xdr:txBody>
      </xdr:sp>
    </xdr:grpSp>
    <xdr:clientData/>
  </xdr:twoCellAnchor>
  <xdr:twoCellAnchor>
    <xdr:from>
      <xdr:col>15</xdr:col>
      <xdr:colOff>1162050</xdr:colOff>
      <xdr:row>65</xdr:row>
      <xdr:rowOff>57150</xdr:rowOff>
    </xdr:from>
    <xdr:to>
      <xdr:col>25</xdr:col>
      <xdr:colOff>0</xdr:colOff>
      <xdr:row>98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104775</xdr:colOff>
      <xdr:row>80</xdr:row>
      <xdr:rowOff>152400</xdr:rowOff>
    </xdr:from>
    <xdr:to>
      <xdr:col>23</xdr:col>
      <xdr:colOff>419100</xdr:colOff>
      <xdr:row>80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19250025" y="13868400"/>
          <a:ext cx="9239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80</xdr:row>
      <xdr:rowOff>142875</xdr:rowOff>
    </xdr:from>
    <xdr:to>
      <xdr:col>18</xdr:col>
      <xdr:colOff>133350</xdr:colOff>
      <xdr:row>80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H="1">
          <a:off x="16116300" y="13858875"/>
          <a:ext cx="723900" cy="9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35</xdr:row>
      <xdr:rowOff>76200</xdr:rowOff>
    </xdr:from>
    <xdr:to>
      <xdr:col>17</xdr:col>
      <xdr:colOff>276225</xdr:colOff>
      <xdr:row>60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744569</xdr:colOff>
      <xdr:row>111</xdr:row>
      <xdr:rowOff>19050</xdr:rowOff>
    </xdr:from>
    <xdr:to>
      <xdr:col>9</xdr:col>
      <xdr:colOff>188881</xdr:colOff>
      <xdr:row>111</xdr:row>
      <xdr:rowOff>19050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H="1">
          <a:off x="8402669" y="21355050"/>
          <a:ext cx="530162" cy="0"/>
        </a:xfrm>
        <a:prstGeom prst="straightConnector1">
          <a:avLst/>
        </a:prstGeom>
        <a:ln w="19050">
          <a:solidFill>
            <a:srgbClr val="00B0F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111</xdr:row>
      <xdr:rowOff>19050</xdr:rowOff>
    </xdr:from>
    <xdr:to>
      <xdr:col>12</xdr:col>
      <xdr:colOff>238125</xdr:colOff>
      <xdr:row>111</xdr:row>
      <xdr:rowOff>28575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>
          <a:off x="11420475" y="21355050"/>
          <a:ext cx="466725" cy="9525"/>
        </a:xfrm>
        <a:prstGeom prst="straightConnector1">
          <a:avLst/>
        </a:prstGeom>
        <a:ln w="19050">
          <a:solidFill>
            <a:srgbClr val="FFC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238124</xdr:colOff>
      <xdr:row>104</xdr:row>
      <xdr:rowOff>161925</xdr:rowOff>
    </xdr:from>
    <xdr:to>
      <xdr:col>13</xdr:col>
      <xdr:colOff>266699</xdr:colOff>
      <xdr:row>107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1887199" y="20164425"/>
          <a:ext cx="638175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(a)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0.7309</cdr:x>
      <cdr:y>0.07893</cdr:y>
    </cdr:from>
    <cdr:to>
      <cdr:x>0.81528</cdr:x>
      <cdr:y>0.16693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27675" y="469900"/>
          <a:ext cx="638175" cy="523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(b)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tesla.com/charg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9"/>
  <sheetViews>
    <sheetView workbookViewId="0">
      <selection activeCell="H15" sqref="H15"/>
    </sheetView>
  </sheetViews>
  <sheetFormatPr baseColWidth="10" defaultColWidth="8.83203125" defaultRowHeight="15" x14ac:dyDescent="0.2"/>
  <cols>
    <col min="2" max="2" width="28.1640625" style="1" customWidth="1"/>
    <col min="3" max="3" width="34.5" style="7" customWidth="1"/>
    <col min="4" max="4" width="9.1640625" style="2"/>
    <col min="5" max="5" width="9.1640625" style="7"/>
    <col min="7" max="7" width="24.1640625" customWidth="1"/>
    <col min="10" max="10" width="21.83203125" customWidth="1"/>
    <col min="11" max="11" width="22.83203125" customWidth="1"/>
  </cols>
  <sheetData>
    <row r="3" spans="2:7" s="5" customFormat="1" ht="16" x14ac:dyDescent="0.2">
      <c r="B3" s="3" t="s">
        <v>0</v>
      </c>
      <c r="C3" s="6" t="s">
        <v>1</v>
      </c>
      <c r="D3" s="4"/>
      <c r="E3" s="6" t="s">
        <v>2</v>
      </c>
    </row>
    <row r="4" spans="2:7" x14ac:dyDescent="0.2">
      <c r="G4" t="s">
        <v>3</v>
      </c>
    </row>
    <row r="5" spans="2:7" x14ac:dyDescent="0.2">
      <c r="G5" t="s">
        <v>4</v>
      </c>
    </row>
    <row r="6" spans="2:7" ht="16" x14ac:dyDescent="0.2">
      <c r="B6" s="1" t="s">
        <v>5</v>
      </c>
      <c r="C6" s="7">
        <v>53</v>
      </c>
      <c r="E6" s="7">
        <v>107</v>
      </c>
      <c r="G6" t="s">
        <v>6</v>
      </c>
    </row>
    <row r="7" spans="2:7" ht="16" x14ac:dyDescent="0.2">
      <c r="B7" s="1" t="s">
        <v>7</v>
      </c>
      <c r="C7" s="7" t="s">
        <v>8</v>
      </c>
    </row>
    <row r="8" spans="2:7" ht="16" x14ac:dyDescent="0.2">
      <c r="B8" s="1" t="s">
        <v>9</v>
      </c>
      <c r="C8" s="7" t="s">
        <v>10</v>
      </c>
    </row>
    <row r="9" spans="2:7" ht="16" x14ac:dyDescent="0.2">
      <c r="B9" s="1" t="s">
        <v>11</v>
      </c>
      <c r="C9" s="7">
        <v>96</v>
      </c>
      <c r="D9" s="2" t="s">
        <v>12</v>
      </c>
    </row>
    <row r="10" spans="2:7" ht="16" x14ac:dyDescent="0.2">
      <c r="B10" s="1" t="s">
        <v>13</v>
      </c>
      <c r="C10" s="7">
        <v>2</v>
      </c>
    </row>
    <row r="11" spans="2:7" ht="32" x14ac:dyDescent="0.2">
      <c r="B11" s="1" t="s">
        <v>14</v>
      </c>
      <c r="C11" s="7">
        <v>2</v>
      </c>
    </row>
    <row r="12" spans="2:7" ht="16" x14ac:dyDescent="0.2">
      <c r="B12" s="1" t="s">
        <v>15</v>
      </c>
      <c r="C12" s="7">
        <v>1</v>
      </c>
    </row>
    <row r="13" spans="2:7" ht="16" x14ac:dyDescent="0.2">
      <c r="B13" s="1" t="s">
        <v>16</v>
      </c>
      <c r="C13" s="7">
        <f>C15/C9</f>
        <v>3.75</v>
      </c>
    </row>
    <row r="14" spans="2:7" ht="16" x14ac:dyDescent="0.2">
      <c r="B14" s="1" t="s">
        <v>17</v>
      </c>
      <c r="C14" s="7">
        <f>C16/C9</f>
        <v>4.114583333333333</v>
      </c>
    </row>
    <row r="15" spans="2:7" ht="16" x14ac:dyDescent="0.2">
      <c r="B15" s="1" t="s">
        <v>18</v>
      </c>
      <c r="C15" s="7">
        <v>360</v>
      </c>
    </row>
    <row r="16" spans="2:7" ht="16" x14ac:dyDescent="0.2">
      <c r="B16" s="1" t="s">
        <v>19</v>
      </c>
      <c r="C16" s="7">
        <v>395</v>
      </c>
    </row>
    <row r="17" spans="2:11" ht="16" x14ac:dyDescent="0.2">
      <c r="B17" s="1" t="s">
        <v>20</v>
      </c>
      <c r="C17" s="7">
        <v>430</v>
      </c>
    </row>
    <row r="18" spans="2:11" ht="16" x14ac:dyDescent="0.2">
      <c r="B18" s="1" t="s">
        <v>21</v>
      </c>
      <c r="C18" s="7">
        <f>C19/C11</f>
        <v>25.555555555555557</v>
      </c>
    </row>
    <row r="19" spans="2:11" ht="16" x14ac:dyDescent="0.2">
      <c r="B19" s="1" t="s">
        <v>22</v>
      </c>
      <c r="C19" s="7">
        <f>18.4*1000/C15</f>
        <v>51.111111111111114</v>
      </c>
    </row>
    <row r="20" spans="2:11" ht="16" x14ac:dyDescent="0.2">
      <c r="B20" s="1" t="s">
        <v>23</v>
      </c>
      <c r="C20" s="6">
        <f>C19*C15/1000</f>
        <v>18.399999999999999</v>
      </c>
    </row>
    <row r="22" spans="2:11" ht="16" x14ac:dyDescent="0.2">
      <c r="B22" s="1" t="s">
        <v>24</v>
      </c>
    </row>
    <row r="23" spans="2:11" x14ac:dyDescent="0.2">
      <c r="G23" t="s">
        <v>25</v>
      </c>
      <c r="H23" t="s">
        <v>26</v>
      </c>
      <c r="I23" s="8" t="s">
        <v>27</v>
      </c>
      <c r="J23" t="s">
        <v>28</v>
      </c>
      <c r="K23" t="s">
        <v>29</v>
      </c>
    </row>
    <row r="24" spans="2:11" ht="16" x14ac:dyDescent="0.2">
      <c r="B24" s="1" t="s">
        <v>30</v>
      </c>
      <c r="C24" s="7">
        <v>1.4</v>
      </c>
      <c r="G24" t="s">
        <v>31</v>
      </c>
      <c r="H24">
        <f>(C24*1000)/C16</f>
        <v>3.5443037974683542</v>
      </c>
      <c r="I24" s="8">
        <f>H24/C19</f>
        <v>6.9345074298293882E-2</v>
      </c>
      <c r="J24">
        <f>C20/C24</f>
        <v>13.142857142857142</v>
      </c>
      <c r="K24">
        <f>C19/H24</f>
        <v>14.420634920634923</v>
      </c>
    </row>
    <row r="25" spans="2:11" ht="16" x14ac:dyDescent="0.2">
      <c r="B25" s="1" t="s">
        <v>32</v>
      </c>
      <c r="C25" s="7">
        <v>3.6</v>
      </c>
      <c r="G25" t="s">
        <v>33</v>
      </c>
      <c r="H25">
        <f>C25*1000/C16</f>
        <v>9.113924050632912</v>
      </c>
      <c r="I25" s="8">
        <f>H25/C19</f>
        <v>0.17831590533847</v>
      </c>
      <c r="J25">
        <f>C20/C25</f>
        <v>5.1111111111111107</v>
      </c>
      <c r="K25">
        <f>C19/H25</f>
        <v>5.6080246913580245</v>
      </c>
    </row>
    <row r="26" spans="2:11" ht="16" x14ac:dyDescent="0.2">
      <c r="B26" s="1" t="s">
        <v>34</v>
      </c>
      <c r="C26" s="7" t="s">
        <v>35</v>
      </c>
      <c r="I26" s="8"/>
    </row>
    <row r="27" spans="2:11" x14ac:dyDescent="0.2">
      <c r="I27" s="8"/>
    </row>
    <row r="28" spans="2:11" x14ac:dyDescent="0.2">
      <c r="I28" s="8"/>
    </row>
    <row r="29" spans="2:11" x14ac:dyDescent="0.2">
      <c r="I29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8:J12"/>
  <sheetViews>
    <sheetView workbookViewId="0">
      <selection activeCell="I20" sqref="I20"/>
    </sheetView>
  </sheetViews>
  <sheetFormatPr baseColWidth="10" defaultColWidth="8.83203125" defaultRowHeight="15" x14ac:dyDescent="0.2"/>
  <sheetData>
    <row r="8" spans="4:10" x14ac:dyDescent="0.2">
      <c r="F8" t="s">
        <v>196</v>
      </c>
    </row>
    <row r="9" spans="4:10" x14ac:dyDescent="0.2">
      <c r="F9">
        <v>60</v>
      </c>
    </row>
    <row r="11" spans="4:10" x14ac:dyDescent="0.2">
      <c r="D11" t="s">
        <v>197</v>
      </c>
      <c r="E11" t="s">
        <v>198</v>
      </c>
      <c r="F11">
        <v>400</v>
      </c>
      <c r="H11">
        <v>600</v>
      </c>
      <c r="J11">
        <v>1000</v>
      </c>
    </row>
    <row r="12" spans="4:10" x14ac:dyDescent="0.2">
      <c r="D12" t="s">
        <v>197</v>
      </c>
      <c r="E12" t="s">
        <v>199</v>
      </c>
      <c r="F12">
        <f>(1000*F9)/F11</f>
        <v>150</v>
      </c>
      <c r="H12">
        <f>(1000*F9)/H11</f>
        <v>100</v>
      </c>
      <c r="J12">
        <f>(1000*F9)/J11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9"/>
  <sheetViews>
    <sheetView workbookViewId="0">
      <selection activeCell="I16" sqref="I16"/>
    </sheetView>
  </sheetViews>
  <sheetFormatPr baseColWidth="10" defaultColWidth="8.83203125" defaultRowHeight="15" x14ac:dyDescent="0.2"/>
  <cols>
    <col min="2" max="2" width="28.1640625" style="1" customWidth="1"/>
    <col min="3" max="3" width="34.5" style="7" customWidth="1"/>
    <col min="4" max="4" width="9.1640625" style="2"/>
    <col min="5" max="5" width="9.1640625" style="7"/>
    <col min="7" max="7" width="24.1640625" customWidth="1"/>
    <col min="10" max="10" width="21.83203125" customWidth="1"/>
    <col min="11" max="11" width="22.83203125" customWidth="1"/>
  </cols>
  <sheetData>
    <row r="2" spans="2:10" x14ac:dyDescent="0.2">
      <c r="B2" t="s">
        <v>36</v>
      </c>
      <c r="G2" t="s">
        <v>37</v>
      </c>
    </row>
    <row r="3" spans="2:10" s="5" customFormat="1" x14ac:dyDescent="0.2">
      <c r="B3" s="5" t="s">
        <v>38</v>
      </c>
      <c r="C3" s="6">
        <v>16</v>
      </c>
      <c r="D3" s="4"/>
      <c r="E3" s="6"/>
      <c r="G3" s="5" t="s">
        <v>39</v>
      </c>
    </row>
    <row r="4" spans="2:10" x14ac:dyDescent="0.2">
      <c r="J4" t="s">
        <v>40</v>
      </c>
    </row>
    <row r="5" spans="2:10" x14ac:dyDescent="0.2">
      <c r="C5" s="7" t="s">
        <v>41</v>
      </c>
    </row>
    <row r="6" spans="2:10" ht="16" x14ac:dyDescent="0.2">
      <c r="B6" s="1" t="s">
        <v>5</v>
      </c>
      <c r="C6" s="7">
        <v>62</v>
      </c>
      <c r="D6" s="2" t="s">
        <v>42</v>
      </c>
    </row>
    <row r="7" spans="2:10" ht="16" x14ac:dyDescent="0.2">
      <c r="B7" s="1" t="s">
        <v>7</v>
      </c>
      <c r="C7" s="7" t="s">
        <v>43</v>
      </c>
    </row>
    <row r="8" spans="2:10" ht="16" x14ac:dyDescent="0.2">
      <c r="B8" s="1" t="s">
        <v>9</v>
      </c>
    </row>
    <row r="9" spans="2:10" ht="16" x14ac:dyDescent="0.2">
      <c r="B9" s="1" t="s">
        <v>11</v>
      </c>
      <c r="D9" s="2" t="s">
        <v>44</v>
      </c>
    </row>
    <row r="10" spans="2:10" ht="16" x14ac:dyDescent="0.2">
      <c r="B10" s="1" t="s">
        <v>13</v>
      </c>
    </row>
    <row r="11" spans="2:10" ht="32" x14ac:dyDescent="0.2">
      <c r="B11" s="1" t="s">
        <v>14</v>
      </c>
    </row>
    <row r="12" spans="2:10" ht="16" x14ac:dyDescent="0.2">
      <c r="B12" s="1" t="s">
        <v>15</v>
      </c>
    </row>
    <row r="13" spans="2:10" ht="16" x14ac:dyDescent="0.2">
      <c r="B13" s="1" t="s">
        <v>16</v>
      </c>
      <c r="C13" s="7">
        <v>3.7</v>
      </c>
    </row>
    <row r="14" spans="2:10" ht="16" x14ac:dyDescent="0.2">
      <c r="B14" s="1" t="s">
        <v>17</v>
      </c>
      <c r="C14" s="7">
        <v>4.0999999999999996</v>
      </c>
    </row>
    <row r="15" spans="2:10" ht="16" x14ac:dyDescent="0.2">
      <c r="B15" s="1" t="s">
        <v>18</v>
      </c>
      <c r="C15" s="7">
        <v>330</v>
      </c>
    </row>
    <row r="16" spans="2:10" ht="16" x14ac:dyDescent="0.2">
      <c r="B16" s="1" t="s">
        <v>19</v>
      </c>
      <c r="C16" s="7">
        <f>88*C14</f>
        <v>360.79999999999995</v>
      </c>
    </row>
    <row r="17" spans="2:13" ht="16" x14ac:dyDescent="0.2">
      <c r="B17" s="1" t="s">
        <v>21</v>
      </c>
    </row>
    <row r="18" spans="2:13" ht="16" x14ac:dyDescent="0.2">
      <c r="B18" s="1" t="s">
        <v>22</v>
      </c>
      <c r="C18" s="7">
        <v>50</v>
      </c>
    </row>
    <row r="19" spans="2:13" ht="16" x14ac:dyDescent="0.2">
      <c r="B19" s="1" t="s">
        <v>23</v>
      </c>
      <c r="C19" s="6">
        <f>C18*C15/1000</f>
        <v>16.5</v>
      </c>
    </row>
    <row r="21" spans="2:13" ht="16" x14ac:dyDescent="0.2">
      <c r="B21" s="1" t="s">
        <v>24</v>
      </c>
    </row>
    <row r="22" spans="2:13" x14ac:dyDescent="0.2">
      <c r="G22" t="s">
        <v>25</v>
      </c>
      <c r="H22" t="s">
        <v>26</v>
      </c>
      <c r="I22" s="8" t="s">
        <v>27</v>
      </c>
      <c r="J22" t="s">
        <v>28</v>
      </c>
      <c r="K22" t="s">
        <v>29</v>
      </c>
    </row>
    <row r="23" spans="2:13" ht="16" x14ac:dyDescent="0.2">
      <c r="B23" s="1" t="s">
        <v>30</v>
      </c>
      <c r="G23" t="s">
        <v>31</v>
      </c>
      <c r="H23">
        <f>(C23*1000)/C16</f>
        <v>0</v>
      </c>
      <c r="I23" s="8">
        <f>H23/C18</f>
        <v>0</v>
      </c>
      <c r="J23" t="e">
        <f>C19/C23</f>
        <v>#DIV/0!</v>
      </c>
      <c r="K23" t="e">
        <f>C18/H23</f>
        <v>#DIV/0!</v>
      </c>
    </row>
    <row r="24" spans="2:13" ht="16" x14ac:dyDescent="0.2">
      <c r="B24" s="1" t="s">
        <v>45</v>
      </c>
      <c r="C24" s="7">
        <v>3.6</v>
      </c>
      <c r="G24" t="s">
        <v>33</v>
      </c>
      <c r="H24">
        <f>C24*1000/C16</f>
        <v>9.9778270509977833</v>
      </c>
      <c r="I24" s="8">
        <f>H24/C18</f>
        <v>0.19955654101995568</v>
      </c>
      <c r="J24">
        <f>C19/C24</f>
        <v>4.583333333333333</v>
      </c>
      <c r="K24">
        <f>C18/H24</f>
        <v>5.0111111111111111</v>
      </c>
    </row>
    <row r="25" spans="2:13" ht="32" x14ac:dyDescent="0.2">
      <c r="B25" s="1" t="s">
        <v>46</v>
      </c>
      <c r="C25" s="7">
        <v>44</v>
      </c>
      <c r="G25" t="s">
        <v>47</v>
      </c>
      <c r="H25">
        <f>(44*1000)/C16</f>
        <v>121.95121951219514</v>
      </c>
      <c r="I25" s="8">
        <f>H25/C$18</f>
        <v>2.4390243902439028</v>
      </c>
      <c r="J25">
        <f>C19/C25</f>
        <v>0.375</v>
      </c>
      <c r="K25">
        <f>C18/H25</f>
        <v>0.40999999999999992</v>
      </c>
      <c r="M25" t="s">
        <v>48</v>
      </c>
    </row>
    <row r="26" spans="2:13" ht="32" x14ac:dyDescent="0.2">
      <c r="B26" s="1" t="s">
        <v>46</v>
      </c>
      <c r="G26" t="s">
        <v>49</v>
      </c>
      <c r="H26">
        <f>(60*1000)/C16</f>
        <v>166.29711751662973</v>
      </c>
      <c r="I26" s="8">
        <f>H26/C$18</f>
        <v>3.3259423503325944</v>
      </c>
      <c r="J26" t="e">
        <f>C19/C26</f>
        <v>#DIV/0!</v>
      </c>
      <c r="K26">
        <f>C18/H26</f>
        <v>0.30066666666666664</v>
      </c>
    </row>
    <row r="27" spans="2:13" x14ac:dyDescent="0.2">
      <c r="C27" s="7" t="s">
        <v>50</v>
      </c>
      <c r="G27" t="s">
        <v>51</v>
      </c>
      <c r="H27">
        <f>(100*1000)/C16</f>
        <v>277.16186252771621</v>
      </c>
      <c r="I27" s="8">
        <f t="shared" ref="I27" si="0">H27/C$18</f>
        <v>5.5432372505543244</v>
      </c>
      <c r="J27">
        <f>C19/100</f>
        <v>0.16500000000000001</v>
      </c>
      <c r="K27">
        <f>C18/H27</f>
        <v>0.18039999999999998</v>
      </c>
    </row>
    <row r="28" spans="2:13" x14ac:dyDescent="0.2">
      <c r="C28" s="7" t="s">
        <v>52</v>
      </c>
      <c r="G28" t="s">
        <v>53</v>
      </c>
      <c r="H28">
        <f>(150*1000)/C16</f>
        <v>415.74279379157434</v>
      </c>
      <c r="I28" s="8">
        <f>H28/C18</f>
        <v>8.314855875831487</v>
      </c>
      <c r="J28">
        <f>C19/150</f>
        <v>0.11</v>
      </c>
      <c r="K28">
        <f>C18/H28</f>
        <v>0.12026666666666665</v>
      </c>
    </row>
    <row r="29" spans="2:13" x14ac:dyDescent="0.2">
      <c r="C29" s="7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46"/>
  <sheetViews>
    <sheetView workbookViewId="0">
      <selection activeCell="G41" sqref="G41"/>
    </sheetView>
  </sheetViews>
  <sheetFormatPr baseColWidth="10" defaultColWidth="8.83203125" defaultRowHeight="15" x14ac:dyDescent="0.2"/>
  <cols>
    <col min="2" max="2" width="28.1640625" style="1" customWidth="1"/>
    <col min="3" max="3" width="34.5" style="7" customWidth="1"/>
    <col min="4" max="4" width="9.1640625" style="2"/>
    <col min="5" max="5" width="9.1640625" style="7"/>
    <col min="7" max="7" width="24.1640625" customWidth="1"/>
    <col min="10" max="10" width="21.83203125" customWidth="1"/>
    <col min="11" max="11" width="22.83203125" customWidth="1"/>
  </cols>
  <sheetData>
    <row r="3" spans="2:5" s="5" customFormat="1" ht="16" x14ac:dyDescent="0.2">
      <c r="B3" s="3" t="s">
        <v>55</v>
      </c>
      <c r="C3" s="6" t="s">
        <v>56</v>
      </c>
      <c r="D3" s="4"/>
      <c r="E3" s="6" t="s">
        <v>2</v>
      </c>
    </row>
    <row r="6" spans="2:5" ht="16" x14ac:dyDescent="0.2">
      <c r="B6" s="1" t="s">
        <v>5</v>
      </c>
      <c r="C6" s="7">
        <v>84</v>
      </c>
      <c r="E6" s="7">
        <v>107</v>
      </c>
    </row>
    <row r="7" spans="2:5" ht="16" x14ac:dyDescent="0.2">
      <c r="B7" s="1" t="s">
        <v>7</v>
      </c>
      <c r="C7" s="7" t="s">
        <v>57</v>
      </c>
    </row>
    <row r="8" spans="2:5" ht="16" x14ac:dyDescent="0.2">
      <c r="B8" s="1" t="s">
        <v>9</v>
      </c>
      <c r="C8" s="7" t="s">
        <v>58</v>
      </c>
    </row>
    <row r="9" spans="2:5" ht="16" x14ac:dyDescent="0.2">
      <c r="B9" s="1" t="s">
        <v>11</v>
      </c>
      <c r="C9" s="7">
        <v>48</v>
      </c>
      <c r="D9" s="2" t="s">
        <v>44</v>
      </c>
    </row>
    <row r="10" spans="2:5" ht="16" x14ac:dyDescent="0.2">
      <c r="B10" s="1" t="s">
        <v>13</v>
      </c>
      <c r="C10" s="7">
        <v>4</v>
      </c>
    </row>
    <row r="11" spans="2:5" ht="32" x14ac:dyDescent="0.2">
      <c r="B11" s="1" t="s">
        <v>14</v>
      </c>
      <c r="C11" s="7">
        <v>2</v>
      </c>
    </row>
    <row r="12" spans="2:5" ht="16" x14ac:dyDescent="0.2">
      <c r="B12" s="1" t="s">
        <v>15</v>
      </c>
      <c r="C12" s="7">
        <v>2</v>
      </c>
    </row>
    <row r="13" spans="2:5" ht="16" x14ac:dyDescent="0.2">
      <c r="B13" s="1" t="s">
        <v>16</v>
      </c>
      <c r="C13" s="7">
        <v>3.75</v>
      </c>
    </row>
    <row r="14" spans="2:5" ht="16" x14ac:dyDescent="0.2">
      <c r="B14" s="1" t="s">
        <v>17</v>
      </c>
      <c r="C14" s="7">
        <v>4.2</v>
      </c>
    </row>
    <row r="15" spans="2:5" ht="16" x14ac:dyDescent="0.2">
      <c r="B15" s="1" t="s">
        <v>18</v>
      </c>
      <c r="C15" s="7">
        <f>C9*C12*C13</f>
        <v>360</v>
      </c>
    </row>
    <row r="16" spans="2:5" ht="16" x14ac:dyDescent="0.2">
      <c r="B16" s="1" t="s">
        <v>19</v>
      </c>
      <c r="C16" s="7">
        <f>C9*C12*C14</f>
        <v>403.20000000000005</v>
      </c>
    </row>
    <row r="17" spans="2:11" ht="16" x14ac:dyDescent="0.2">
      <c r="B17" s="1" t="s">
        <v>21</v>
      </c>
      <c r="C17" s="7">
        <v>33.1</v>
      </c>
    </row>
    <row r="18" spans="2:11" ht="16" x14ac:dyDescent="0.2">
      <c r="B18" s="1" t="s">
        <v>22</v>
      </c>
      <c r="C18" s="7">
        <v>66.2</v>
      </c>
    </row>
    <row r="19" spans="2:11" ht="16" x14ac:dyDescent="0.2">
      <c r="B19" s="1" t="s">
        <v>23</v>
      </c>
      <c r="C19" s="6">
        <f>C18*C15/1000</f>
        <v>23.832000000000001</v>
      </c>
    </row>
    <row r="21" spans="2:11" ht="16" x14ac:dyDescent="0.2">
      <c r="B21" s="1" t="s">
        <v>24</v>
      </c>
    </row>
    <row r="22" spans="2:11" x14ac:dyDescent="0.2">
      <c r="G22" t="s">
        <v>25</v>
      </c>
      <c r="H22" t="s">
        <v>26</v>
      </c>
      <c r="I22" s="8" t="s">
        <v>27</v>
      </c>
      <c r="J22" t="s">
        <v>28</v>
      </c>
      <c r="K22" t="s">
        <v>29</v>
      </c>
    </row>
    <row r="23" spans="2:11" ht="16" x14ac:dyDescent="0.2">
      <c r="B23" s="1" t="s">
        <v>30</v>
      </c>
      <c r="C23" s="7">
        <v>3.3</v>
      </c>
      <c r="G23" t="s">
        <v>31</v>
      </c>
      <c r="H23">
        <f>(C23*1000)/C16</f>
        <v>8.1845238095238084</v>
      </c>
      <c r="I23" s="8">
        <f>H23/C18</f>
        <v>0.12363329017407565</v>
      </c>
      <c r="J23">
        <f>C19/C23</f>
        <v>7.2218181818181826</v>
      </c>
      <c r="K23">
        <f>C18/H23</f>
        <v>8.0884363636363652</v>
      </c>
    </row>
    <row r="24" spans="2:11" ht="16" x14ac:dyDescent="0.2">
      <c r="B24" s="1" t="s">
        <v>45</v>
      </c>
      <c r="C24" s="7">
        <v>6.6</v>
      </c>
      <c r="G24" t="s">
        <v>33</v>
      </c>
      <c r="H24">
        <f>C24*1000/C16</f>
        <v>16.369047619047617</v>
      </c>
      <c r="I24" s="8">
        <f>H24/C18</f>
        <v>0.2472665803481513</v>
      </c>
      <c r="J24">
        <f>C19/C24</f>
        <v>3.6109090909090913</v>
      </c>
      <c r="K24">
        <f>C18/H24</f>
        <v>4.0442181818181826</v>
      </c>
    </row>
    <row r="25" spans="2:11" ht="32" x14ac:dyDescent="0.2">
      <c r="B25" s="1" t="s">
        <v>46</v>
      </c>
      <c r="C25" s="7">
        <v>40</v>
      </c>
      <c r="G25" t="s">
        <v>47</v>
      </c>
      <c r="H25">
        <f>(40*1000)/C16</f>
        <v>99.206349206349202</v>
      </c>
      <c r="I25" s="8">
        <f>H25/C$18</f>
        <v>1.4985853354433414</v>
      </c>
      <c r="J25">
        <f>C19/C25</f>
        <v>0.5958</v>
      </c>
      <c r="K25">
        <f>C18/H25</f>
        <v>0.66729600000000011</v>
      </c>
    </row>
    <row r="26" spans="2:11" ht="32" x14ac:dyDescent="0.2">
      <c r="B26" s="1" t="s">
        <v>46</v>
      </c>
      <c r="C26" s="7">
        <v>60</v>
      </c>
      <c r="G26" t="s">
        <v>49</v>
      </c>
      <c r="H26">
        <f>(60*1000)/C16</f>
        <v>148.8095238095238</v>
      </c>
      <c r="I26" s="8">
        <f>H26/C$18</f>
        <v>2.2478780031650119</v>
      </c>
      <c r="J26">
        <f>C19/C26</f>
        <v>0.3972</v>
      </c>
      <c r="K26">
        <f>C18/H26</f>
        <v>0.44486400000000004</v>
      </c>
    </row>
    <row r="27" spans="2:11" x14ac:dyDescent="0.2">
      <c r="C27" s="7" t="s">
        <v>50</v>
      </c>
      <c r="G27" t="s">
        <v>51</v>
      </c>
      <c r="H27">
        <f>(100*1000)/C16</f>
        <v>248.01587301587298</v>
      </c>
      <c r="I27" s="8">
        <f t="shared" ref="I27" si="0">H27/C$18</f>
        <v>3.7464633386083532</v>
      </c>
      <c r="J27">
        <f>C19/100</f>
        <v>0.23832</v>
      </c>
      <c r="K27">
        <f>C18/H27</f>
        <v>0.26691840000000006</v>
      </c>
    </row>
    <row r="28" spans="2:11" x14ac:dyDescent="0.2">
      <c r="C28" s="7" t="s">
        <v>52</v>
      </c>
      <c r="G28" t="s">
        <v>53</v>
      </c>
      <c r="H28">
        <f>(150*1000)/C16</f>
        <v>372.02380952380946</v>
      </c>
      <c r="I28" s="8">
        <f>H28/C18</f>
        <v>5.6196950079125294</v>
      </c>
      <c r="J28">
        <f>C19/150</f>
        <v>0.15887999999999999</v>
      </c>
      <c r="K28">
        <f>C18/H28</f>
        <v>0.17794560000000004</v>
      </c>
    </row>
    <row r="29" spans="2:11" x14ac:dyDescent="0.2">
      <c r="C29" s="7" t="s">
        <v>54</v>
      </c>
    </row>
    <row r="35" spans="7:10" x14ac:dyDescent="0.2">
      <c r="G35" t="s">
        <v>59</v>
      </c>
    </row>
    <row r="36" spans="7:10" x14ac:dyDescent="0.2">
      <c r="G36" t="s">
        <v>60</v>
      </c>
      <c r="H36" t="s">
        <v>26</v>
      </c>
      <c r="I36" t="s">
        <v>27</v>
      </c>
      <c r="J36" t="s">
        <v>61</v>
      </c>
    </row>
    <row r="37" spans="7:10" x14ac:dyDescent="0.2">
      <c r="G37">
        <v>3.3</v>
      </c>
      <c r="H37">
        <f>(1000*G37)/C$16</f>
        <v>8.1845238095238084</v>
      </c>
      <c r="I37">
        <f>H37/C$18</f>
        <v>0.12363329017407565</v>
      </c>
      <c r="J37">
        <f>(60/I37)*0.5</f>
        <v>242.65309090909096</v>
      </c>
    </row>
    <row r="38" spans="7:10" x14ac:dyDescent="0.2">
      <c r="G38">
        <v>6.6</v>
      </c>
      <c r="H38">
        <f t="shared" ref="H38:H42" si="1">(1000*G38)/C$16</f>
        <v>16.369047619047617</v>
      </c>
      <c r="I38">
        <f t="shared" ref="I38:I42" si="2">H38/C$18</f>
        <v>0.2472665803481513</v>
      </c>
      <c r="J38">
        <f t="shared" ref="J38:J42" si="3">(60/I38)*0.5</f>
        <v>121.32654545454548</v>
      </c>
    </row>
    <row r="39" spans="7:10" x14ac:dyDescent="0.2">
      <c r="G39">
        <v>50</v>
      </c>
      <c r="H39">
        <f t="shared" si="1"/>
        <v>124.00793650793649</v>
      </c>
      <c r="I39">
        <f t="shared" si="2"/>
        <v>1.8732316693041766</v>
      </c>
      <c r="J39">
        <f t="shared" si="3"/>
        <v>16.015104000000001</v>
      </c>
    </row>
    <row r="40" spans="7:10" x14ac:dyDescent="0.2">
      <c r="G40">
        <v>60</v>
      </c>
      <c r="H40">
        <f t="shared" si="1"/>
        <v>148.8095238095238</v>
      </c>
      <c r="I40">
        <f t="shared" si="2"/>
        <v>2.2478780031650119</v>
      </c>
      <c r="J40">
        <f t="shared" si="3"/>
        <v>13.345920000000003</v>
      </c>
    </row>
    <row r="41" spans="7:10" x14ac:dyDescent="0.2">
      <c r="G41">
        <v>100</v>
      </c>
      <c r="H41">
        <f t="shared" si="1"/>
        <v>248.01587301587298</v>
      </c>
      <c r="I41">
        <f t="shared" si="2"/>
        <v>3.7464633386083532</v>
      </c>
      <c r="J41">
        <f t="shared" si="3"/>
        <v>8.0075520000000004</v>
      </c>
    </row>
    <row r="42" spans="7:10" x14ac:dyDescent="0.2">
      <c r="G42">
        <v>120</v>
      </c>
      <c r="H42">
        <f t="shared" si="1"/>
        <v>297.61904761904759</v>
      </c>
      <c r="I42">
        <f t="shared" si="2"/>
        <v>4.4957560063300237</v>
      </c>
      <c r="J42">
        <f t="shared" si="3"/>
        <v>6.6729600000000016</v>
      </c>
    </row>
    <row r="43" spans="7:10" x14ac:dyDescent="0.2">
      <c r="G43">
        <v>150</v>
      </c>
      <c r="H43">
        <f>(1000*G43)/C$16</f>
        <v>372.02380952380946</v>
      </c>
      <c r="I43">
        <f>H43/C$18</f>
        <v>5.6196950079125294</v>
      </c>
      <c r="J43">
        <f>(60/I43)*0.5</f>
        <v>5.3383680000000009</v>
      </c>
    </row>
    <row r="44" spans="7:10" x14ac:dyDescent="0.2">
      <c r="G44">
        <v>250</v>
      </c>
      <c r="H44">
        <f>(1000*G44)/C$16</f>
        <v>620.03968253968242</v>
      </c>
      <c r="I44">
        <f>H44/C$18</f>
        <v>9.3661583465208818</v>
      </c>
      <c r="J44">
        <f>(60/I44)*0.5</f>
        <v>3.2030208000000009</v>
      </c>
    </row>
    <row r="45" spans="7:10" x14ac:dyDescent="0.2">
      <c r="G45">
        <v>300</v>
      </c>
      <c r="H45">
        <f>(1000*G45)/C$16</f>
        <v>744.04761904761892</v>
      </c>
      <c r="I45">
        <f>H45/C$18</f>
        <v>11.239390015825059</v>
      </c>
      <c r="J45">
        <f>(60/I45)*0.5</f>
        <v>2.6691840000000004</v>
      </c>
    </row>
    <row r="46" spans="7:10" x14ac:dyDescent="0.2">
      <c r="G46">
        <v>350</v>
      </c>
      <c r="H46">
        <f>(1000*G46)/C$16</f>
        <v>868.05555555555543</v>
      </c>
      <c r="I46">
        <f>H46/C$18</f>
        <v>13.112621685129236</v>
      </c>
      <c r="J46">
        <f>(60/I46)*0.5</f>
        <v>2.2878720000000006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65"/>
  <sheetViews>
    <sheetView workbookViewId="0">
      <selection activeCell="J49" sqref="J49"/>
    </sheetView>
  </sheetViews>
  <sheetFormatPr baseColWidth="10" defaultColWidth="8.83203125" defaultRowHeight="15" x14ac:dyDescent="0.2"/>
  <cols>
    <col min="2" max="2" width="28.1640625" style="1" customWidth="1"/>
    <col min="3" max="3" width="34.5" style="7" customWidth="1"/>
    <col min="4" max="4" width="9.1640625" style="2"/>
    <col min="5" max="5" width="9.1640625" style="7"/>
    <col min="7" max="7" width="24.1640625" customWidth="1"/>
    <col min="10" max="10" width="21.83203125" customWidth="1"/>
    <col min="11" max="11" width="22.83203125" customWidth="1"/>
  </cols>
  <sheetData>
    <row r="2" spans="2:7" ht="16" x14ac:dyDescent="0.2">
      <c r="B2" s="3" t="s">
        <v>62</v>
      </c>
    </row>
    <row r="3" spans="2:7" s="5" customFormat="1" x14ac:dyDescent="0.2">
      <c r="B3" s="5" t="s">
        <v>63</v>
      </c>
      <c r="C3" s="6">
        <v>60</v>
      </c>
      <c r="D3" s="4"/>
      <c r="E3" s="6"/>
    </row>
    <row r="4" spans="2:7" x14ac:dyDescent="0.2">
      <c r="G4" t="s">
        <v>64</v>
      </c>
    </row>
    <row r="5" spans="2:7" x14ac:dyDescent="0.2">
      <c r="G5" t="s">
        <v>65</v>
      </c>
    </row>
    <row r="6" spans="2:7" ht="16" x14ac:dyDescent="0.2">
      <c r="B6" s="1" t="s">
        <v>5</v>
      </c>
      <c r="C6" s="7">
        <v>238</v>
      </c>
      <c r="G6" t="s">
        <v>66</v>
      </c>
    </row>
    <row r="7" spans="2:7" ht="16" x14ac:dyDescent="0.2">
      <c r="B7" s="1" t="s">
        <v>7</v>
      </c>
      <c r="C7" s="7" t="s">
        <v>8</v>
      </c>
      <c r="G7" t="s">
        <v>67</v>
      </c>
    </row>
    <row r="8" spans="2:7" ht="16" x14ac:dyDescent="0.2">
      <c r="B8" s="1" t="s">
        <v>9</v>
      </c>
      <c r="C8" s="7" t="s">
        <v>10</v>
      </c>
    </row>
    <row r="9" spans="2:7" ht="16" x14ac:dyDescent="0.2">
      <c r="B9" s="1" t="s">
        <v>11</v>
      </c>
      <c r="C9" s="7">
        <v>96</v>
      </c>
      <c r="D9" s="2" t="s">
        <v>68</v>
      </c>
    </row>
    <row r="10" spans="2:7" ht="16" x14ac:dyDescent="0.2">
      <c r="B10" s="1" t="s">
        <v>13</v>
      </c>
      <c r="C10" s="7">
        <v>3</v>
      </c>
    </row>
    <row r="11" spans="2:7" ht="32" x14ac:dyDescent="0.2">
      <c r="B11" s="1" t="s">
        <v>14</v>
      </c>
      <c r="C11" s="7">
        <v>3</v>
      </c>
    </row>
    <row r="12" spans="2:7" ht="16" x14ac:dyDescent="0.2">
      <c r="B12" s="1" t="s">
        <v>15</v>
      </c>
      <c r="C12" s="7">
        <v>1</v>
      </c>
    </row>
    <row r="13" spans="2:7" ht="16" x14ac:dyDescent="0.2">
      <c r="B13" s="1" t="s">
        <v>16</v>
      </c>
      <c r="C13" s="7">
        <f>C15/C9</f>
        <v>3.75</v>
      </c>
    </row>
    <row r="14" spans="2:7" ht="16" x14ac:dyDescent="0.2">
      <c r="B14" s="1" t="s">
        <v>17</v>
      </c>
      <c r="C14" s="7">
        <f>C16/C9</f>
        <v>4.114583333333333</v>
      </c>
    </row>
    <row r="15" spans="2:7" ht="16" x14ac:dyDescent="0.2">
      <c r="B15" s="1" t="s">
        <v>18</v>
      </c>
      <c r="C15" s="7">
        <v>360</v>
      </c>
    </row>
    <row r="16" spans="2:7" ht="16" x14ac:dyDescent="0.2">
      <c r="B16" s="1" t="s">
        <v>19</v>
      </c>
      <c r="C16" s="7">
        <v>395</v>
      </c>
    </row>
    <row r="17" spans="2:13" ht="16" x14ac:dyDescent="0.2">
      <c r="B17" s="1" t="s">
        <v>20</v>
      </c>
      <c r="C17" s="7" t="s">
        <v>69</v>
      </c>
    </row>
    <row r="18" spans="2:13" ht="16" x14ac:dyDescent="0.2">
      <c r="B18" s="1" t="s">
        <v>21</v>
      </c>
      <c r="C18" s="7">
        <f>C19/C11</f>
        <v>55.55555555555555</v>
      </c>
    </row>
    <row r="19" spans="2:13" ht="16" x14ac:dyDescent="0.2">
      <c r="B19" s="1" t="s">
        <v>22</v>
      </c>
      <c r="C19" s="7">
        <f>C3*1000/C15</f>
        <v>166.66666666666666</v>
      </c>
    </row>
    <row r="20" spans="2:13" ht="16" x14ac:dyDescent="0.2">
      <c r="B20" s="1" t="s">
        <v>23</v>
      </c>
      <c r="C20" s="6">
        <f>C19*C15/1000</f>
        <v>60</v>
      </c>
    </row>
    <row r="22" spans="2:13" ht="16" x14ac:dyDescent="0.2">
      <c r="B22" s="1" t="s">
        <v>24</v>
      </c>
    </row>
    <row r="23" spans="2:13" x14ac:dyDescent="0.2">
      <c r="G23" t="s">
        <v>25</v>
      </c>
      <c r="H23" t="s">
        <v>26</v>
      </c>
      <c r="I23" s="8" t="s">
        <v>27</v>
      </c>
      <c r="J23" t="s">
        <v>28</v>
      </c>
      <c r="K23" t="s">
        <v>29</v>
      </c>
    </row>
    <row r="24" spans="2:13" ht="16" x14ac:dyDescent="0.2">
      <c r="B24" s="1" t="s">
        <v>30</v>
      </c>
      <c r="C24" s="7" t="s">
        <v>69</v>
      </c>
      <c r="G24" t="s">
        <v>31</v>
      </c>
      <c r="H24" t="e">
        <f>(C24*1000)/C16</f>
        <v>#VALUE!</v>
      </c>
      <c r="I24" s="8" t="e">
        <f>H24/C19</f>
        <v>#VALUE!</v>
      </c>
      <c r="J24" t="e">
        <f>C20/C24</f>
        <v>#VALUE!</v>
      </c>
      <c r="K24" t="e">
        <f>C19/H24</f>
        <v>#VALUE!</v>
      </c>
    </row>
    <row r="25" spans="2:13" ht="16" x14ac:dyDescent="0.2">
      <c r="B25" s="1" t="s">
        <v>32</v>
      </c>
      <c r="C25" s="7">
        <v>7.2</v>
      </c>
      <c r="G25" t="s">
        <v>33</v>
      </c>
      <c r="H25">
        <f>C25*1000/C16</f>
        <v>18.227848101265824</v>
      </c>
      <c r="I25" s="8">
        <f>H25/C19</f>
        <v>0.10936708860759495</v>
      </c>
      <c r="J25">
        <f>C20/C25</f>
        <v>8.3333333333333339</v>
      </c>
      <c r="K25">
        <f>C19/H25</f>
        <v>9.1435185185185173</v>
      </c>
      <c r="M25" t="s">
        <v>70</v>
      </c>
    </row>
    <row r="26" spans="2:13" ht="16" x14ac:dyDescent="0.2">
      <c r="B26" s="1" t="s">
        <v>34</v>
      </c>
      <c r="C26" s="7" t="s">
        <v>71</v>
      </c>
      <c r="G26" s="1" t="s">
        <v>34</v>
      </c>
      <c r="H26">
        <f>50000/C16</f>
        <v>126.58227848101266</v>
      </c>
      <c r="I26" s="8">
        <f>H26/C19</f>
        <v>0.759493670886076</v>
      </c>
      <c r="M26" t="s">
        <v>72</v>
      </c>
    </row>
    <row r="27" spans="2:13" x14ac:dyDescent="0.2">
      <c r="I27" s="8"/>
    </row>
    <row r="28" spans="2:13" x14ac:dyDescent="0.2">
      <c r="I28" s="8"/>
    </row>
    <row r="29" spans="2:13" x14ac:dyDescent="0.2">
      <c r="I29" s="8"/>
    </row>
    <row r="37" spans="7:11" x14ac:dyDescent="0.2">
      <c r="G37" t="s">
        <v>59</v>
      </c>
    </row>
    <row r="38" spans="7:11" x14ac:dyDescent="0.2">
      <c r="G38" t="s">
        <v>60</v>
      </c>
      <c r="H38" t="s">
        <v>26</v>
      </c>
      <c r="I38" t="s">
        <v>27</v>
      </c>
      <c r="J38" t="s">
        <v>61</v>
      </c>
    </row>
    <row r="39" spans="7:11" x14ac:dyDescent="0.2">
      <c r="G39">
        <v>1.8</v>
      </c>
      <c r="H39">
        <f>(1000*G39)/C$16</f>
        <v>4.556962025316456</v>
      </c>
      <c r="I39">
        <f>H39/C$19</f>
        <v>2.7341772151898737E-2</v>
      </c>
      <c r="J39">
        <f>(60/I39)*0.5</f>
        <v>1097.2222222222222</v>
      </c>
      <c r="K39">
        <f>0.5*(C$19/H39)*60</f>
        <v>1097.2222222222222</v>
      </c>
    </row>
    <row r="40" spans="7:11" x14ac:dyDescent="0.2">
      <c r="G40">
        <v>10</v>
      </c>
      <c r="H40">
        <f>(1000*G40)/C$16</f>
        <v>25.316455696202532</v>
      </c>
      <c r="I40">
        <f t="shared" ref="I40:I47" si="0">H40/C$19</f>
        <v>0.15189873417721519</v>
      </c>
      <c r="J40">
        <f t="shared" ref="J40:J47" si="1">(60/I40)*0.5</f>
        <v>197.5</v>
      </c>
      <c r="K40">
        <f t="shared" ref="K40:K47" si="2">0.5*(C$19/H40)*60</f>
        <v>197.5</v>
      </c>
    </row>
    <row r="41" spans="7:11" x14ac:dyDescent="0.2">
      <c r="G41">
        <v>50</v>
      </c>
      <c r="H41">
        <f>(1000*G41)/C$16</f>
        <v>126.58227848101266</v>
      </c>
      <c r="I41">
        <f t="shared" si="0"/>
        <v>0.759493670886076</v>
      </c>
      <c r="J41">
        <f t="shared" si="1"/>
        <v>39.5</v>
      </c>
      <c r="K41">
        <f t="shared" si="2"/>
        <v>39.499999999999993</v>
      </c>
    </row>
    <row r="42" spans="7:11" x14ac:dyDescent="0.2">
      <c r="G42">
        <v>120</v>
      </c>
      <c r="H42">
        <f t="shared" ref="H42:H47" si="3">(1000*G42)/C$16</f>
        <v>303.79746835443041</v>
      </c>
      <c r="I42">
        <f t="shared" si="0"/>
        <v>1.8227848101265824</v>
      </c>
      <c r="J42">
        <f t="shared" si="1"/>
        <v>16.458333333333332</v>
      </c>
      <c r="K42">
        <f t="shared" si="2"/>
        <v>16.458333333333332</v>
      </c>
    </row>
    <row r="43" spans="7:11" x14ac:dyDescent="0.2">
      <c r="G43">
        <v>150</v>
      </c>
      <c r="H43">
        <f t="shared" si="3"/>
        <v>379.74683544303798</v>
      </c>
      <c r="I43">
        <f t="shared" si="0"/>
        <v>2.278481012658228</v>
      </c>
      <c r="J43">
        <f t="shared" si="1"/>
        <v>13.166666666666666</v>
      </c>
      <c r="K43">
        <f t="shared" si="2"/>
        <v>13.166666666666666</v>
      </c>
    </row>
    <row r="44" spans="7:11" x14ac:dyDescent="0.2">
      <c r="G44">
        <v>200</v>
      </c>
      <c r="H44">
        <f t="shared" si="3"/>
        <v>506.32911392405066</v>
      </c>
      <c r="I44">
        <f t="shared" si="0"/>
        <v>3.037974683544304</v>
      </c>
      <c r="J44">
        <f t="shared" si="1"/>
        <v>9.875</v>
      </c>
      <c r="K44">
        <f t="shared" si="2"/>
        <v>9.8749999999999982</v>
      </c>
    </row>
    <row r="45" spans="7:11" x14ac:dyDescent="0.2">
      <c r="G45">
        <v>250</v>
      </c>
      <c r="H45">
        <f t="shared" si="3"/>
        <v>632.91139240506334</v>
      </c>
      <c r="I45">
        <f t="shared" si="0"/>
        <v>3.7974683544303804</v>
      </c>
      <c r="J45">
        <f t="shared" si="1"/>
        <v>7.8999999999999986</v>
      </c>
      <c r="K45">
        <f t="shared" si="2"/>
        <v>7.8999999999999995</v>
      </c>
    </row>
    <row r="46" spans="7:11" x14ac:dyDescent="0.2">
      <c r="G46">
        <v>300</v>
      </c>
      <c r="H46">
        <f t="shared" si="3"/>
        <v>759.49367088607596</v>
      </c>
      <c r="I46">
        <f t="shared" si="0"/>
        <v>4.556962025316456</v>
      </c>
      <c r="J46">
        <f t="shared" si="1"/>
        <v>6.583333333333333</v>
      </c>
      <c r="K46">
        <f t="shared" si="2"/>
        <v>6.583333333333333</v>
      </c>
    </row>
    <row r="47" spans="7:11" x14ac:dyDescent="0.2">
      <c r="G47">
        <v>350</v>
      </c>
      <c r="H47">
        <f t="shared" si="3"/>
        <v>886.07594936708858</v>
      </c>
      <c r="I47">
        <f t="shared" si="0"/>
        <v>5.3164556962025316</v>
      </c>
      <c r="J47">
        <f t="shared" si="1"/>
        <v>5.6428571428571432</v>
      </c>
      <c r="K47">
        <f t="shared" si="2"/>
        <v>5.6428571428571423</v>
      </c>
    </row>
    <row r="50" spans="7:11" x14ac:dyDescent="0.2">
      <c r="G50" t="s">
        <v>73</v>
      </c>
    </row>
    <row r="51" spans="7:11" x14ac:dyDescent="0.2">
      <c r="G51" t="s">
        <v>74</v>
      </c>
    </row>
    <row r="52" spans="7:11" x14ac:dyDescent="0.2">
      <c r="G52" t="s">
        <v>75</v>
      </c>
      <c r="H52">
        <f>60000/H54</f>
        <v>111.88811188811189</v>
      </c>
    </row>
    <row r="53" spans="7:11" x14ac:dyDescent="0.2">
      <c r="G53" t="s">
        <v>76</v>
      </c>
      <c r="H53">
        <v>143</v>
      </c>
    </row>
    <row r="54" spans="7:11" x14ac:dyDescent="0.2">
      <c r="G54" t="s">
        <v>77</v>
      </c>
      <c r="H54">
        <f>H53*3.75</f>
        <v>536.25</v>
      </c>
    </row>
    <row r="55" spans="7:11" x14ac:dyDescent="0.2">
      <c r="G55" t="s">
        <v>78</v>
      </c>
      <c r="H55">
        <f>H53*4.2</f>
        <v>600.6</v>
      </c>
    </row>
    <row r="56" spans="7:11" x14ac:dyDescent="0.2">
      <c r="G56" t="s">
        <v>60</v>
      </c>
      <c r="H56" t="s">
        <v>26</v>
      </c>
      <c r="I56" t="s">
        <v>27</v>
      </c>
      <c r="J56" t="s">
        <v>79</v>
      </c>
    </row>
    <row r="57" spans="7:11" x14ac:dyDescent="0.2">
      <c r="G57">
        <v>1.8</v>
      </c>
      <c r="H57">
        <f>(1000*G57)/H$55</f>
        <v>2.9970029970029968</v>
      </c>
      <c r="I57">
        <f>H57/H$52</f>
        <v>2.6785714285714281E-2</v>
      </c>
      <c r="J57">
        <f>100*(H39-H57)/H39</f>
        <v>34.232434232434244</v>
      </c>
      <c r="K57">
        <f>(60/I57)*0.5</f>
        <v>1120.0000000000002</v>
      </c>
    </row>
    <row r="58" spans="7:11" x14ac:dyDescent="0.2">
      <c r="G58">
        <v>10</v>
      </c>
      <c r="H58">
        <f t="shared" ref="H58:H65" si="4">(1000*G58)/H$55</f>
        <v>16.650016650016649</v>
      </c>
      <c r="I58">
        <f t="shared" ref="I58:I65" si="5">H58/H$52</f>
        <v>0.14880952380952381</v>
      </c>
      <c r="J58">
        <f t="shared" ref="J58:J65" si="6">100*(H40-H58)/H40</f>
        <v>34.232434232434237</v>
      </c>
      <c r="K58">
        <f t="shared" ref="K58:K65" si="7">(60/I58)*0.5</f>
        <v>201.6</v>
      </c>
    </row>
    <row r="59" spans="7:11" x14ac:dyDescent="0.2">
      <c r="G59">
        <v>50</v>
      </c>
      <c r="H59">
        <f t="shared" si="4"/>
        <v>83.25008325008325</v>
      </c>
      <c r="I59">
        <f t="shared" si="5"/>
        <v>0.74404761904761896</v>
      </c>
      <c r="J59">
        <f>100*(H41-H59)/H41</f>
        <v>34.23243423243423</v>
      </c>
      <c r="K59">
        <f t="shared" si="7"/>
        <v>40.320000000000007</v>
      </c>
    </row>
    <row r="60" spans="7:11" x14ac:dyDescent="0.2">
      <c r="G60">
        <v>120</v>
      </c>
      <c r="H60">
        <f t="shared" si="4"/>
        <v>199.80019980019981</v>
      </c>
      <c r="I60">
        <f t="shared" si="5"/>
        <v>1.7857142857142856</v>
      </c>
      <c r="J60">
        <f t="shared" si="6"/>
        <v>34.232434232434237</v>
      </c>
      <c r="K60">
        <f t="shared" si="7"/>
        <v>16.8</v>
      </c>
    </row>
    <row r="61" spans="7:11" x14ac:dyDescent="0.2">
      <c r="G61">
        <v>150</v>
      </c>
      <c r="H61">
        <f t="shared" si="4"/>
        <v>249.75024975024974</v>
      </c>
      <c r="I61">
        <f t="shared" si="5"/>
        <v>2.2321428571428568</v>
      </c>
      <c r="J61">
        <f t="shared" si="6"/>
        <v>34.232434232434237</v>
      </c>
      <c r="K61">
        <f t="shared" si="7"/>
        <v>13.440000000000003</v>
      </c>
    </row>
    <row r="62" spans="7:11" x14ac:dyDescent="0.2">
      <c r="G62">
        <v>200</v>
      </c>
      <c r="H62">
        <f t="shared" si="4"/>
        <v>333.000333000333</v>
      </c>
      <c r="I62">
        <f t="shared" si="5"/>
        <v>2.9761904761904758</v>
      </c>
      <c r="J62">
        <f t="shared" si="6"/>
        <v>34.23243423243423</v>
      </c>
      <c r="K62">
        <f t="shared" si="7"/>
        <v>10.080000000000002</v>
      </c>
    </row>
    <row r="63" spans="7:11" x14ac:dyDescent="0.2">
      <c r="G63">
        <v>250</v>
      </c>
      <c r="H63">
        <f t="shared" si="4"/>
        <v>416.25041625041621</v>
      </c>
      <c r="I63">
        <f t="shared" si="5"/>
        <v>3.7202380952380945</v>
      </c>
      <c r="J63">
        <f t="shared" si="6"/>
        <v>34.232434232434244</v>
      </c>
      <c r="K63">
        <f t="shared" si="7"/>
        <v>8.0640000000000018</v>
      </c>
    </row>
    <row r="64" spans="7:11" x14ac:dyDescent="0.2">
      <c r="G64">
        <v>300</v>
      </c>
      <c r="H64">
        <f t="shared" si="4"/>
        <v>499.50049950049947</v>
      </c>
      <c r="I64">
        <f t="shared" si="5"/>
        <v>4.4642857142857135</v>
      </c>
      <c r="J64">
        <f t="shared" si="6"/>
        <v>34.232434232434237</v>
      </c>
      <c r="K64">
        <f t="shared" si="7"/>
        <v>6.7200000000000015</v>
      </c>
    </row>
    <row r="65" spans="7:11" x14ac:dyDescent="0.2">
      <c r="G65">
        <v>350</v>
      </c>
      <c r="H65">
        <f t="shared" si="4"/>
        <v>582.75058275058268</v>
      </c>
      <c r="I65">
        <f t="shared" si="5"/>
        <v>5.2083333333333321</v>
      </c>
      <c r="J65">
        <f t="shared" si="6"/>
        <v>34.232434232434237</v>
      </c>
      <c r="K65">
        <f t="shared" si="7"/>
        <v>5.7600000000000016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9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28.1640625" style="1" customWidth="1"/>
    <col min="3" max="3" width="34.5" style="7" customWidth="1"/>
    <col min="4" max="4" width="9.1640625" style="2"/>
    <col min="5" max="5" width="9.1640625" style="7"/>
    <col min="7" max="7" width="24.1640625" customWidth="1"/>
    <col min="10" max="10" width="21.83203125" customWidth="1"/>
    <col min="11" max="11" width="22.83203125" customWidth="1"/>
  </cols>
  <sheetData>
    <row r="2" spans="2:7" ht="16" x14ac:dyDescent="0.2">
      <c r="B2" s="3" t="s">
        <v>80</v>
      </c>
    </row>
    <row r="3" spans="2:7" s="5" customFormat="1" x14ac:dyDescent="0.2">
      <c r="B3" s="5" t="s">
        <v>63</v>
      </c>
      <c r="C3" s="6">
        <v>33</v>
      </c>
      <c r="D3" s="4"/>
      <c r="E3" s="6"/>
    </row>
    <row r="4" spans="2:7" x14ac:dyDescent="0.2">
      <c r="G4" t="s">
        <v>64</v>
      </c>
    </row>
    <row r="5" spans="2:7" x14ac:dyDescent="0.2">
      <c r="G5" t="s">
        <v>65</v>
      </c>
    </row>
    <row r="6" spans="2:7" ht="16" x14ac:dyDescent="0.2">
      <c r="B6" s="1" t="s">
        <v>5</v>
      </c>
      <c r="C6" s="7">
        <v>114</v>
      </c>
      <c r="D6" s="2" t="s">
        <v>81</v>
      </c>
    </row>
    <row r="7" spans="2:7" ht="16" x14ac:dyDescent="0.2">
      <c r="B7" s="1" t="s">
        <v>7</v>
      </c>
      <c r="C7" s="7" t="s">
        <v>8</v>
      </c>
    </row>
    <row r="8" spans="2:7" ht="16" x14ac:dyDescent="0.2">
      <c r="B8" s="1" t="s">
        <v>9</v>
      </c>
      <c r="C8" s="7" t="s">
        <v>82</v>
      </c>
      <c r="D8" s="2" t="s">
        <v>83</v>
      </c>
    </row>
    <row r="9" spans="2:7" ht="16" x14ac:dyDescent="0.2">
      <c r="B9" s="1" t="s">
        <v>11</v>
      </c>
      <c r="C9" s="7">
        <v>8</v>
      </c>
    </row>
    <row r="10" spans="2:7" ht="16" x14ac:dyDescent="0.2">
      <c r="B10" s="1" t="s">
        <v>13</v>
      </c>
      <c r="C10" s="7">
        <v>12</v>
      </c>
    </row>
    <row r="11" spans="2:7" ht="32" x14ac:dyDescent="0.2">
      <c r="B11" s="1" t="s">
        <v>14</v>
      </c>
      <c r="C11" s="7" t="s">
        <v>69</v>
      </c>
      <c r="G11" t="s">
        <v>84</v>
      </c>
    </row>
    <row r="12" spans="2:7" ht="16" x14ac:dyDescent="0.2">
      <c r="B12" s="1" t="s">
        <v>15</v>
      </c>
      <c r="C12" s="7">
        <v>1</v>
      </c>
      <c r="G12" t="s">
        <v>85</v>
      </c>
    </row>
    <row r="13" spans="2:7" ht="16" x14ac:dyDescent="0.2">
      <c r="B13" s="1" t="s">
        <v>16</v>
      </c>
      <c r="C13" s="7">
        <v>3.75</v>
      </c>
    </row>
    <row r="14" spans="2:7" ht="16" x14ac:dyDescent="0.2">
      <c r="B14" s="1" t="s">
        <v>17</v>
      </c>
      <c r="C14" s="7">
        <v>4.2</v>
      </c>
    </row>
    <row r="15" spans="2:7" ht="16" x14ac:dyDescent="0.2">
      <c r="B15" s="1" t="s">
        <v>18</v>
      </c>
      <c r="C15" s="7">
        <f>8*12*3.75</f>
        <v>360</v>
      </c>
    </row>
    <row r="16" spans="2:7" ht="16" x14ac:dyDescent="0.2">
      <c r="B16" s="1" t="s">
        <v>19</v>
      </c>
      <c r="C16" s="7">
        <f>8*12*4.2</f>
        <v>403.20000000000005</v>
      </c>
    </row>
    <row r="17" spans="2:13" ht="16" x14ac:dyDescent="0.2">
      <c r="B17" s="1" t="s">
        <v>20</v>
      </c>
      <c r="C17" s="7" t="s">
        <v>69</v>
      </c>
    </row>
    <row r="18" spans="2:13" ht="16" x14ac:dyDescent="0.2">
      <c r="B18" s="1" t="s">
        <v>21</v>
      </c>
      <c r="C18" s="7" t="e">
        <f>C19/C11</f>
        <v>#VALUE!</v>
      </c>
    </row>
    <row r="19" spans="2:13" ht="16" x14ac:dyDescent="0.2">
      <c r="B19" s="1" t="s">
        <v>22</v>
      </c>
      <c r="C19" s="7">
        <v>94</v>
      </c>
    </row>
    <row r="20" spans="2:13" ht="16" x14ac:dyDescent="0.2">
      <c r="B20" s="1" t="s">
        <v>23</v>
      </c>
      <c r="C20" s="6">
        <f>C19*C15/1000</f>
        <v>33.840000000000003</v>
      </c>
      <c r="D20" s="2" t="s">
        <v>86</v>
      </c>
    </row>
    <row r="22" spans="2:13" ht="16" x14ac:dyDescent="0.2">
      <c r="B22" s="1" t="s">
        <v>24</v>
      </c>
    </row>
    <row r="23" spans="2:13" x14ac:dyDescent="0.2">
      <c r="G23" t="s">
        <v>25</v>
      </c>
      <c r="H23" t="s">
        <v>26</v>
      </c>
      <c r="I23" s="8" t="s">
        <v>27</v>
      </c>
      <c r="J23" t="s">
        <v>28</v>
      </c>
      <c r="K23" t="s">
        <v>29</v>
      </c>
    </row>
    <row r="24" spans="2:13" ht="16" x14ac:dyDescent="0.2">
      <c r="B24" s="1" t="s">
        <v>30</v>
      </c>
      <c r="C24" s="7" t="s">
        <v>69</v>
      </c>
      <c r="G24" t="s">
        <v>31</v>
      </c>
      <c r="H24" t="e">
        <f>(C24*1000)/C16</f>
        <v>#VALUE!</v>
      </c>
      <c r="I24" s="8" t="e">
        <f>H24/C19</f>
        <v>#VALUE!</v>
      </c>
      <c r="J24" t="e">
        <f>C20/C24</f>
        <v>#VALUE!</v>
      </c>
      <c r="K24" t="e">
        <f>C19/H24</f>
        <v>#VALUE!</v>
      </c>
    </row>
    <row r="25" spans="2:13" ht="16" x14ac:dyDescent="0.2">
      <c r="B25" s="1" t="s">
        <v>32</v>
      </c>
      <c r="C25" s="7">
        <v>7.4</v>
      </c>
      <c r="G25" t="s">
        <v>33</v>
      </c>
      <c r="H25">
        <f>C25*1000/C16</f>
        <v>18.353174603174601</v>
      </c>
      <c r="I25" s="8">
        <f>H25/C19</f>
        <v>0.19524653833164468</v>
      </c>
      <c r="J25">
        <f>C20/C25</f>
        <v>4.5729729729729733</v>
      </c>
      <c r="K25">
        <f>C19/H25</f>
        <v>5.1217297297297302</v>
      </c>
    </row>
    <row r="26" spans="2:13" ht="16" x14ac:dyDescent="0.2">
      <c r="B26" s="1" t="s">
        <v>34</v>
      </c>
      <c r="C26" s="7">
        <v>50</v>
      </c>
      <c r="G26" s="1" t="s">
        <v>87</v>
      </c>
      <c r="H26">
        <f>C26*1000/C16</f>
        <v>124.00793650793649</v>
      </c>
      <c r="I26" s="8">
        <f>H26/C19</f>
        <v>1.3192333671057073</v>
      </c>
      <c r="M26" t="s">
        <v>88</v>
      </c>
    </row>
    <row r="27" spans="2:13" x14ac:dyDescent="0.2">
      <c r="I27" s="8"/>
    </row>
    <row r="28" spans="2:13" x14ac:dyDescent="0.2">
      <c r="I28" s="8"/>
    </row>
    <row r="29" spans="2:13" x14ac:dyDescent="0.2">
      <c r="I29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03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8.1640625" style="1" customWidth="1"/>
    <col min="3" max="3" width="34.5" style="7" customWidth="1"/>
    <col min="4" max="4" width="18.1640625" style="2" customWidth="1"/>
    <col min="5" max="5" width="9.1640625" style="7"/>
    <col min="7" max="7" width="27.83203125" customWidth="1"/>
    <col min="9" max="9" width="17.5" customWidth="1"/>
    <col min="10" max="10" width="21.83203125" customWidth="1"/>
    <col min="11" max="11" width="22.83203125" customWidth="1"/>
  </cols>
  <sheetData>
    <row r="2" spans="2:7" ht="16" x14ac:dyDescent="0.2">
      <c r="B2" s="3" t="s">
        <v>89</v>
      </c>
    </row>
    <row r="3" spans="2:7" s="5" customFormat="1" x14ac:dyDescent="0.2">
      <c r="B3" s="5" t="s">
        <v>63</v>
      </c>
      <c r="C3" s="6">
        <v>85</v>
      </c>
      <c r="D3" s="4"/>
      <c r="E3" s="6"/>
    </row>
    <row r="4" spans="2:7" x14ac:dyDescent="0.2">
      <c r="G4" t="s">
        <v>64</v>
      </c>
    </row>
    <row r="5" spans="2:7" x14ac:dyDescent="0.2">
      <c r="G5" t="s">
        <v>65</v>
      </c>
    </row>
    <row r="6" spans="2:7" ht="16" x14ac:dyDescent="0.2">
      <c r="B6" s="1" t="s">
        <v>5</v>
      </c>
      <c r="C6" s="7" t="s">
        <v>90</v>
      </c>
      <c r="G6" t="s">
        <v>66</v>
      </c>
    </row>
    <row r="7" spans="2:7" ht="16" x14ac:dyDescent="0.2">
      <c r="B7" s="1" t="s">
        <v>7</v>
      </c>
      <c r="C7" s="7" t="s">
        <v>8</v>
      </c>
      <c r="D7" s="19" t="s">
        <v>91</v>
      </c>
      <c r="G7" t="s">
        <v>67</v>
      </c>
    </row>
    <row r="8" spans="2:7" ht="64" x14ac:dyDescent="0.2">
      <c r="B8" s="1" t="s">
        <v>9</v>
      </c>
      <c r="C8" s="7" t="s">
        <v>92</v>
      </c>
      <c r="D8" s="20" t="s">
        <v>93</v>
      </c>
    </row>
    <row r="9" spans="2:7" ht="16" x14ac:dyDescent="0.2">
      <c r="B9" s="1" t="s">
        <v>11</v>
      </c>
      <c r="C9" s="7">
        <v>96</v>
      </c>
      <c r="D9" s="2" t="s">
        <v>94</v>
      </c>
    </row>
    <row r="10" spans="2:7" ht="48" x14ac:dyDescent="0.2">
      <c r="B10" s="1" t="s">
        <v>95</v>
      </c>
      <c r="C10" s="7">
        <v>74</v>
      </c>
      <c r="D10" s="20" t="s">
        <v>96</v>
      </c>
    </row>
    <row r="11" spans="2:7" ht="32" x14ac:dyDescent="0.2">
      <c r="B11" s="1" t="s">
        <v>14</v>
      </c>
      <c r="C11" s="7">
        <v>74</v>
      </c>
    </row>
    <row r="12" spans="2:7" ht="16" x14ac:dyDescent="0.2">
      <c r="B12" s="1" t="s">
        <v>15</v>
      </c>
      <c r="C12" s="7">
        <v>1</v>
      </c>
    </row>
    <row r="13" spans="2:7" ht="16" x14ac:dyDescent="0.2">
      <c r="B13" s="1" t="s">
        <v>16</v>
      </c>
      <c r="C13" s="7" t="s">
        <v>97</v>
      </c>
    </row>
    <row r="14" spans="2:7" ht="16" x14ac:dyDescent="0.2">
      <c r="B14" s="1" t="s">
        <v>17</v>
      </c>
      <c r="C14" s="7">
        <v>4.2</v>
      </c>
    </row>
    <row r="15" spans="2:7" ht="32" x14ac:dyDescent="0.2">
      <c r="B15" s="1" t="s">
        <v>18</v>
      </c>
      <c r="C15" s="7">
        <v>360</v>
      </c>
      <c r="D15" s="20" t="s">
        <v>98</v>
      </c>
    </row>
    <row r="16" spans="2:7" ht="16" x14ac:dyDescent="0.2">
      <c r="B16" s="1" t="s">
        <v>19</v>
      </c>
      <c r="C16" s="7">
        <f>C9*C14</f>
        <v>403.20000000000005</v>
      </c>
    </row>
    <row r="17" spans="2:16" ht="16" x14ac:dyDescent="0.2">
      <c r="B17" s="1" t="s">
        <v>20</v>
      </c>
      <c r="C17" s="7" t="s">
        <v>69</v>
      </c>
    </row>
    <row r="18" spans="2:16" ht="16" x14ac:dyDescent="0.2">
      <c r="B18" s="1" t="s">
        <v>21</v>
      </c>
      <c r="C18" s="7">
        <v>3.4</v>
      </c>
      <c r="D18" s="2" t="s">
        <v>99</v>
      </c>
    </row>
    <row r="19" spans="2:16" ht="73" x14ac:dyDescent="0.2">
      <c r="B19" s="1" t="s">
        <v>22</v>
      </c>
      <c r="C19" s="7">
        <f>C3*1000/C15</f>
        <v>236.11111111111111</v>
      </c>
      <c r="I19" s="21" t="s">
        <v>100</v>
      </c>
    </row>
    <row r="20" spans="2:16" ht="16" x14ac:dyDescent="0.2">
      <c r="B20" s="1" t="s">
        <v>23</v>
      </c>
      <c r="C20" s="6">
        <f>C19*C15/1000</f>
        <v>85</v>
      </c>
    </row>
    <row r="22" spans="2:16" ht="16" x14ac:dyDescent="0.2">
      <c r="B22" s="1" t="s">
        <v>24</v>
      </c>
    </row>
    <row r="23" spans="2:16" x14ac:dyDescent="0.2">
      <c r="G23" t="s">
        <v>25</v>
      </c>
      <c r="H23" t="s">
        <v>26</v>
      </c>
      <c r="I23" s="8" t="s">
        <v>27</v>
      </c>
      <c r="J23" t="s">
        <v>28</v>
      </c>
      <c r="K23" t="s">
        <v>29</v>
      </c>
      <c r="L23" t="s">
        <v>101</v>
      </c>
    </row>
    <row r="24" spans="2:16" ht="16" x14ac:dyDescent="0.2">
      <c r="B24" s="1" t="s">
        <v>30</v>
      </c>
      <c r="C24" s="7">
        <v>1.8</v>
      </c>
      <c r="G24" t="s">
        <v>102</v>
      </c>
      <c r="H24">
        <f>(C24*1000)/C16</f>
        <v>4.4642857142857135</v>
      </c>
      <c r="I24" s="8">
        <f>H24/C19</f>
        <v>1.8907563025210079E-2</v>
      </c>
      <c r="J24">
        <f>C20/C24</f>
        <v>47.222222222222221</v>
      </c>
      <c r="K24">
        <f>C19/H24</f>
        <v>52.8888888888889</v>
      </c>
      <c r="P24" t="s">
        <v>103</v>
      </c>
    </row>
    <row r="25" spans="2:16" ht="16" x14ac:dyDescent="0.2">
      <c r="B25" s="1" t="s">
        <v>32</v>
      </c>
      <c r="C25" s="7">
        <v>10</v>
      </c>
      <c r="G25" t="s">
        <v>104</v>
      </c>
      <c r="H25">
        <f>C25*1000/C16</f>
        <v>24.801587301587301</v>
      </c>
      <c r="I25" s="8">
        <f>H25/C19</f>
        <v>0.10504201680672268</v>
      </c>
      <c r="J25">
        <f>C20/C25</f>
        <v>8.5</v>
      </c>
      <c r="K25">
        <f>C19/H25</f>
        <v>9.5200000000000014</v>
      </c>
    </row>
    <row r="26" spans="2:16" ht="32" x14ac:dyDescent="0.2">
      <c r="B26" s="1" t="s">
        <v>34</v>
      </c>
      <c r="C26" s="7" t="s">
        <v>105</v>
      </c>
      <c r="G26" s="1" t="s">
        <v>106</v>
      </c>
      <c r="H26">
        <f>(120*1000)/C16</f>
        <v>297.61904761904759</v>
      </c>
      <c r="I26" s="8">
        <f>H26/C19</f>
        <v>1.2605042016806722</v>
      </c>
      <c r="J26">
        <f>C20/120</f>
        <v>0.70833333333333337</v>
      </c>
      <c r="K26">
        <f>C19/H26</f>
        <v>0.79333333333333345</v>
      </c>
      <c r="L26" t="s">
        <v>107</v>
      </c>
    </row>
    <row r="27" spans="2:16" x14ac:dyDescent="0.2">
      <c r="G27" t="s">
        <v>108</v>
      </c>
      <c r="H27">
        <f>(150*1000)/C16</f>
        <v>372.02380952380946</v>
      </c>
      <c r="I27" s="8">
        <f>H27/C19</f>
        <v>1.5756302521008401</v>
      </c>
      <c r="J27">
        <f>C20/135</f>
        <v>0.62962962962962965</v>
      </c>
      <c r="L27" t="s">
        <v>109</v>
      </c>
    </row>
    <row r="28" spans="2:16" x14ac:dyDescent="0.2">
      <c r="G28" t="s">
        <v>110</v>
      </c>
      <c r="I28" s="8"/>
      <c r="J28">
        <f>C20/150</f>
        <v>0.56666666666666665</v>
      </c>
    </row>
    <row r="29" spans="2:16" x14ac:dyDescent="0.2">
      <c r="I29" s="8"/>
    </row>
    <row r="30" spans="2:16" x14ac:dyDescent="0.2">
      <c r="G30" t="s">
        <v>111</v>
      </c>
    </row>
    <row r="31" spans="2:16" x14ac:dyDescent="0.2">
      <c r="G31" t="s">
        <v>59</v>
      </c>
    </row>
    <row r="32" spans="2:16" x14ac:dyDescent="0.2">
      <c r="G32" t="s">
        <v>60</v>
      </c>
      <c r="H32" t="s">
        <v>26</v>
      </c>
      <c r="I32" t="s">
        <v>27</v>
      </c>
      <c r="J32" t="s">
        <v>61</v>
      </c>
    </row>
    <row r="33" spans="7:13" x14ac:dyDescent="0.2">
      <c r="G33">
        <v>1.8</v>
      </c>
      <c r="H33">
        <f t="shared" ref="H33:H43" si="0">(1000*G33)/C$16</f>
        <v>4.4642857142857135</v>
      </c>
      <c r="I33">
        <f>H33/250</f>
        <v>1.7857142857142853E-2</v>
      </c>
      <c r="J33">
        <f>(60/I33)*0.5</f>
        <v>1680.0000000000005</v>
      </c>
      <c r="L33">
        <v>120</v>
      </c>
      <c r="M33">
        <v>0</v>
      </c>
    </row>
    <row r="34" spans="7:13" x14ac:dyDescent="0.2">
      <c r="G34">
        <v>10</v>
      </c>
      <c r="H34">
        <f t="shared" si="0"/>
        <v>24.801587301587301</v>
      </c>
      <c r="I34">
        <f t="shared" ref="I34:I36" si="1">H34/250</f>
        <v>9.9206349206349201E-2</v>
      </c>
      <c r="J34">
        <f t="shared" ref="J34" si="2">(60/I34)*0.5</f>
        <v>302.40000000000003</v>
      </c>
      <c r="L34">
        <v>120</v>
      </c>
      <c r="M34">
        <v>500</v>
      </c>
    </row>
    <row r="35" spans="7:13" x14ac:dyDescent="0.2">
      <c r="G35">
        <v>50</v>
      </c>
      <c r="H35">
        <f t="shared" si="0"/>
        <v>124.00793650793649</v>
      </c>
      <c r="I35">
        <f t="shared" si="1"/>
        <v>0.49603174603174599</v>
      </c>
      <c r="J35">
        <f>(60/I37)*0.5</f>
        <v>25.2</v>
      </c>
      <c r="L35">
        <v>120</v>
      </c>
      <c r="M35">
        <v>1000</v>
      </c>
    </row>
    <row r="36" spans="7:13" x14ac:dyDescent="0.2">
      <c r="G36">
        <v>100</v>
      </c>
      <c r="H36">
        <f t="shared" si="0"/>
        <v>248.01587301587298</v>
      </c>
      <c r="I36">
        <f t="shared" si="1"/>
        <v>0.99206349206349198</v>
      </c>
    </row>
    <row r="37" spans="7:13" x14ac:dyDescent="0.2">
      <c r="G37">
        <v>120</v>
      </c>
      <c r="H37">
        <f t="shared" si="0"/>
        <v>297.61904761904759</v>
      </c>
      <c r="I37">
        <f t="shared" ref="I37:I43" si="3">H37/250</f>
        <v>1.1904761904761905</v>
      </c>
      <c r="J37">
        <f t="shared" ref="J37:J42" si="4">(60/I38)*0.5</f>
        <v>22.400000000000002</v>
      </c>
    </row>
    <row r="38" spans="7:13" x14ac:dyDescent="0.2">
      <c r="G38">
        <v>135</v>
      </c>
      <c r="H38">
        <f t="shared" si="0"/>
        <v>334.82142857142856</v>
      </c>
      <c r="I38">
        <f t="shared" si="3"/>
        <v>1.3392857142857142</v>
      </c>
      <c r="J38">
        <f t="shared" si="4"/>
        <v>20.160000000000004</v>
      </c>
    </row>
    <row r="39" spans="7:13" x14ac:dyDescent="0.2">
      <c r="G39">
        <v>150</v>
      </c>
      <c r="H39">
        <f t="shared" si="0"/>
        <v>372.02380952380946</v>
      </c>
      <c r="I39">
        <f t="shared" si="3"/>
        <v>1.4880952380952379</v>
      </c>
      <c r="J39">
        <f t="shared" si="4"/>
        <v>15.120000000000001</v>
      </c>
    </row>
    <row r="40" spans="7:13" x14ac:dyDescent="0.2">
      <c r="G40">
        <v>200</v>
      </c>
      <c r="H40">
        <f t="shared" si="0"/>
        <v>496.03174603174597</v>
      </c>
      <c r="I40">
        <f t="shared" si="3"/>
        <v>1.984126984126984</v>
      </c>
      <c r="J40">
        <f t="shared" si="4"/>
        <v>12.096000000000002</v>
      </c>
    </row>
    <row r="41" spans="7:13" x14ac:dyDescent="0.2">
      <c r="G41">
        <v>250</v>
      </c>
      <c r="H41">
        <f t="shared" si="0"/>
        <v>620.03968253968242</v>
      </c>
      <c r="I41">
        <f t="shared" si="3"/>
        <v>2.4801587301587298</v>
      </c>
      <c r="J41">
        <f t="shared" si="4"/>
        <v>10.080000000000002</v>
      </c>
    </row>
    <row r="42" spans="7:13" x14ac:dyDescent="0.2">
      <c r="G42">
        <v>300</v>
      </c>
      <c r="H42">
        <f t="shared" si="0"/>
        <v>744.04761904761892</v>
      </c>
      <c r="I42">
        <f t="shared" si="3"/>
        <v>2.9761904761904758</v>
      </c>
      <c r="J42">
        <f t="shared" si="4"/>
        <v>8.64</v>
      </c>
    </row>
    <row r="43" spans="7:13" x14ac:dyDescent="0.2">
      <c r="G43">
        <v>350</v>
      </c>
      <c r="H43">
        <f t="shared" si="0"/>
        <v>868.05555555555543</v>
      </c>
      <c r="I43">
        <f t="shared" si="3"/>
        <v>3.4722222222222219</v>
      </c>
    </row>
    <row r="45" spans="7:13" x14ac:dyDescent="0.2">
      <c r="G45" t="s">
        <v>74</v>
      </c>
    </row>
    <row r="46" spans="7:13" x14ac:dyDescent="0.2">
      <c r="G46" t="s">
        <v>75</v>
      </c>
      <c r="H46">
        <f>90000/H48</f>
        <v>168.91891891891891</v>
      </c>
      <c r="J46">
        <f>H46*H48</f>
        <v>90000</v>
      </c>
    </row>
    <row r="47" spans="7:13" x14ac:dyDescent="0.2">
      <c r="G47" t="s">
        <v>76</v>
      </c>
      <c r="H47">
        <v>144</v>
      </c>
    </row>
    <row r="48" spans="7:13" x14ac:dyDescent="0.2">
      <c r="G48" t="s">
        <v>77</v>
      </c>
      <c r="H48">
        <f>H47*3.7</f>
        <v>532.80000000000007</v>
      </c>
    </row>
    <row r="49" spans="7:13" x14ac:dyDescent="0.2">
      <c r="G49" t="s">
        <v>78</v>
      </c>
      <c r="H49">
        <f>H47*4.2</f>
        <v>604.80000000000007</v>
      </c>
    </row>
    <row r="50" spans="7:13" x14ac:dyDescent="0.2">
      <c r="G50" t="s">
        <v>60</v>
      </c>
      <c r="H50" t="s">
        <v>26</v>
      </c>
      <c r="I50" t="s">
        <v>27</v>
      </c>
      <c r="J50" t="s">
        <v>79</v>
      </c>
      <c r="K50" t="s">
        <v>112</v>
      </c>
      <c r="L50">
        <f>100*(250-H46)/250</f>
        <v>32.432432432432435</v>
      </c>
    </row>
    <row r="51" spans="7:13" x14ac:dyDescent="0.2">
      <c r="G51">
        <v>1.8</v>
      </c>
      <c r="H51">
        <f>(1000*G51)/H$49</f>
        <v>2.9761904761904758</v>
      </c>
      <c r="I51">
        <f>H51/H$46</f>
        <v>1.7619047619047618E-2</v>
      </c>
      <c r="J51">
        <f>100*(H33-H51)/H33</f>
        <v>33.333333333333329</v>
      </c>
      <c r="M51">
        <v>300</v>
      </c>
    </row>
    <row r="52" spans="7:13" x14ac:dyDescent="0.2">
      <c r="G52">
        <v>10</v>
      </c>
      <c r="H52">
        <f t="shared" ref="H52:H54" si="5">(1000*G52)/H$49</f>
        <v>16.534391534391531</v>
      </c>
      <c r="I52">
        <f t="shared" ref="I52:I62" si="6">H52/H$46</f>
        <v>9.7883597883597878E-2</v>
      </c>
      <c r="J52">
        <f t="shared" ref="J52:J57" si="7">100*(H34-H52)/H34</f>
        <v>33.333333333333343</v>
      </c>
      <c r="M52">
        <v>300</v>
      </c>
    </row>
    <row r="53" spans="7:13" x14ac:dyDescent="0.2">
      <c r="G53">
        <v>50</v>
      </c>
      <c r="H53">
        <f t="shared" si="5"/>
        <v>82.671957671957657</v>
      </c>
      <c r="I53">
        <f t="shared" si="6"/>
        <v>0.48941798941798936</v>
      </c>
      <c r="J53">
        <f t="shared" si="7"/>
        <v>33.333333333333343</v>
      </c>
      <c r="M53">
        <v>300</v>
      </c>
    </row>
    <row r="54" spans="7:13" x14ac:dyDescent="0.2">
      <c r="G54">
        <v>100</v>
      </c>
      <c r="H54">
        <f t="shared" si="5"/>
        <v>165.34391534391531</v>
      </c>
      <c r="I54">
        <f t="shared" si="6"/>
        <v>0.97883597883597873</v>
      </c>
      <c r="J54">
        <f t="shared" si="7"/>
        <v>33.333333333333343</v>
      </c>
      <c r="M54">
        <v>300</v>
      </c>
    </row>
    <row r="55" spans="7:13" x14ac:dyDescent="0.2">
      <c r="G55">
        <v>120</v>
      </c>
      <c r="H55">
        <f t="shared" ref="H55:H62" si="8">(1000*G55)/H$49</f>
        <v>198.4126984126984</v>
      </c>
      <c r="I55">
        <f t="shared" si="6"/>
        <v>1.1746031746031746</v>
      </c>
      <c r="J55">
        <f t="shared" si="7"/>
        <v>33.333333333333329</v>
      </c>
      <c r="M55">
        <v>300</v>
      </c>
    </row>
    <row r="56" spans="7:13" x14ac:dyDescent="0.2">
      <c r="G56">
        <v>135</v>
      </c>
      <c r="H56">
        <f t="shared" si="8"/>
        <v>223.21428571428569</v>
      </c>
      <c r="I56">
        <f t="shared" si="6"/>
        <v>1.3214285714285714</v>
      </c>
      <c r="J56">
        <f t="shared" si="7"/>
        <v>33.333333333333336</v>
      </c>
      <c r="M56">
        <v>300</v>
      </c>
    </row>
    <row r="57" spans="7:13" x14ac:dyDescent="0.2">
      <c r="G57">
        <v>150</v>
      </c>
      <c r="H57">
        <f t="shared" si="8"/>
        <v>248.01587301587298</v>
      </c>
      <c r="I57">
        <f t="shared" si="6"/>
        <v>1.4682539682539681</v>
      </c>
      <c r="J57">
        <f t="shared" si="7"/>
        <v>33.333333333333336</v>
      </c>
      <c r="M57">
        <v>300</v>
      </c>
    </row>
    <row r="58" spans="7:13" x14ac:dyDescent="0.2">
      <c r="G58">
        <v>180</v>
      </c>
      <c r="H58">
        <f t="shared" si="8"/>
        <v>297.61904761904759</v>
      </c>
      <c r="I58">
        <f t="shared" si="6"/>
        <v>1.7619047619047619</v>
      </c>
    </row>
    <row r="59" spans="7:13" x14ac:dyDescent="0.2">
      <c r="G59">
        <v>200</v>
      </c>
      <c r="H59">
        <f t="shared" si="8"/>
        <v>330.68783068783063</v>
      </c>
      <c r="I59">
        <f t="shared" si="6"/>
        <v>1.9576719576719575</v>
      </c>
      <c r="J59">
        <f>100*(H40-H59)/H40</f>
        <v>33.333333333333343</v>
      </c>
      <c r="M59">
        <v>300</v>
      </c>
    </row>
    <row r="60" spans="7:13" x14ac:dyDescent="0.2">
      <c r="G60">
        <v>250</v>
      </c>
      <c r="H60">
        <f t="shared" si="8"/>
        <v>413.3597883597883</v>
      </c>
      <c r="I60">
        <f t="shared" si="6"/>
        <v>2.447089947089947</v>
      </c>
      <c r="J60">
        <f>100*(H41-H60)/H41</f>
        <v>33.333333333333329</v>
      </c>
      <c r="M60">
        <v>300</v>
      </c>
    </row>
    <row r="61" spans="7:13" x14ac:dyDescent="0.2">
      <c r="G61">
        <v>300</v>
      </c>
      <c r="H61">
        <f t="shared" si="8"/>
        <v>496.03174603174597</v>
      </c>
      <c r="I61">
        <f t="shared" si="6"/>
        <v>2.9365079365079363</v>
      </c>
      <c r="J61">
        <f>100*(H42-H61)/H42</f>
        <v>33.333333333333336</v>
      </c>
      <c r="M61">
        <v>300</v>
      </c>
    </row>
    <row r="62" spans="7:13" x14ac:dyDescent="0.2">
      <c r="G62">
        <v>350</v>
      </c>
      <c r="H62">
        <f t="shared" si="8"/>
        <v>578.70370370370358</v>
      </c>
      <c r="I62">
        <f t="shared" si="6"/>
        <v>3.4259259259259256</v>
      </c>
      <c r="J62">
        <f>100*(H43-H62)/H43</f>
        <v>33.333333333333343</v>
      </c>
      <c r="M62">
        <v>300</v>
      </c>
    </row>
    <row r="66" spans="7:12" x14ac:dyDescent="0.2">
      <c r="G66" t="s">
        <v>113</v>
      </c>
    </row>
    <row r="67" spans="7:12" x14ac:dyDescent="0.2">
      <c r="G67" t="s">
        <v>75</v>
      </c>
      <c r="H67">
        <f>90000/H69</f>
        <v>127.35248337342577</v>
      </c>
      <c r="J67">
        <f>H67*H69</f>
        <v>90000</v>
      </c>
      <c r="L67">
        <f>100*(250-H67)/250</f>
        <v>49.059006650629691</v>
      </c>
    </row>
    <row r="68" spans="7:12" x14ac:dyDescent="0.2">
      <c r="G68" t="s">
        <v>76</v>
      </c>
      <c r="H68">
        <v>191</v>
      </c>
    </row>
    <row r="69" spans="7:12" x14ac:dyDescent="0.2">
      <c r="G69" t="s">
        <v>77</v>
      </c>
      <c r="H69">
        <f>H68*3.7</f>
        <v>706.7</v>
      </c>
    </row>
    <row r="70" spans="7:12" x14ac:dyDescent="0.2">
      <c r="G70" t="s">
        <v>78</v>
      </c>
      <c r="H70">
        <f>H68*4.2</f>
        <v>802.2</v>
      </c>
    </row>
    <row r="71" spans="7:12" x14ac:dyDescent="0.2">
      <c r="G71" t="s">
        <v>60</v>
      </c>
      <c r="H71" t="s">
        <v>26</v>
      </c>
      <c r="I71" t="s">
        <v>27</v>
      </c>
      <c r="J71" t="s">
        <v>79</v>
      </c>
    </row>
    <row r="72" spans="7:12" x14ac:dyDescent="0.2">
      <c r="G72">
        <v>1.8</v>
      </c>
      <c r="H72">
        <f>(1000*G72)/H$70</f>
        <v>2.2438294689603588</v>
      </c>
      <c r="I72">
        <f>H72/H$67</f>
        <v>1.7619047619047621E-2</v>
      </c>
      <c r="J72">
        <f t="shared" ref="J72:J82" si="9">100*(H33-H72)/H33</f>
        <v>49.738219895287955</v>
      </c>
    </row>
    <row r="73" spans="7:12" x14ac:dyDescent="0.2">
      <c r="G73">
        <v>10</v>
      </c>
      <c r="H73">
        <f t="shared" ref="H73:H82" si="10">(1000*G73)/H$70</f>
        <v>12.465719272001994</v>
      </c>
      <c r="I73">
        <f t="shared" ref="I73:I82" si="11">H73/H$67</f>
        <v>9.7883597883597892E-2</v>
      </c>
      <c r="J73">
        <f t="shared" si="9"/>
        <v>49.738219895287955</v>
      </c>
    </row>
    <row r="74" spans="7:12" x14ac:dyDescent="0.2">
      <c r="G74">
        <v>50</v>
      </c>
      <c r="H74">
        <f t="shared" si="10"/>
        <v>62.328596360009968</v>
      </c>
      <c r="I74">
        <f t="shared" si="11"/>
        <v>0.48941798941798942</v>
      </c>
      <c r="J74">
        <f t="shared" si="9"/>
        <v>49.738219895287955</v>
      </c>
    </row>
    <row r="75" spans="7:12" x14ac:dyDescent="0.2">
      <c r="G75">
        <v>100</v>
      </c>
      <c r="H75">
        <f t="shared" si="10"/>
        <v>124.65719272001994</v>
      </c>
      <c r="I75">
        <f t="shared" si="11"/>
        <v>0.97883597883597884</v>
      </c>
      <c r="J75">
        <f t="shared" si="9"/>
        <v>49.738219895287955</v>
      </c>
    </row>
    <row r="76" spans="7:12" x14ac:dyDescent="0.2">
      <c r="G76">
        <v>120</v>
      </c>
      <c r="H76">
        <f t="shared" si="10"/>
        <v>149.58863126402392</v>
      </c>
      <c r="I76">
        <f t="shared" si="11"/>
        <v>1.1746031746031746</v>
      </c>
      <c r="J76">
        <f t="shared" si="9"/>
        <v>49.738219895287962</v>
      </c>
    </row>
    <row r="77" spans="7:12" x14ac:dyDescent="0.2">
      <c r="G77">
        <v>135</v>
      </c>
      <c r="H77">
        <f t="shared" si="10"/>
        <v>168.2872101720269</v>
      </c>
      <c r="I77">
        <f t="shared" si="11"/>
        <v>1.3214285714285714</v>
      </c>
      <c r="J77">
        <f t="shared" si="9"/>
        <v>49.738219895287962</v>
      </c>
    </row>
    <row r="78" spans="7:12" x14ac:dyDescent="0.2">
      <c r="G78">
        <v>150</v>
      </c>
      <c r="H78">
        <f t="shared" si="10"/>
        <v>186.98578908002992</v>
      </c>
      <c r="I78">
        <f t="shared" si="11"/>
        <v>1.4682539682539684</v>
      </c>
      <c r="J78">
        <f t="shared" si="9"/>
        <v>49.738219895287948</v>
      </c>
    </row>
    <row r="79" spans="7:12" x14ac:dyDescent="0.2">
      <c r="G79">
        <v>200</v>
      </c>
      <c r="H79">
        <f t="shared" si="10"/>
        <v>249.31438544003987</v>
      </c>
      <c r="I79">
        <f t="shared" si="11"/>
        <v>1.9576719576719577</v>
      </c>
      <c r="J79">
        <f t="shared" si="9"/>
        <v>49.738219895287955</v>
      </c>
    </row>
    <row r="80" spans="7:12" x14ac:dyDescent="0.2">
      <c r="G80">
        <v>250</v>
      </c>
      <c r="H80">
        <f t="shared" si="10"/>
        <v>311.64298180004982</v>
      </c>
      <c r="I80">
        <f t="shared" si="11"/>
        <v>2.447089947089947</v>
      </c>
      <c r="J80">
        <f t="shared" si="9"/>
        <v>49.738219895287955</v>
      </c>
    </row>
    <row r="81" spans="7:12" x14ac:dyDescent="0.2">
      <c r="G81">
        <v>300</v>
      </c>
      <c r="H81">
        <f t="shared" si="10"/>
        <v>373.97157816005983</v>
      </c>
      <c r="I81">
        <f t="shared" si="11"/>
        <v>2.9365079365079367</v>
      </c>
      <c r="J81">
        <f t="shared" si="9"/>
        <v>49.738219895287948</v>
      </c>
    </row>
    <row r="82" spans="7:12" x14ac:dyDescent="0.2">
      <c r="G82">
        <v>350</v>
      </c>
      <c r="H82">
        <f t="shared" si="10"/>
        <v>436.30017452006979</v>
      </c>
      <c r="I82">
        <f t="shared" si="11"/>
        <v>3.425925925925926</v>
      </c>
      <c r="J82">
        <f t="shared" si="9"/>
        <v>49.738219895287948</v>
      </c>
    </row>
    <row r="87" spans="7:12" x14ac:dyDescent="0.2">
      <c r="G87" t="s">
        <v>114</v>
      </c>
    </row>
    <row r="88" spans="7:12" x14ac:dyDescent="0.2">
      <c r="G88" t="s">
        <v>75</v>
      </c>
      <c r="H88">
        <f>90000/H90</f>
        <v>101.77541558294696</v>
      </c>
      <c r="J88">
        <f>H88*H90</f>
        <v>90000</v>
      </c>
      <c r="L88">
        <f>100*(250-H88)/250</f>
        <v>59.289833766821218</v>
      </c>
    </row>
    <row r="89" spans="7:12" x14ac:dyDescent="0.2">
      <c r="G89" t="s">
        <v>76</v>
      </c>
      <c r="H89">
        <v>239</v>
      </c>
    </row>
    <row r="90" spans="7:12" x14ac:dyDescent="0.2">
      <c r="G90" t="s">
        <v>77</v>
      </c>
      <c r="H90">
        <f>H89*3.7</f>
        <v>884.30000000000007</v>
      </c>
    </row>
    <row r="91" spans="7:12" x14ac:dyDescent="0.2">
      <c r="G91" t="s">
        <v>78</v>
      </c>
      <c r="H91">
        <f>H89*4.2</f>
        <v>1003.8000000000001</v>
      </c>
    </row>
    <row r="92" spans="7:12" x14ac:dyDescent="0.2">
      <c r="G92" t="s">
        <v>60</v>
      </c>
      <c r="H92" t="s">
        <v>26</v>
      </c>
      <c r="I92" t="s">
        <v>27</v>
      </c>
      <c r="J92" t="s">
        <v>79</v>
      </c>
    </row>
    <row r="93" spans="7:12" x14ac:dyDescent="0.2">
      <c r="G93">
        <v>1.8</v>
      </c>
      <c r="H93">
        <f>(1000*G93)/H$91</f>
        <v>1.7931858936043035</v>
      </c>
      <c r="I93">
        <f>H93/H$67</f>
        <v>1.4080494122335127E-2</v>
      </c>
      <c r="J93">
        <f t="shared" ref="J93:J103" si="12">100*(H33-H93)/H33</f>
        <v>59.832635983263593</v>
      </c>
    </row>
    <row r="94" spans="7:12" x14ac:dyDescent="0.2">
      <c r="G94">
        <v>10</v>
      </c>
      <c r="H94">
        <f t="shared" ref="H94:H102" si="13">(1000*G94)/H$91</f>
        <v>9.962143853357242</v>
      </c>
      <c r="I94">
        <f t="shared" ref="I94:I103" si="14">H94/H$67</f>
        <v>7.8224967346306268E-2</v>
      </c>
      <c r="J94">
        <f t="shared" si="12"/>
        <v>59.8326359832636</v>
      </c>
    </row>
    <row r="95" spans="7:12" x14ac:dyDescent="0.2">
      <c r="G95">
        <v>50</v>
      </c>
      <c r="H95">
        <f t="shared" si="13"/>
        <v>49.810719266786208</v>
      </c>
      <c r="I95">
        <f t="shared" si="14"/>
        <v>0.39112483673153131</v>
      </c>
      <c r="J95">
        <f t="shared" si="12"/>
        <v>59.832635983263593</v>
      </c>
    </row>
    <row r="96" spans="7:12" x14ac:dyDescent="0.2">
      <c r="G96">
        <v>100</v>
      </c>
      <c r="H96">
        <f t="shared" si="13"/>
        <v>99.621438533572416</v>
      </c>
      <c r="I96">
        <f t="shared" si="14"/>
        <v>0.78224967346306262</v>
      </c>
      <c r="J96">
        <f t="shared" si="12"/>
        <v>59.832635983263593</v>
      </c>
    </row>
    <row r="97" spans="7:10" x14ac:dyDescent="0.2">
      <c r="G97">
        <v>120</v>
      </c>
      <c r="H97">
        <f t="shared" si="13"/>
        <v>119.5457262402869</v>
      </c>
      <c r="I97">
        <f t="shared" si="14"/>
        <v>0.9386996081556751</v>
      </c>
      <c r="J97">
        <f t="shared" si="12"/>
        <v>59.832635983263586</v>
      </c>
    </row>
    <row r="98" spans="7:10" x14ac:dyDescent="0.2">
      <c r="G98">
        <v>135</v>
      </c>
      <c r="H98">
        <f t="shared" si="13"/>
        <v>134.48894202032275</v>
      </c>
      <c r="I98">
        <f t="shared" si="14"/>
        <v>1.0560370591751345</v>
      </c>
      <c r="J98">
        <f t="shared" si="12"/>
        <v>59.8326359832636</v>
      </c>
    </row>
    <row r="99" spans="7:10" x14ac:dyDescent="0.2">
      <c r="G99">
        <v>150</v>
      </c>
      <c r="H99">
        <f t="shared" si="13"/>
        <v>149.43215780035862</v>
      </c>
      <c r="I99">
        <f t="shared" si="14"/>
        <v>1.1733745101945938</v>
      </c>
      <c r="J99">
        <f t="shared" si="12"/>
        <v>59.8326359832636</v>
      </c>
    </row>
    <row r="100" spans="7:10" x14ac:dyDescent="0.2">
      <c r="G100">
        <v>200</v>
      </c>
      <c r="H100">
        <f t="shared" si="13"/>
        <v>199.24287706714483</v>
      </c>
      <c r="I100">
        <f t="shared" si="14"/>
        <v>1.5644993469261252</v>
      </c>
      <c r="J100">
        <f t="shared" si="12"/>
        <v>59.832635983263593</v>
      </c>
    </row>
    <row r="101" spans="7:10" x14ac:dyDescent="0.2">
      <c r="G101">
        <v>250</v>
      </c>
      <c r="H101">
        <f t="shared" si="13"/>
        <v>249.05359633393104</v>
      </c>
      <c r="I101">
        <f t="shared" si="14"/>
        <v>1.9556241836576564</v>
      </c>
      <c r="J101">
        <f t="shared" si="12"/>
        <v>59.832635983263586</v>
      </c>
    </row>
    <row r="102" spans="7:10" x14ac:dyDescent="0.2">
      <c r="G102">
        <v>300</v>
      </c>
      <c r="H102">
        <f t="shared" si="13"/>
        <v>298.86431560071725</v>
      </c>
      <c r="I102">
        <f t="shared" si="14"/>
        <v>2.3467490203891876</v>
      </c>
      <c r="J102">
        <f t="shared" si="12"/>
        <v>59.8326359832636</v>
      </c>
    </row>
    <row r="103" spans="7:10" x14ac:dyDescent="0.2">
      <c r="G103">
        <v>350</v>
      </c>
      <c r="H103">
        <f>(1000*G103)/H$91</f>
        <v>348.67503486750348</v>
      </c>
      <c r="I103">
        <f t="shared" si="14"/>
        <v>2.7378738571207193</v>
      </c>
      <c r="J103">
        <f t="shared" si="12"/>
        <v>59.8326359832636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3424-F375-4B8C-806C-B80085BCE062}">
  <dimension ref="A1:AH24"/>
  <sheetViews>
    <sheetView tabSelected="1" topLeftCell="G6" zoomScale="120" zoomScaleNormal="120" workbookViewId="0">
      <selection activeCell="N19" sqref="N19"/>
    </sheetView>
  </sheetViews>
  <sheetFormatPr baseColWidth="10" defaultColWidth="8.83203125" defaultRowHeight="15" x14ac:dyDescent="0.2"/>
  <cols>
    <col min="1" max="2" width="8.83203125" style="38"/>
    <col min="3" max="3" width="8.83203125" style="38" customWidth="1"/>
    <col min="4" max="4" width="14" style="48" customWidth="1"/>
    <col min="5" max="8" width="8.83203125" style="38"/>
    <col min="9" max="10" width="11.5" style="38" customWidth="1"/>
    <col min="11" max="11" width="11.1640625" style="38" customWidth="1"/>
    <col min="12" max="12" width="10.6640625" style="38" customWidth="1"/>
    <col min="13" max="13" width="12" style="38" customWidth="1"/>
    <col min="14" max="14" width="10" style="38" customWidth="1"/>
    <col min="15" max="15" width="16" style="38" customWidth="1"/>
    <col min="16" max="17" width="8.83203125" style="38"/>
    <col min="18" max="18" width="12.33203125" style="38" bestFit="1" customWidth="1"/>
    <col min="19" max="19" width="12.83203125" style="38" customWidth="1"/>
    <col min="20" max="20" width="11.6640625" style="38" bestFit="1" customWidth="1"/>
    <col min="21" max="22" width="10.6640625" style="38" bestFit="1" customWidth="1"/>
    <col min="23" max="23" width="10.6640625" style="38" customWidth="1"/>
    <col min="24" max="24" width="11" style="38" customWidth="1"/>
    <col min="25" max="29" width="11.5" style="38" customWidth="1"/>
    <col min="30" max="30" width="8.83203125" style="38"/>
    <col min="31" max="31" width="18.5" style="38" customWidth="1"/>
    <col min="32" max="32" width="60.33203125" style="38" customWidth="1"/>
    <col min="33" max="16384" width="8.83203125" style="38"/>
  </cols>
  <sheetData>
    <row r="1" spans="1:34" ht="32" x14ac:dyDescent="0.2">
      <c r="A1" s="30" t="s">
        <v>115</v>
      </c>
      <c r="B1" s="31" t="s">
        <v>116</v>
      </c>
      <c r="C1" s="31" t="s">
        <v>117</v>
      </c>
      <c r="D1" s="32" t="s">
        <v>118</v>
      </c>
      <c r="E1" s="31" t="s">
        <v>119</v>
      </c>
      <c r="F1" s="31" t="s">
        <v>120</v>
      </c>
      <c r="G1" s="33" t="s">
        <v>121</v>
      </c>
      <c r="H1" s="33" t="s">
        <v>122</v>
      </c>
      <c r="I1" s="36" t="s">
        <v>123</v>
      </c>
      <c r="J1" s="36" t="s">
        <v>124</v>
      </c>
      <c r="K1" s="34" t="s">
        <v>125</v>
      </c>
      <c r="L1" s="34" t="s">
        <v>9</v>
      </c>
      <c r="M1" s="34" t="s">
        <v>126</v>
      </c>
      <c r="N1" s="34" t="s">
        <v>127</v>
      </c>
      <c r="O1" s="34" t="s">
        <v>128</v>
      </c>
      <c r="P1" s="34" t="s">
        <v>129</v>
      </c>
      <c r="Q1" s="34" t="s">
        <v>130</v>
      </c>
      <c r="R1" s="35" t="s">
        <v>131</v>
      </c>
      <c r="S1" s="35" t="s">
        <v>132</v>
      </c>
      <c r="T1" s="35" t="s">
        <v>133</v>
      </c>
      <c r="U1" s="35" t="s">
        <v>134</v>
      </c>
      <c r="V1" s="35" t="s">
        <v>135</v>
      </c>
      <c r="W1" s="36" t="s">
        <v>136</v>
      </c>
      <c r="X1" s="36" t="s">
        <v>137</v>
      </c>
      <c r="Y1" s="37" t="s">
        <v>138</v>
      </c>
      <c r="Z1" s="37" t="s">
        <v>139</v>
      </c>
      <c r="AA1" s="37" t="s">
        <v>140</v>
      </c>
      <c r="AB1" s="37" t="s">
        <v>141</v>
      </c>
      <c r="AC1" s="37" t="s">
        <v>142</v>
      </c>
      <c r="AD1" s="37" t="s">
        <v>143</v>
      </c>
      <c r="AE1" s="37" t="s">
        <v>144</v>
      </c>
    </row>
    <row r="2" spans="1:34" ht="16" x14ac:dyDescent="0.2">
      <c r="A2" s="30">
        <v>1</v>
      </c>
      <c r="B2" s="31">
        <v>2022</v>
      </c>
      <c r="C2" s="31">
        <v>3</v>
      </c>
      <c r="D2" s="32" t="s">
        <v>145</v>
      </c>
      <c r="E2" s="31" t="s">
        <v>146</v>
      </c>
      <c r="F2" s="31" t="s">
        <v>147</v>
      </c>
      <c r="G2" s="33">
        <v>272</v>
      </c>
      <c r="H2" s="33">
        <v>210</v>
      </c>
      <c r="I2" s="36">
        <f>174*K2/1000</f>
        <v>60.9</v>
      </c>
      <c r="J2" s="42">
        <f t="shared" ref="J2:J15" si="0">I2*1000/K2</f>
        <v>174</v>
      </c>
      <c r="K2" s="34">
        <v>350</v>
      </c>
      <c r="L2" s="34" t="s">
        <v>148</v>
      </c>
      <c r="M2" s="34" t="s">
        <v>149</v>
      </c>
      <c r="N2" s="34">
        <v>96</v>
      </c>
      <c r="O2" s="34">
        <v>74</v>
      </c>
      <c r="P2" s="34">
        <v>4.2</v>
      </c>
      <c r="Q2" s="34">
        <v>2.5</v>
      </c>
      <c r="R2" s="39">
        <f t="shared" ref="R2:R4" si="1">H2/G2</f>
        <v>0.7720588235294118</v>
      </c>
      <c r="S2" s="40">
        <f t="shared" ref="S2:S4" si="2">R2*I2</f>
        <v>47.018382352941174</v>
      </c>
      <c r="T2" s="40">
        <f t="shared" ref="T2:T4" si="3">Q2*N2+R2*(U2-V2)</f>
        <v>366.00000000000006</v>
      </c>
      <c r="U2" s="41">
        <f t="shared" ref="U2:U4" si="4">N2*P2</f>
        <v>403.20000000000005</v>
      </c>
      <c r="V2" s="41">
        <f t="shared" ref="V2:V4" si="5">N2*Q2</f>
        <v>240</v>
      </c>
      <c r="W2" s="42">
        <f t="shared" ref="W2:W4" si="6">K2/N2</f>
        <v>3.6458333333333335</v>
      </c>
      <c r="X2" s="42">
        <f t="shared" ref="X2:X15" si="7">J2/O2</f>
        <v>2.3513513513513513</v>
      </c>
      <c r="Y2" s="37">
        <v>138</v>
      </c>
      <c r="Z2" s="37">
        <v>126</v>
      </c>
      <c r="AA2" s="37">
        <v>132</v>
      </c>
      <c r="AB2" s="37">
        <v>0.25</v>
      </c>
      <c r="AC2" s="37">
        <f t="shared" ref="AC2:AC4" si="8">I2/G2</f>
        <v>0.22389705882352939</v>
      </c>
      <c r="AD2" s="37" t="s">
        <v>150</v>
      </c>
      <c r="AE2" s="37"/>
    </row>
    <row r="3" spans="1:34" ht="16" x14ac:dyDescent="0.2">
      <c r="A3" s="30">
        <v>2</v>
      </c>
      <c r="B3" s="31">
        <v>2022</v>
      </c>
      <c r="C3" s="31">
        <v>3</v>
      </c>
      <c r="D3" s="32" t="s">
        <v>151</v>
      </c>
      <c r="E3" s="31" t="s">
        <v>146</v>
      </c>
      <c r="F3" s="31" t="s">
        <v>147</v>
      </c>
      <c r="G3" s="33">
        <v>358</v>
      </c>
      <c r="H3" s="33">
        <f>H2</f>
        <v>210</v>
      </c>
      <c r="I3" s="36">
        <f>235*K3/1000</f>
        <v>82.25</v>
      </c>
      <c r="J3" s="42">
        <f t="shared" si="0"/>
        <v>235</v>
      </c>
      <c r="K3" s="34">
        <v>350</v>
      </c>
      <c r="L3" s="34" t="s">
        <v>148</v>
      </c>
      <c r="M3" s="34" t="s">
        <v>149</v>
      </c>
      <c r="N3" s="34">
        <v>96</v>
      </c>
      <c r="O3" s="34">
        <v>74</v>
      </c>
      <c r="P3" s="34">
        <v>4.2</v>
      </c>
      <c r="Q3" s="34">
        <v>2.5</v>
      </c>
      <c r="R3" s="39">
        <f t="shared" si="1"/>
        <v>0.58659217877094971</v>
      </c>
      <c r="S3" s="40">
        <f t="shared" si="2"/>
        <v>48.247206703910614</v>
      </c>
      <c r="T3" s="40">
        <f t="shared" si="3"/>
        <v>335.73184357541902</v>
      </c>
      <c r="U3" s="41">
        <f t="shared" si="4"/>
        <v>403.20000000000005</v>
      </c>
      <c r="V3" s="41">
        <f t="shared" si="5"/>
        <v>240</v>
      </c>
      <c r="W3" s="42">
        <f t="shared" si="6"/>
        <v>3.6458333333333335</v>
      </c>
      <c r="X3" s="42">
        <f t="shared" si="7"/>
        <v>3.1756756756756759</v>
      </c>
      <c r="Y3" s="37">
        <v>134</v>
      </c>
      <c r="Z3" s="37">
        <v>126</v>
      </c>
      <c r="AA3" s="37">
        <v>131</v>
      </c>
      <c r="AB3" s="37">
        <v>0.26</v>
      </c>
      <c r="AC3" s="37">
        <f t="shared" si="8"/>
        <v>0.22974860335195529</v>
      </c>
      <c r="AD3" s="37" t="s">
        <v>150</v>
      </c>
      <c r="AE3" s="37"/>
    </row>
    <row r="4" spans="1:34" ht="16" x14ac:dyDescent="0.2">
      <c r="A4" s="30">
        <v>3</v>
      </c>
      <c r="B4" s="31">
        <v>2022</v>
      </c>
      <c r="C4" s="31">
        <v>3</v>
      </c>
      <c r="D4" s="32" t="s">
        <v>152</v>
      </c>
      <c r="E4" s="31" t="s">
        <v>146</v>
      </c>
      <c r="F4" s="31" t="s">
        <v>147</v>
      </c>
      <c r="G4" s="33">
        <v>315</v>
      </c>
      <c r="H4" s="33">
        <f>H2</f>
        <v>210</v>
      </c>
      <c r="I4" s="36">
        <f>235*K4/1000</f>
        <v>82.25</v>
      </c>
      <c r="J4" s="42">
        <f t="shared" si="0"/>
        <v>235</v>
      </c>
      <c r="K4" s="34">
        <v>350</v>
      </c>
      <c r="L4" s="34" t="s">
        <v>148</v>
      </c>
      <c r="M4" s="34" t="s">
        <v>149</v>
      </c>
      <c r="N4" s="34">
        <v>96</v>
      </c>
      <c r="O4" s="34">
        <v>74</v>
      </c>
      <c r="P4" s="34">
        <v>4.2</v>
      </c>
      <c r="Q4" s="34">
        <v>2.5</v>
      </c>
      <c r="R4" s="39">
        <f t="shared" si="1"/>
        <v>0.66666666666666663</v>
      </c>
      <c r="S4" s="40">
        <f t="shared" si="2"/>
        <v>54.833333333333329</v>
      </c>
      <c r="T4" s="40">
        <f t="shared" si="3"/>
        <v>348.8</v>
      </c>
      <c r="U4" s="41">
        <f t="shared" si="4"/>
        <v>403.20000000000005</v>
      </c>
      <c r="V4" s="41">
        <f t="shared" si="5"/>
        <v>240</v>
      </c>
      <c r="W4" s="42">
        <f t="shared" si="6"/>
        <v>3.6458333333333335</v>
      </c>
      <c r="X4" s="42">
        <f t="shared" si="7"/>
        <v>3.1756756756756759</v>
      </c>
      <c r="Y4" s="37">
        <v>118</v>
      </c>
      <c r="Z4" s="37">
        <v>107</v>
      </c>
      <c r="AA4" s="37">
        <v>113</v>
      </c>
      <c r="AB4" s="37">
        <v>0.28000000000000003</v>
      </c>
      <c r="AC4" s="37">
        <f t="shared" si="8"/>
        <v>0.26111111111111113</v>
      </c>
      <c r="AD4" s="37" t="s">
        <v>150</v>
      </c>
      <c r="AE4" s="37"/>
    </row>
    <row r="5" spans="1:34" ht="16" x14ac:dyDescent="0.2">
      <c r="A5" s="30">
        <v>4</v>
      </c>
      <c r="B5" s="31">
        <v>2021</v>
      </c>
      <c r="C5" s="31">
        <v>3</v>
      </c>
      <c r="D5" s="32" t="s">
        <v>145</v>
      </c>
      <c r="E5" s="31" t="s">
        <v>146</v>
      </c>
      <c r="F5" s="31" t="s">
        <v>147</v>
      </c>
      <c r="G5" s="33">
        <v>263</v>
      </c>
      <c r="H5" s="33">
        <f>H2</f>
        <v>210</v>
      </c>
      <c r="I5" s="36">
        <v>55.3</v>
      </c>
      <c r="J5" s="42">
        <f t="shared" si="0"/>
        <v>158</v>
      </c>
      <c r="K5" s="34">
        <v>350</v>
      </c>
      <c r="L5" s="34" t="s">
        <v>148</v>
      </c>
      <c r="M5" s="34" t="s">
        <v>149</v>
      </c>
      <c r="N5" s="34">
        <v>96</v>
      </c>
      <c r="O5" s="34">
        <v>74</v>
      </c>
      <c r="P5" s="34">
        <v>4.2</v>
      </c>
      <c r="Q5" s="34">
        <v>2.5</v>
      </c>
      <c r="R5" s="39">
        <f>H5/G5</f>
        <v>0.79847908745247154</v>
      </c>
      <c r="S5" s="40">
        <f>R5*I5</f>
        <v>44.155893536121674</v>
      </c>
      <c r="T5" s="40">
        <f>Q5*N5+R5*(U5-V5)</f>
        <v>370.31178707224342</v>
      </c>
      <c r="U5" s="41">
        <f>N5*P5</f>
        <v>403.20000000000005</v>
      </c>
      <c r="V5" s="41">
        <f>N5*Q5</f>
        <v>240</v>
      </c>
      <c r="W5" s="42">
        <f>K5/N5</f>
        <v>3.6458333333333335</v>
      </c>
      <c r="X5" s="42">
        <f t="shared" si="7"/>
        <v>2.1351351351351351</v>
      </c>
      <c r="Y5" s="43">
        <v>142</v>
      </c>
      <c r="Z5" s="43">
        <v>150</v>
      </c>
      <c r="AA5" s="43">
        <v>133</v>
      </c>
      <c r="AB5" s="43">
        <v>0.24</v>
      </c>
      <c r="AC5" s="37">
        <f>I5/G5</f>
        <v>0.21026615969581747</v>
      </c>
      <c r="AD5" s="37" t="s">
        <v>150</v>
      </c>
      <c r="AE5" s="37"/>
      <c r="AF5" s="44"/>
      <c r="AG5" s="45"/>
      <c r="AH5" s="45"/>
    </row>
    <row r="6" spans="1:34" s="45" customFormat="1" ht="16" x14ac:dyDescent="0.2">
      <c r="A6" s="30">
        <v>5</v>
      </c>
      <c r="B6" s="31">
        <v>2021</v>
      </c>
      <c r="C6" s="31">
        <v>3</v>
      </c>
      <c r="D6" s="31" t="s">
        <v>151</v>
      </c>
      <c r="E6" s="31" t="s">
        <v>146</v>
      </c>
      <c r="F6" s="31" t="s">
        <v>147</v>
      </c>
      <c r="G6" s="33">
        <v>353</v>
      </c>
      <c r="H6" s="33">
        <f>H2</f>
        <v>210</v>
      </c>
      <c r="I6" s="36">
        <f>235*K6/1000</f>
        <v>82.25</v>
      </c>
      <c r="J6" s="42">
        <f t="shared" si="0"/>
        <v>235</v>
      </c>
      <c r="K6" s="34">
        <v>350</v>
      </c>
      <c r="L6" s="34" t="s">
        <v>148</v>
      </c>
      <c r="M6" s="34" t="s">
        <v>149</v>
      </c>
      <c r="N6" s="34">
        <v>96</v>
      </c>
      <c r="O6" s="34">
        <v>74</v>
      </c>
      <c r="P6" s="34">
        <v>4.2</v>
      </c>
      <c r="Q6" s="34">
        <v>2.5</v>
      </c>
      <c r="R6" s="39">
        <f t="shared" ref="R6:R7" si="9">H6/G6</f>
        <v>0.59490084985835689</v>
      </c>
      <c r="S6" s="40">
        <f t="shared" ref="S6:S7" si="10">R6*I6</f>
        <v>48.930594900849854</v>
      </c>
      <c r="T6" s="40">
        <f t="shared" ref="T6:T7" si="11">Q6*N6+R6*(U6-V6)</f>
        <v>337.08781869688386</v>
      </c>
      <c r="U6" s="41">
        <f t="shared" ref="U6:U7" si="12">N6*P6</f>
        <v>403.20000000000005</v>
      </c>
      <c r="V6" s="41">
        <f t="shared" ref="V6:V7" si="13">N6*Q6</f>
        <v>240</v>
      </c>
      <c r="W6" s="42">
        <f t="shared" ref="W6:W7" si="14">K6/N6</f>
        <v>3.6458333333333335</v>
      </c>
      <c r="X6" s="42">
        <f t="shared" si="7"/>
        <v>3.1756756756756759</v>
      </c>
      <c r="Y6" s="43">
        <v>134</v>
      </c>
      <c r="Z6" s="43">
        <v>141</v>
      </c>
      <c r="AA6" s="43">
        <v>127</v>
      </c>
      <c r="AB6" s="43">
        <v>0.25</v>
      </c>
      <c r="AC6" s="37">
        <f t="shared" ref="AC6:AC13" si="15">I6/G6</f>
        <v>0.23300283286118981</v>
      </c>
      <c r="AD6" s="37" t="s">
        <v>150</v>
      </c>
      <c r="AE6" s="37"/>
    </row>
    <row r="7" spans="1:34" s="45" customFormat="1" ht="16" x14ac:dyDescent="0.2">
      <c r="A7" s="30">
        <v>6</v>
      </c>
      <c r="B7" s="31">
        <v>2021</v>
      </c>
      <c r="C7" s="31">
        <v>3</v>
      </c>
      <c r="D7" s="31" t="s">
        <v>152</v>
      </c>
      <c r="E7" s="31" t="s">
        <v>146</v>
      </c>
      <c r="F7" s="31" t="s">
        <v>147</v>
      </c>
      <c r="G7" s="33">
        <v>315</v>
      </c>
      <c r="H7" s="33">
        <f>H2</f>
        <v>210</v>
      </c>
      <c r="I7" s="36">
        <f>235*K7/1000</f>
        <v>82.25</v>
      </c>
      <c r="J7" s="42">
        <f t="shared" si="0"/>
        <v>235</v>
      </c>
      <c r="K7" s="34">
        <v>350</v>
      </c>
      <c r="L7" s="34" t="s">
        <v>148</v>
      </c>
      <c r="M7" s="34" t="s">
        <v>149</v>
      </c>
      <c r="N7" s="34">
        <v>96</v>
      </c>
      <c r="O7" s="34">
        <v>74</v>
      </c>
      <c r="P7" s="34">
        <v>4.2</v>
      </c>
      <c r="Q7" s="34">
        <v>2.5</v>
      </c>
      <c r="R7" s="39">
        <f t="shared" si="9"/>
        <v>0.66666666666666663</v>
      </c>
      <c r="S7" s="40">
        <f t="shared" si="10"/>
        <v>54.833333333333329</v>
      </c>
      <c r="T7" s="40">
        <f t="shared" si="11"/>
        <v>348.8</v>
      </c>
      <c r="U7" s="41">
        <f t="shared" si="12"/>
        <v>403.20000000000005</v>
      </c>
      <c r="V7" s="41">
        <f t="shared" si="13"/>
        <v>240</v>
      </c>
      <c r="W7" s="42">
        <f t="shared" si="14"/>
        <v>3.6458333333333335</v>
      </c>
      <c r="X7" s="42">
        <f t="shared" si="7"/>
        <v>3.1756756756756759</v>
      </c>
      <c r="Y7" s="43">
        <v>113</v>
      </c>
      <c r="Z7" s="43">
        <v>118</v>
      </c>
      <c r="AA7" s="43">
        <v>107</v>
      </c>
      <c r="AB7" s="43">
        <v>0.28000000000000003</v>
      </c>
      <c r="AC7" s="37">
        <f t="shared" si="15"/>
        <v>0.26111111111111113</v>
      </c>
      <c r="AD7" s="37" t="s">
        <v>150</v>
      </c>
      <c r="AE7" s="37"/>
    </row>
    <row r="8" spans="1:34" s="45" customFormat="1" ht="16" x14ac:dyDescent="0.2">
      <c r="A8" s="30">
        <v>7</v>
      </c>
      <c r="B8" s="31">
        <v>2020</v>
      </c>
      <c r="C8" s="31">
        <v>3</v>
      </c>
      <c r="D8" s="31" t="s">
        <v>145</v>
      </c>
      <c r="E8" s="31" t="s">
        <v>146</v>
      </c>
      <c r="F8" s="31" t="s">
        <v>147</v>
      </c>
      <c r="G8" s="33">
        <v>220</v>
      </c>
      <c r="H8" s="33">
        <f>H2</f>
        <v>210</v>
      </c>
      <c r="I8" s="36">
        <v>55.3</v>
      </c>
      <c r="J8" s="42">
        <f t="shared" si="0"/>
        <v>158</v>
      </c>
      <c r="K8" s="34">
        <v>350</v>
      </c>
      <c r="L8" s="34" t="s">
        <v>148</v>
      </c>
      <c r="M8" s="34" t="s">
        <v>149</v>
      </c>
      <c r="N8" s="34">
        <v>96</v>
      </c>
      <c r="O8" s="34">
        <v>74</v>
      </c>
      <c r="P8" s="34">
        <v>4.2</v>
      </c>
      <c r="Q8" s="34">
        <v>2.5</v>
      </c>
      <c r="R8" s="39">
        <f t="shared" ref="R8" si="16">H8/G8</f>
        <v>0.95454545454545459</v>
      </c>
      <c r="S8" s="40">
        <f t="shared" ref="S8" si="17">R8*I8</f>
        <v>52.786363636363639</v>
      </c>
      <c r="T8" s="40">
        <f t="shared" ref="T8" si="18">Q8*N8+R8*(U8-V8)</f>
        <v>395.78181818181827</v>
      </c>
      <c r="U8" s="41">
        <f t="shared" ref="U8" si="19">N8*P8</f>
        <v>403.20000000000005</v>
      </c>
      <c r="V8" s="41">
        <f t="shared" ref="V8" si="20">N8*Q8</f>
        <v>240</v>
      </c>
      <c r="W8" s="42">
        <f t="shared" ref="W8" si="21">K8/N8</f>
        <v>3.6458333333333335</v>
      </c>
      <c r="X8" s="42">
        <f t="shared" si="7"/>
        <v>2.1351351351351351</v>
      </c>
      <c r="Y8" s="43">
        <v>138</v>
      </c>
      <c r="Z8" s="43">
        <v>124</v>
      </c>
      <c r="AA8" s="43">
        <v>131</v>
      </c>
      <c r="AB8" s="43">
        <v>0.26</v>
      </c>
      <c r="AC8" s="37">
        <f t="shared" si="15"/>
        <v>0.25136363636363634</v>
      </c>
      <c r="AD8" s="37" t="s">
        <v>150</v>
      </c>
      <c r="AE8" s="37"/>
    </row>
    <row r="9" spans="1:34" s="45" customFormat="1" ht="16" x14ac:dyDescent="0.2">
      <c r="A9" s="30">
        <v>8</v>
      </c>
      <c r="B9" s="31">
        <v>2020</v>
      </c>
      <c r="C9" s="31">
        <v>3</v>
      </c>
      <c r="D9" s="31" t="s">
        <v>151</v>
      </c>
      <c r="E9" s="31" t="s">
        <v>146</v>
      </c>
      <c r="F9" s="31" t="s">
        <v>147</v>
      </c>
      <c r="G9" s="33">
        <v>330</v>
      </c>
      <c r="H9" s="33">
        <f>H2</f>
        <v>210</v>
      </c>
      <c r="I9" s="36">
        <v>82.25</v>
      </c>
      <c r="J9" s="42">
        <f t="shared" si="0"/>
        <v>235</v>
      </c>
      <c r="K9" s="34">
        <v>350</v>
      </c>
      <c r="L9" s="34" t="s">
        <v>148</v>
      </c>
      <c r="M9" s="34" t="s">
        <v>149</v>
      </c>
      <c r="N9" s="34">
        <v>96</v>
      </c>
      <c r="O9" s="34">
        <v>74</v>
      </c>
      <c r="P9" s="34">
        <v>4.2</v>
      </c>
      <c r="Q9" s="34">
        <v>2.5</v>
      </c>
      <c r="R9" s="39">
        <f t="shared" ref="R9" si="22">H9/G9</f>
        <v>0.63636363636363635</v>
      </c>
      <c r="S9" s="40">
        <f t="shared" ref="S9" si="23">R9*I9</f>
        <v>52.340909090909093</v>
      </c>
      <c r="T9" s="40">
        <f t="shared" ref="T9" si="24">Q9*N9+R9*(U9-V9)</f>
        <v>343.85454545454547</v>
      </c>
      <c r="U9" s="41">
        <f t="shared" ref="U9" si="25">N9*P9</f>
        <v>403.20000000000005</v>
      </c>
      <c r="V9" s="41">
        <f t="shared" ref="V9" si="26">N9*Q9</f>
        <v>240</v>
      </c>
      <c r="W9" s="42">
        <f t="shared" ref="W9" si="27">K9/N9</f>
        <v>3.6458333333333335</v>
      </c>
      <c r="X9" s="42">
        <f t="shared" si="7"/>
        <v>3.1756756756756759</v>
      </c>
      <c r="Y9" s="43">
        <v>136</v>
      </c>
      <c r="Z9" s="43">
        <v>123</v>
      </c>
      <c r="AA9" s="43">
        <v>130</v>
      </c>
      <c r="AB9" s="43">
        <v>0.26</v>
      </c>
      <c r="AC9" s="37">
        <f t="shared" si="15"/>
        <v>0.24924242424242424</v>
      </c>
      <c r="AD9" s="37" t="s">
        <v>150</v>
      </c>
      <c r="AE9" s="37"/>
    </row>
    <row r="10" spans="1:34" s="45" customFormat="1" ht="16" x14ac:dyDescent="0.2">
      <c r="A10" s="30">
        <v>9</v>
      </c>
      <c r="B10" s="31">
        <v>2020</v>
      </c>
      <c r="C10" s="31">
        <v>3</v>
      </c>
      <c r="D10" s="31" t="s">
        <v>152</v>
      </c>
      <c r="E10" s="31" t="s">
        <v>146</v>
      </c>
      <c r="F10" s="31" t="s">
        <v>147</v>
      </c>
      <c r="G10" s="33">
        <v>322</v>
      </c>
      <c r="H10" s="33">
        <f>H2</f>
        <v>210</v>
      </c>
      <c r="I10" s="36">
        <v>90</v>
      </c>
      <c r="J10" s="42">
        <f t="shared" si="0"/>
        <v>257.14285714285717</v>
      </c>
      <c r="K10" s="34">
        <v>350</v>
      </c>
      <c r="L10" s="34" t="s">
        <v>148</v>
      </c>
      <c r="M10" s="34" t="s">
        <v>149</v>
      </c>
      <c r="N10" s="34">
        <v>96</v>
      </c>
      <c r="O10" s="34">
        <v>74</v>
      </c>
      <c r="P10" s="34">
        <v>4.2</v>
      </c>
      <c r="Q10" s="34">
        <v>2.5</v>
      </c>
      <c r="R10" s="39">
        <f t="shared" ref="R10" si="28">H10/G10</f>
        <v>0.65217391304347827</v>
      </c>
      <c r="S10" s="40">
        <f t="shared" ref="S10" si="29">R10*I10</f>
        <v>58.695652173913047</v>
      </c>
      <c r="T10" s="40">
        <f t="shared" ref="T10" si="30">Q10*N10+R10*(U10-V10)</f>
        <v>346.43478260869568</v>
      </c>
      <c r="U10" s="41">
        <f t="shared" ref="U10" si="31">N10*P10</f>
        <v>403.20000000000005</v>
      </c>
      <c r="V10" s="41">
        <f t="shared" ref="V10" si="32">N10*Q10</f>
        <v>240</v>
      </c>
      <c r="W10" s="42">
        <f t="shared" ref="W10" si="33">K10/N10</f>
        <v>3.6458333333333335</v>
      </c>
      <c r="X10" s="42">
        <f t="shared" si="7"/>
        <v>3.4749034749034751</v>
      </c>
      <c r="Y10" s="43">
        <v>124</v>
      </c>
      <c r="Z10" s="43">
        <v>116</v>
      </c>
      <c r="AA10" s="43">
        <v>121</v>
      </c>
      <c r="AB10" s="43">
        <v>0.28000000000000003</v>
      </c>
      <c r="AC10" s="37">
        <f t="shared" si="15"/>
        <v>0.27950310559006208</v>
      </c>
      <c r="AD10" s="37" t="s">
        <v>150</v>
      </c>
      <c r="AE10" s="37"/>
    </row>
    <row r="11" spans="1:34" s="45" customFormat="1" ht="16" x14ac:dyDescent="0.2">
      <c r="A11" s="30">
        <v>10</v>
      </c>
      <c r="B11" s="31">
        <v>2019</v>
      </c>
      <c r="C11" s="31">
        <v>3</v>
      </c>
      <c r="D11" s="31" t="s">
        <v>152</v>
      </c>
      <c r="E11" s="31" t="s">
        <v>146</v>
      </c>
      <c r="F11" s="31" t="s">
        <v>147</v>
      </c>
      <c r="G11" s="33">
        <v>220</v>
      </c>
      <c r="H11" s="33">
        <f>H10</f>
        <v>210</v>
      </c>
      <c r="I11" s="36">
        <v>55.3</v>
      </c>
      <c r="J11" s="42">
        <f t="shared" si="0"/>
        <v>158</v>
      </c>
      <c r="K11" s="34">
        <v>350</v>
      </c>
      <c r="L11" s="34" t="s">
        <v>148</v>
      </c>
      <c r="M11" s="34" t="s">
        <v>149</v>
      </c>
      <c r="N11" s="34">
        <v>96</v>
      </c>
      <c r="O11" s="34">
        <v>74</v>
      </c>
      <c r="P11" s="34">
        <v>4.2</v>
      </c>
      <c r="Q11" s="34">
        <v>2.5</v>
      </c>
      <c r="R11" s="39">
        <f t="shared" ref="R11" si="34">H11/G11</f>
        <v>0.95454545454545459</v>
      </c>
      <c r="S11" s="40">
        <f t="shared" ref="S11" si="35">R11*I11</f>
        <v>52.786363636363639</v>
      </c>
      <c r="T11" s="40">
        <f t="shared" ref="T11" si="36">Q11*N11+R11*(U11-V11)</f>
        <v>395.78181818181827</v>
      </c>
      <c r="U11" s="41">
        <f t="shared" ref="U11" si="37">N11*P11</f>
        <v>403.20000000000005</v>
      </c>
      <c r="V11" s="41">
        <f t="shared" ref="V11" si="38">N11*Q11</f>
        <v>240</v>
      </c>
      <c r="W11" s="42">
        <f t="shared" ref="W11" si="39">K11/N11</f>
        <v>3.6458333333333335</v>
      </c>
      <c r="X11" s="42">
        <f t="shared" si="7"/>
        <v>2.1351351351351351</v>
      </c>
      <c r="Y11" s="43">
        <v>138</v>
      </c>
      <c r="Z11" s="43">
        <v>124</v>
      </c>
      <c r="AA11" s="43">
        <v>131</v>
      </c>
      <c r="AB11" s="43">
        <v>0.26</v>
      </c>
      <c r="AC11" s="37">
        <f t="shared" si="15"/>
        <v>0.25136363636363634</v>
      </c>
      <c r="AD11" s="37" t="s">
        <v>150</v>
      </c>
      <c r="AE11" s="37"/>
    </row>
    <row r="12" spans="1:34" s="45" customFormat="1" ht="16" x14ac:dyDescent="0.2">
      <c r="A12" s="30">
        <v>11</v>
      </c>
      <c r="B12" s="31">
        <v>2019</v>
      </c>
      <c r="C12" s="31">
        <v>3</v>
      </c>
      <c r="D12" s="31" t="s">
        <v>152</v>
      </c>
      <c r="E12" s="31" t="s">
        <v>146</v>
      </c>
      <c r="F12" s="31" t="s">
        <v>147</v>
      </c>
      <c r="G12" s="33">
        <v>240</v>
      </c>
      <c r="H12" s="33">
        <f>H11</f>
        <v>210</v>
      </c>
      <c r="I12" s="36">
        <v>60</v>
      </c>
      <c r="J12" s="42">
        <f t="shared" si="0"/>
        <v>171.42857142857142</v>
      </c>
      <c r="K12" s="34">
        <v>350</v>
      </c>
      <c r="L12" s="34" t="s">
        <v>148</v>
      </c>
      <c r="M12" s="34" t="s">
        <v>149</v>
      </c>
      <c r="N12" s="34">
        <v>96</v>
      </c>
      <c r="O12" s="34">
        <v>74</v>
      </c>
      <c r="P12" s="34">
        <v>4.2</v>
      </c>
      <c r="Q12" s="34">
        <v>2.5</v>
      </c>
      <c r="R12" s="39">
        <f t="shared" ref="R12" si="40">H12/G12</f>
        <v>0.875</v>
      </c>
      <c r="S12" s="40">
        <f t="shared" ref="S12" si="41">R12*I12</f>
        <v>52.5</v>
      </c>
      <c r="T12" s="40">
        <f t="shared" ref="T12" si="42">Q12*N12+R12*(U12-V12)</f>
        <v>382.80000000000007</v>
      </c>
      <c r="U12" s="41">
        <f t="shared" ref="U12" si="43">N12*P12</f>
        <v>403.20000000000005</v>
      </c>
      <c r="V12" s="41">
        <f t="shared" ref="V12" si="44">N12*Q12</f>
        <v>240</v>
      </c>
      <c r="W12" s="42">
        <f t="shared" ref="W12" si="45">K12/N12</f>
        <v>3.6458333333333335</v>
      </c>
      <c r="X12" s="42">
        <f t="shared" si="7"/>
        <v>2.3166023166023164</v>
      </c>
      <c r="Y12" s="43">
        <v>140</v>
      </c>
      <c r="Z12" s="43">
        <v>124</v>
      </c>
      <c r="AA12" s="43">
        <v>133</v>
      </c>
      <c r="AB12" s="43">
        <v>0.25</v>
      </c>
      <c r="AC12" s="37">
        <f t="shared" si="15"/>
        <v>0.25</v>
      </c>
      <c r="AD12" s="37" t="s">
        <v>150</v>
      </c>
      <c r="AE12" s="37"/>
    </row>
    <row r="13" spans="1:34" s="45" customFormat="1" ht="16" x14ac:dyDescent="0.2">
      <c r="A13" s="30">
        <v>12</v>
      </c>
      <c r="B13" s="31">
        <v>2019</v>
      </c>
      <c r="C13" s="31">
        <v>3</v>
      </c>
      <c r="D13" s="31" t="s">
        <v>152</v>
      </c>
      <c r="E13" s="31" t="s">
        <v>146</v>
      </c>
      <c r="F13" s="31" t="s">
        <v>147</v>
      </c>
      <c r="G13" s="33">
        <v>310</v>
      </c>
      <c r="H13" s="33">
        <f>H12</f>
        <v>210</v>
      </c>
      <c r="I13" s="36">
        <v>82.25</v>
      </c>
      <c r="J13" s="42">
        <f t="shared" si="0"/>
        <v>235</v>
      </c>
      <c r="K13" s="34">
        <v>350</v>
      </c>
      <c r="L13" s="34" t="s">
        <v>148</v>
      </c>
      <c r="M13" s="34" t="s">
        <v>149</v>
      </c>
      <c r="N13" s="34">
        <v>96</v>
      </c>
      <c r="O13" s="34">
        <v>74</v>
      </c>
      <c r="P13" s="34">
        <v>4.2</v>
      </c>
      <c r="Q13" s="34">
        <v>2.5</v>
      </c>
      <c r="R13" s="39">
        <f t="shared" ref="R13" si="46">H13/G13</f>
        <v>0.67741935483870963</v>
      </c>
      <c r="S13" s="40">
        <f t="shared" ref="S13" si="47">R13*I13</f>
        <v>55.717741935483865</v>
      </c>
      <c r="T13" s="40">
        <f t="shared" ref="T13" si="48">Q13*N13+R13*(U13-V13)</f>
        <v>350.55483870967743</v>
      </c>
      <c r="U13" s="41">
        <f t="shared" ref="U13" si="49">N13*P13</f>
        <v>403.20000000000005</v>
      </c>
      <c r="V13" s="41">
        <f t="shared" ref="V13" si="50">N13*Q13</f>
        <v>240</v>
      </c>
      <c r="W13" s="42">
        <f t="shared" ref="W13" si="51">K13/N13</f>
        <v>3.6458333333333335</v>
      </c>
      <c r="X13" s="42">
        <f t="shared" si="7"/>
        <v>3.1756756756756759</v>
      </c>
      <c r="Y13" s="43">
        <v>136</v>
      </c>
      <c r="Z13" s="43">
        <v>123</v>
      </c>
      <c r="AA13" s="43">
        <v>130</v>
      </c>
      <c r="AB13" s="43">
        <v>0.26</v>
      </c>
      <c r="AC13" s="37">
        <f t="shared" si="15"/>
        <v>0.26532258064516129</v>
      </c>
      <c r="AD13" s="37" t="s">
        <v>150</v>
      </c>
      <c r="AE13" s="37"/>
    </row>
    <row r="14" spans="1:34" s="45" customFormat="1" ht="16" x14ac:dyDescent="0.2">
      <c r="A14" s="30">
        <v>13</v>
      </c>
      <c r="B14" s="31">
        <v>2021</v>
      </c>
      <c r="C14" s="31" t="s">
        <v>153</v>
      </c>
      <c r="D14" s="31"/>
      <c r="E14" s="31" t="s">
        <v>154</v>
      </c>
      <c r="F14" s="31" t="s">
        <v>147</v>
      </c>
      <c r="G14" s="51">
        <v>326</v>
      </c>
      <c r="H14" s="33">
        <f t="shared" ref="H14:H15" si="52">H13</f>
        <v>210</v>
      </c>
      <c r="I14" s="50">
        <v>75</v>
      </c>
      <c r="J14" s="42">
        <f t="shared" si="0"/>
        <v>214.28571428571428</v>
      </c>
      <c r="K14" s="34">
        <v>350</v>
      </c>
      <c r="L14" s="34" t="s">
        <v>148</v>
      </c>
      <c r="M14" s="34" t="s">
        <v>149</v>
      </c>
      <c r="N14" s="34">
        <v>96</v>
      </c>
      <c r="O14" s="34">
        <v>74</v>
      </c>
      <c r="P14" s="34">
        <v>4.2</v>
      </c>
      <c r="Q14" s="34">
        <v>2.5</v>
      </c>
      <c r="R14" s="39">
        <f t="shared" ref="R14:R15" si="53">H14/G14</f>
        <v>0.64417177914110424</v>
      </c>
      <c r="S14" s="40">
        <f t="shared" ref="S14" si="54">R14*I14</f>
        <v>48.312883435582819</v>
      </c>
      <c r="T14" s="40">
        <f t="shared" ref="T14:T15" si="55">Q14*N14+R14*(U14-V14)</f>
        <v>345.12883435582825</v>
      </c>
      <c r="U14" s="41">
        <f t="shared" ref="U14:U15" si="56">N14*P14</f>
        <v>403.20000000000005</v>
      </c>
      <c r="V14" s="41">
        <f t="shared" ref="V14:V15" si="57">N14*Q14</f>
        <v>240</v>
      </c>
      <c r="W14" s="42">
        <f t="shared" ref="W14:W15" si="58">K14/N14</f>
        <v>3.6458333333333335</v>
      </c>
      <c r="X14" s="42">
        <f t="shared" si="7"/>
        <v>2.8957528957528957</v>
      </c>
      <c r="Y14" s="43">
        <v>136</v>
      </c>
      <c r="Z14" s="43">
        <v>123</v>
      </c>
      <c r="AA14" s="43">
        <v>130</v>
      </c>
      <c r="AB14" s="43">
        <v>0.26</v>
      </c>
      <c r="AC14" s="37">
        <f t="shared" ref="AC14:AC15" si="59">I14/G14</f>
        <v>0.23006134969325154</v>
      </c>
      <c r="AD14" s="37" t="s">
        <v>150</v>
      </c>
      <c r="AE14" s="30"/>
      <c r="AF14" s="30"/>
      <c r="AG14" s="30"/>
    </row>
    <row r="15" spans="1:34" s="45" customFormat="1" ht="16" x14ac:dyDescent="0.2">
      <c r="A15" s="30">
        <v>14</v>
      </c>
      <c r="B15" s="31">
        <v>2021</v>
      </c>
      <c r="C15" s="31" t="s">
        <v>153</v>
      </c>
      <c r="D15" s="31"/>
      <c r="E15" s="31" t="s">
        <v>154</v>
      </c>
      <c r="F15" s="31" t="s">
        <v>147</v>
      </c>
      <c r="G15" s="51">
        <v>303</v>
      </c>
      <c r="H15" s="33">
        <f t="shared" si="52"/>
        <v>210</v>
      </c>
      <c r="I15" s="50">
        <v>75</v>
      </c>
      <c r="J15" s="42">
        <f t="shared" si="0"/>
        <v>214.28571428571428</v>
      </c>
      <c r="K15" s="34">
        <v>350</v>
      </c>
      <c r="L15" s="34" t="s">
        <v>148</v>
      </c>
      <c r="M15" s="34" t="s">
        <v>149</v>
      </c>
      <c r="N15" s="34">
        <v>96</v>
      </c>
      <c r="O15" s="34">
        <v>74</v>
      </c>
      <c r="P15" s="34">
        <v>4.2</v>
      </c>
      <c r="Q15" s="34">
        <v>2.5</v>
      </c>
      <c r="R15" s="39">
        <f t="shared" si="53"/>
        <v>0.69306930693069302</v>
      </c>
      <c r="S15" s="40">
        <f>R15*I15</f>
        <v>51.980198019801975</v>
      </c>
      <c r="T15" s="40">
        <f t="shared" si="55"/>
        <v>353.10891089108912</v>
      </c>
      <c r="U15" s="41">
        <f t="shared" si="56"/>
        <v>403.20000000000005</v>
      </c>
      <c r="V15" s="41">
        <f t="shared" si="57"/>
        <v>240</v>
      </c>
      <c r="W15" s="42">
        <f t="shared" si="58"/>
        <v>3.6458333333333335</v>
      </c>
      <c r="X15" s="42">
        <f t="shared" si="7"/>
        <v>2.8957528957528957</v>
      </c>
      <c r="Y15" s="43">
        <v>136</v>
      </c>
      <c r="Z15" s="43">
        <v>123</v>
      </c>
      <c r="AA15" s="43">
        <v>130</v>
      </c>
      <c r="AB15" s="43">
        <v>0.26</v>
      </c>
      <c r="AC15" s="37">
        <f t="shared" si="59"/>
        <v>0.24752475247524752</v>
      </c>
      <c r="AD15" s="37" t="s">
        <v>150</v>
      </c>
      <c r="AE15" s="30"/>
      <c r="AF15" s="30"/>
      <c r="AG15" s="30"/>
    </row>
    <row r="16" spans="1:34" s="45" customFormat="1" x14ac:dyDescent="0.2">
      <c r="A16" s="30"/>
      <c r="J16" s="47"/>
      <c r="R16" s="46"/>
      <c r="S16" s="47"/>
      <c r="T16" s="47"/>
      <c r="U16" s="46"/>
      <c r="V16" s="46"/>
      <c r="Y16" s="47"/>
      <c r="Z16" s="47"/>
      <c r="AA16" s="47"/>
      <c r="AB16" s="47"/>
    </row>
    <row r="17" spans="1:31" s="45" customFormat="1" x14ac:dyDescent="0.2">
      <c r="A17" s="30"/>
      <c r="J17" s="47"/>
      <c r="R17" s="46"/>
      <c r="S17" s="46"/>
      <c r="T17" s="47"/>
      <c r="U17" s="46"/>
      <c r="V17" s="46"/>
      <c r="Y17" s="47"/>
      <c r="Z17" s="47"/>
      <c r="AA17" s="47"/>
      <c r="AB17" s="47"/>
    </row>
    <row r="18" spans="1:31" s="45" customFormat="1" x14ac:dyDescent="0.2">
      <c r="A18" s="30"/>
      <c r="J18" s="47"/>
      <c r="R18" s="46"/>
      <c r="S18" s="46"/>
      <c r="T18" s="47"/>
      <c r="U18" s="46"/>
      <c r="V18" s="46"/>
      <c r="Y18" s="47"/>
      <c r="Z18" s="47"/>
      <c r="AA18" s="47"/>
      <c r="AB18" s="47"/>
    </row>
    <row r="19" spans="1:31" s="45" customFormat="1" x14ac:dyDescent="0.2">
      <c r="A19" s="30"/>
      <c r="J19" s="47"/>
      <c r="R19" s="46"/>
      <c r="S19" s="46"/>
      <c r="T19" s="47"/>
      <c r="U19" s="46"/>
      <c r="V19" s="46"/>
      <c r="Y19" s="47"/>
      <c r="Z19" s="47"/>
      <c r="AA19" s="47"/>
      <c r="AB19" s="47"/>
    </row>
    <row r="20" spans="1:31" s="45" customFormat="1" x14ac:dyDescent="0.2">
      <c r="A20" s="30"/>
      <c r="J20" s="47"/>
      <c r="R20" s="46"/>
      <c r="S20" s="46"/>
      <c r="T20" s="47"/>
      <c r="U20" s="46"/>
      <c r="V20" s="46"/>
      <c r="Y20" s="47"/>
      <c r="Z20" s="47"/>
      <c r="AA20" s="47"/>
      <c r="AB20" s="47"/>
    </row>
    <row r="21" spans="1:31" s="45" customFormat="1" x14ac:dyDescent="0.2">
      <c r="A21" s="30"/>
      <c r="J21" s="47"/>
      <c r="R21" s="46"/>
      <c r="S21" s="46"/>
      <c r="T21" s="47"/>
      <c r="U21" s="46"/>
      <c r="V21" s="46"/>
      <c r="Y21" s="47"/>
      <c r="Z21" s="47"/>
      <c r="AA21" s="47"/>
      <c r="AB21" s="47"/>
    </row>
    <row r="22" spans="1:31" s="45" customFormat="1" x14ac:dyDescent="0.2">
      <c r="A22" s="30"/>
      <c r="J22" s="47"/>
      <c r="R22" s="46"/>
      <c r="S22" s="46"/>
      <c r="T22" s="47"/>
      <c r="U22" s="46"/>
      <c r="V22" s="46"/>
      <c r="Y22" s="47"/>
      <c r="Z22" s="47"/>
      <c r="AA22" s="47"/>
      <c r="AB22" s="47"/>
    </row>
    <row r="23" spans="1:31" x14ac:dyDescent="0.2">
      <c r="A23" s="30"/>
      <c r="B23" s="31"/>
      <c r="C23" s="31"/>
      <c r="E23" s="31"/>
      <c r="F23" s="31"/>
      <c r="G23" s="33"/>
      <c r="H23" s="33"/>
      <c r="I23" s="49"/>
      <c r="J23" s="42"/>
      <c r="K23" s="49"/>
      <c r="L23" s="34"/>
      <c r="M23" s="34"/>
      <c r="N23" s="34"/>
      <c r="O23" s="34"/>
      <c r="P23" s="34"/>
      <c r="Q23" s="34"/>
      <c r="R23" s="39"/>
      <c r="S23" s="39"/>
      <c r="T23" s="40"/>
      <c r="U23" s="39"/>
      <c r="V23" s="39"/>
      <c r="W23" s="36"/>
      <c r="X23" s="36"/>
      <c r="Y23" s="42"/>
      <c r="Z23" s="42"/>
      <c r="AA23" s="42"/>
      <c r="AB23" s="42"/>
      <c r="AC23" s="37"/>
      <c r="AD23" s="37"/>
      <c r="AE23" s="37"/>
    </row>
    <row r="24" spans="1:31" x14ac:dyDescent="0.2">
      <c r="A24" s="30"/>
      <c r="B24" s="31"/>
      <c r="C24" s="31"/>
      <c r="E24" s="31"/>
      <c r="F24" s="31"/>
      <c r="G24" s="33"/>
      <c r="H24" s="33"/>
      <c r="I24" s="49"/>
      <c r="J24" s="42"/>
      <c r="K24" s="49"/>
      <c r="L24" s="34"/>
      <c r="M24" s="34"/>
      <c r="N24" s="34"/>
      <c r="O24" s="34"/>
      <c r="P24" s="34"/>
      <c r="Q24" s="34"/>
      <c r="R24" s="39"/>
      <c r="S24" s="39"/>
      <c r="T24" s="40"/>
      <c r="U24" s="39"/>
      <c r="V24" s="39"/>
      <c r="W24" s="36"/>
      <c r="X24" s="36"/>
      <c r="Y24" s="42"/>
      <c r="Z24" s="42"/>
      <c r="AA24" s="42"/>
      <c r="AB24" s="42"/>
      <c r="AC24" s="37"/>
      <c r="AD24" s="37"/>
      <c r="AE24" s="3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B0C2-928A-914F-AC45-5C43C659EEFA}">
  <dimension ref="A1:B8"/>
  <sheetViews>
    <sheetView workbookViewId="0">
      <selection activeCell="F27" sqref="F27"/>
    </sheetView>
  </sheetViews>
  <sheetFormatPr baseColWidth="10" defaultColWidth="10.83203125" defaultRowHeight="15" x14ac:dyDescent="0.2"/>
  <cols>
    <col min="1" max="1" width="10.83203125" style="1"/>
    <col min="2" max="2" width="31.83203125" style="1" customWidth="1"/>
    <col min="3" max="3" width="10.83203125" style="1"/>
    <col min="4" max="4" width="23" style="1" customWidth="1"/>
    <col min="5" max="16384" width="10.83203125" style="1"/>
  </cols>
  <sheetData>
    <row r="1" spans="1:2" ht="17" x14ac:dyDescent="0.2">
      <c r="A1" s="29" t="s">
        <v>155</v>
      </c>
      <c r="B1" s="29"/>
    </row>
    <row r="2" spans="1:2" ht="17" x14ac:dyDescent="0.2">
      <c r="A2" s="27"/>
      <c r="B2" s="29" t="s">
        <v>156</v>
      </c>
    </row>
    <row r="3" spans="1:2" ht="17" x14ac:dyDescent="0.2">
      <c r="A3" s="28"/>
      <c r="B3" s="29" t="s">
        <v>157</v>
      </c>
    </row>
    <row r="4" spans="1:2" ht="16" x14ac:dyDescent="0.2">
      <c r="A4" s="22"/>
      <c r="B4" s="1" t="s">
        <v>158</v>
      </c>
    </row>
    <row r="5" spans="1:2" ht="17" x14ac:dyDescent="0.2">
      <c r="A5" s="23"/>
      <c r="B5" s="29" t="s">
        <v>159</v>
      </c>
    </row>
    <row r="6" spans="1:2" ht="16" x14ac:dyDescent="0.2">
      <c r="A6" s="24"/>
      <c r="B6" s="1" t="s">
        <v>160</v>
      </c>
    </row>
    <row r="7" spans="1:2" ht="16" x14ac:dyDescent="0.2">
      <c r="A7" s="25"/>
      <c r="B7" s="1" t="s">
        <v>161</v>
      </c>
    </row>
    <row r="8" spans="1:2" ht="16" x14ac:dyDescent="0.2">
      <c r="A8" s="26"/>
      <c r="B8" s="1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8:V103"/>
  <sheetViews>
    <sheetView topLeftCell="A66" workbookViewId="0">
      <selection activeCell="J47" sqref="J47"/>
    </sheetView>
  </sheetViews>
  <sheetFormatPr baseColWidth="10" defaultColWidth="8.83203125" defaultRowHeight="15" x14ac:dyDescent="0.2"/>
  <cols>
    <col min="4" max="4" width="19.1640625" customWidth="1"/>
    <col min="5" max="5" width="17" customWidth="1"/>
    <col min="6" max="6" width="15.1640625" customWidth="1"/>
    <col min="7" max="8" width="18" customWidth="1"/>
    <col min="9" max="11" width="16.1640625" customWidth="1"/>
    <col min="12" max="12" width="11" customWidth="1"/>
    <col min="14" max="14" width="12.5" customWidth="1"/>
    <col min="16" max="16" width="27.1640625" customWidth="1"/>
    <col min="21" max="21" width="23.5" customWidth="1"/>
    <col min="22" max="22" width="17.1640625" customWidth="1"/>
  </cols>
  <sheetData>
    <row r="8" spans="4:19" x14ac:dyDescent="0.2">
      <c r="E8" t="s">
        <v>163</v>
      </c>
    </row>
    <row r="9" spans="4:19" x14ac:dyDescent="0.2">
      <c r="D9" t="s">
        <v>164</v>
      </c>
    </row>
    <row r="10" spans="4:19" x14ac:dyDescent="0.2">
      <c r="E10" t="s">
        <v>165</v>
      </c>
      <c r="F10" t="s">
        <v>38</v>
      </c>
      <c r="G10" t="s">
        <v>166</v>
      </c>
      <c r="I10" t="s">
        <v>167</v>
      </c>
      <c r="J10" t="s">
        <v>168</v>
      </c>
      <c r="K10" t="s">
        <v>169</v>
      </c>
      <c r="L10" t="s">
        <v>27</v>
      </c>
      <c r="M10" t="s">
        <v>26</v>
      </c>
      <c r="N10" t="s">
        <v>170</v>
      </c>
      <c r="O10" t="s">
        <v>171</v>
      </c>
      <c r="Q10" t="s">
        <v>172</v>
      </c>
    </row>
    <row r="11" spans="4:19" x14ac:dyDescent="0.2">
      <c r="D11" t="s">
        <v>173</v>
      </c>
      <c r="E11">
        <v>53</v>
      </c>
      <c r="F11">
        <v>18.399999999999999</v>
      </c>
      <c r="G11" s="9">
        <v>3.6</v>
      </c>
      <c r="I11" s="9">
        <v>3.6</v>
      </c>
      <c r="J11" s="9">
        <v>395</v>
      </c>
      <c r="K11" s="9">
        <v>51</v>
      </c>
      <c r="M11">
        <f>K11*L11</f>
        <v>0</v>
      </c>
      <c r="N11">
        <f>E11/F11</f>
        <v>2.8804347826086958</v>
      </c>
      <c r="Q11">
        <f>1000/N11</f>
        <v>347.16981132075472</v>
      </c>
    </row>
    <row r="12" spans="4:19" x14ac:dyDescent="0.2">
      <c r="D12" t="s">
        <v>36</v>
      </c>
      <c r="E12">
        <v>62</v>
      </c>
      <c r="F12">
        <v>16</v>
      </c>
      <c r="G12" s="9"/>
      <c r="I12" s="10">
        <v>50</v>
      </c>
      <c r="J12" s="10">
        <v>360.79999999999995</v>
      </c>
      <c r="K12" s="10">
        <v>50</v>
      </c>
      <c r="L12">
        <f>(1000*I12)/(J12*K12)</f>
        <v>2.7716186252771626</v>
      </c>
      <c r="M12">
        <f t="shared" ref="M12:M15" si="0">K12*L12</f>
        <v>138.58093126385813</v>
      </c>
      <c r="N12">
        <f>E12/F12</f>
        <v>3.875</v>
      </c>
      <c r="O12">
        <f>(0.8*E12)/30</f>
        <v>1.6533333333333333</v>
      </c>
      <c r="P12" t="s">
        <v>174</v>
      </c>
      <c r="Q12">
        <f t="shared" ref="Q12:Q16" si="1">1000/N12</f>
        <v>258.06451612903226</v>
      </c>
      <c r="S12" t="s">
        <v>175</v>
      </c>
    </row>
    <row r="13" spans="4:19" x14ac:dyDescent="0.2">
      <c r="D13" t="s">
        <v>55</v>
      </c>
      <c r="E13">
        <v>84</v>
      </c>
      <c r="F13">
        <v>24</v>
      </c>
      <c r="G13">
        <v>6.6</v>
      </c>
      <c r="I13">
        <v>50</v>
      </c>
      <c r="J13">
        <v>403.20000000000005</v>
      </c>
      <c r="K13">
        <v>66</v>
      </c>
      <c r="L13">
        <f t="shared" ref="L13:L14" si="2">(1000*I13)/(J13*K13)</f>
        <v>1.8789081289081286</v>
      </c>
      <c r="M13">
        <f t="shared" si="0"/>
        <v>124.00793650793649</v>
      </c>
      <c r="N13">
        <f>E13/F13</f>
        <v>3.5</v>
      </c>
      <c r="O13">
        <f>(0.85*84)/30</f>
        <v>2.38</v>
      </c>
      <c r="P13" t="s">
        <v>174</v>
      </c>
      <c r="Q13">
        <f t="shared" si="1"/>
        <v>285.71428571428572</v>
      </c>
      <c r="S13" t="s">
        <v>176</v>
      </c>
    </row>
    <row r="14" spans="4:19" x14ac:dyDescent="0.2">
      <c r="D14" t="s">
        <v>80</v>
      </c>
      <c r="E14">
        <v>114</v>
      </c>
      <c r="F14">
        <v>33</v>
      </c>
      <c r="G14">
        <v>7.4</v>
      </c>
      <c r="I14">
        <v>50</v>
      </c>
      <c r="J14">
        <v>403.20000000000005</v>
      </c>
      <c r="K14">
        <v>94</v>
      </c>
      <c r="L14">
        <f t="shared" si="2"/>
        <v>1.3192333671057075</v>
      </c>
      <c r="M14">
        <v>124</v>
      </c>
      <c r="N14">
        <f>E14/F14</f>
        <v>3.4545454545454546</v>
      </c>
      <c r="O14">
        <f>(0.8*114)/35</f>
        <v>2.6057142857142859</v>
      </c>
      <c r="P14" t="s">
        <v>174</v>
      </c>
      <c r="Q14">
        <f t="shared" si="1"/>
        <v>289.4736842105263</v>
      </c>
      <c r="S14" t="s">
        <v>177</v>
      </c>
    </row>
    <row r="15" spans="4:19" x14ac:dyDescent="0.2">
      <c r="D15" t="s">
        <v>178</v>
      </c>
      <c r="E15">
        <v>238</v>
      </c>
      <c r="F15">
        <v>60</v>
      </c>
      <c r="G15">
        <v>7.2</v>
      </c>
      <c r="I15">
        <v>80</v>
      </c>
      <c r="J15">
        <v>395</v>
      </c>
      <c r="K15">
        <v>166.67</v>
      </c>
      <c r="L15">
        <f>(1000*I15)/(J15*K15)</f>
        <v>1.2151655701063195</v>
      </c>
      <c r="M15">
        <f t="shared" si="0"/>
        <v>202.53164556962025</v>
      </c>
      <c r="N15">
        <f t="shared" ref="N15" si="3">E15/F15</f>
        <v>3.9666666666666668</v>
      </c>
      <c r="O15">
        <f>90/30</f>
        <v>3</v>
      </c>
      <c r="Q15">
        <f>1000/N15</f>
        <v>252.10084033613444</v>
      </c>
      <c r="S15" t="s">
        <v>179</v>
      </c>
    </row>
    <row r="16" spans="4:19" x14ac:dyDescent="0.2">
      <c r="D16" t="s">
        <v>89</v>
      </c>
      <c r="E16">
        <v>265</v>
      </c>
      <c r="F16">
        <v>90</v>
      </c>
      <c r="I16">
        <v>120</v>
      </c>
      <c r="J16">
        <v>403.20000000000005</v>
      </c>
      <c r="K16">
        <v>250</v>
      </c>
      <c r="L16">
        <f>(1000*I16)/(J16*K16)</f>
        <v>1.1904761904761902</v>
      </c>
      <c r="M16">
        <f>L16*K16</f>
        <v>297.61904761904754</v>
      </c>
      <c r="N16">
        <f>E16/F16</f>
        <v>2.9444444444444446</v>
      </c>
      <c r="O16">
        <f>170/30</f>
        <v>5.666666666666667</v>
      </c>
      <c r="Q16">
        <f t="shared" si="1"/>
        <v>339.62264150943395</v>
      </c>
      <c r="S16" s="15" t="s">
        <v>180</v>
      </c>
    </row>
    <row r="17" spans="4:18" x14ac:dyDescent="0.2">
      <c r="D17" t="s">
        <v>181</v>
      </c>
      <c r="O17">
        <f>(400*1000)/(Q17*60)</f>
        <v>22.222222222222221</v>
      </c>
      <c r="Q17">
        <v>300</v>
      </c>
      <c r="R17" t="s">
        <v>182</v>
      </c>
    </row>
    <row r="18" spans="4:18" x14ac:dyDescent="0.2">
      <c r="D18" t="s">
        <v>183</v>
      </c>
      <c r="E18">
        <v>265</v>
      </c>
      <c r="F18">
        <v>85</v>
      </c>
      <c r="G18">
        <v>10</v>
      </c>
      <c r="I18">
        <v>120</v>
      </c>
      <c r="K18">
        <v>236</v>
      </c>
      <c r="L18">
        <v>1.2</v>
      </c>
      <c r="M18">
        <f>K18*L18</f>
        <v>283.2</v>
      </c>
      <c r="N18">
        <f>E18/F18</f>
        <v>3.1176470588235294</v>
      </c>
      <c r="P18" s="13" t="s">
        <v>184</v>
      </c>
      <c r="Q18">
        <f>AVERAGE(Q11:Q16)</f>
        <v>295.35762987002789</v>
      </c>
    </row>
    <row r="19" spans="4:18" x14ac:dyDescent="0.2">
      <c r="P19" s="13"/>
    </row>
    <row r="20" spans="4:18" x14ac:dyDescent="0.2">
      <c r="D20" t="s">
        <v>74</v>
      </c>
    </row>
    <row r="21" spans="4:18" x14ac:dyDescent="0.2">
      <c r="E21" t="s">
        <v>165</v>
      </c>
      <c r="F21" t="s">
        <v>38</v>
      </c>
      <c r="G21" t="s">
        <v>166</v>
      </c>
      <c r="I21" t="s">
        <v>167</v>
      </c>
      <c r="K21" t="s">
        <v>169</v>
      </c>
      <c r="L21" t="s">
        <v>27</v>
      </c>
      <c r="M21" t="s">
        <v>26</v>
      </c>
    </row>
    <row r="22" spans="4:18" x14ac:dyDescent="0.2">
      <c r="D22" t="s">
        <v>173</v>
      </c>
      <c r="E22">
        <v>53</v>
      </c>
      <c r="F22">
        <v>18.399999999999999</v>
      </c>
      <c r="G22" s="9"/>
      <c r="I22" s="9" t="s">
        <v>69</v>
      </c>
      <c r="J22" s="9"/>
      <c r="K22" s="9">
        <v>51</v>
      </c>
      <c r="L22">
        <v>0.2</v>
      </c>
      <c r="M22">
        <f>K22*L22</f>
        <v>10.200000000000001</v>
      </c>
      <c r="N22">
        <f>E22/F22</f>
        <v>2.8804347826086958</v>
      </c>
      <c r="Q22" t="s">
        <v>185</v>
      </c>
    </row>
    <row r="23" spans="4:18" x14ac:dyDescent="0.2">
      <c r="D23" t="s">
        <v>36</v>
      </c>
      <c r="E23">
        <v>62</v>
      </c>
      <c r="F23">
        <v>16</v>
      </c>
      <c r="G23" s="9"/>
      <c r="I23" s="10">
        <v>50</v>
      </c>
      <c r="J23" s="10"/>
      <c r="K23" s="10">
        <v>50</v>
      </c>
      <c r="L23">
        <v>2.4</v>
      </c>
      <c r="M23">
        <f t="shared" ref="M23:M24" si="4">K23*L23</f>
        <v>120</v>
      </c>
      <c r="N23">
        <f t="shared" ref="N23" si="5">E23/F23</f>
        <v>3.875</v>
      </c>
      <c r="Q23" t="s">
        <v>186</v>
      </c>
    </row>
    <row r="24" spans="4:18" x14ac:dyDescent="0.2">
      <c r="D24" t="s">
        <v>55</v>
      </c>
      <c r="E24">
        <v>84</v>
      </c>
      <c r="F24">
        <v>24</v>
      </c>
      <c r="I24">
        <v>60</v>
      </c>
      <c r="K24">
        <v>66</v>
      </c>
      <c r="L24">
        <v>2</v>
      </c>
      <c r="M24">
        <f t="shared" si="4"/>
        <v>132</v>
      </c>
      <c r="N24">
        <f>E24/F24</f>
        <v>3.5</v>
      </c>
    </row>
    <row r="25" spans="4:18" x14ac:dyDescent="0.2">
      <c r="D25" t="s">
        <v>80</v>
      </c>
      <c r="E25">
        <v>114</v>
      </c>
      <c r="F25">
        <v>33</v>
      </c>
      <c r="I25">
        <v>50</v>
      </c>
      <c r="K25">
        <v>94</v>
      </c>
      <c r="L25" s="8">
        <v>1.32</v>
      </c>
      <c r="M25">
        <v>124</v>
      </c>
      <c r="N25">
        <f>E25/F25</f>
        <v>3.4545454545454546</v>
      </c>
    </row>
    <row r="26" spans="4:18" x14ac:dyDescent="0.2">
      <c r="D26" t="s">
        <v>178</v>
      </c>
      <c r="E26">
        <v>200</v>
      </c>
      <c r="F26">
        <v>60</v>
      </c>
      <c r="I26">
        <v>60</v>
      </c>
      <c r="K26">
        <v>166</v>
      </c>
      <c r="L26">
        <v>0.91139240506329122</v>
      </c>
      <c r="M26">
        <f t="shared" ref="M26:M27" si="6">K26*L26</f>
        <v>151.29113924050634</v>
      </c>
      <c r="N26">
        <f t="shared" ref="N26:N27" si="7">E26/F26</f>
        <v>3.3333333333333335</v>
      </c>
    </row>
    <row r="27" spans="4:18" x14ac:dyDescent="0.2">
      <c r="D27" t="s">
        <v>89</v>
      </c>
      <c r="E27">
        <v>265</v>
      </c>
      <c r="F27">
        <v>85</v>
      </c>
      <c r="I27">
        <v>120</v>
      </c>
      <c r="K27">
        <v>236</v>
      </c>
      <c r="L27">
        <v>1.2</v>
      </c>
      <c r="M27">
        <f t="shared" si="6"/>
        <v>283.2</v>
      </c>
      <c r="N27">
        <f t="shared" si="7"/>
        <v>3.1176470588235294</v>
      </c>
    </row>
    <row r="33" spans="4:22" x14ac:dyDescent="0.2">
      <c r="M33" s="11"/>
    </row>
    <row r="41" spans="4:22" x14ac:dyDescent="0.2">
      <c r="U41" t="s">
        <v>187</v>
      </c>
      <c r="V41">
        <v>10</v>
      </c>
    </row>
    <row r="42" spans="4:22" x14ac:dyDescent="0.2">
      <c r="U42" t="s">
        <v>188</v>
      </c>
      <c r="V42">
        <v>4.8</v>
      </c>
    </row>
    <row r="43" spans="4:22" x14ac:dyDescent="0.2">
      <c r="D43" s="5" t="s">
        <v>178</v>
      </c>
      <c r="U43" t="s">
        <v>189</v>
      </c>
      <c r="V43">
        <f>0.8*V41</f>
        <v>8</v>
      </c>
    </row>
    <row r="44" spans="4:22" s="1" customFormat="1" ht="32" x14ac:dyDescent="0.2">
      <c r="D44" s="14" t="s">
        <v>190</v>
      </c>
      <c r="E44" s="1" t="s">
        <v>191</v>
      </c>
      <c r="F44" s="1" t="s">
        <v>61</v>
      </c>
      <c r="G44" s="1" t="s">
        <v>192</v>
      </c>
      <c r="I44" s="1" t="s">
        <v>193</v>
      </c>
      <c r="U44" s="1" t="s">
        <v>194</v>
      </c>
      <c r="V44" s="1">
        <f>(0.8/V42)*60</f>
        <v>10.000000000000002</v>
      </c>
    </row>
    <row r="45" spans="4:22" x14ac:dyDescent="0.2">
      <c r="D45" s="11">
        <v>1.8</v>
      </c>
      <c r="E45">
        <f>1000*D45/(395*166.67)</f>
        <v>2.734122532739219E-2</v>
      </c>
      <c r="F45">
        <f>0.5*(60/E45)</f>
        <v>1097.2441666666666</v>
      </c>
      <c r="G45">
        <f>0.8*(60/E45)</f>
        <v>1755.5906666666667</v>
      </c>
      <c r="H45">
        <v>10</v>
      </c>
      <c r="I45">
        <f>E45*166.5</f>
        <v>4.5523140170107999</v>
      </c>
    </row>
    <row r="46" spans="4:22" x14ac:dyDescent="0.2">
      <c r="D46" s="11">
        <v>10</v>
      </c>
      <c r="E46">
        <f t="shared" ref="E46:E62" si="8">1000*D46/(395*166.67)</f>
        <v>0.15189569626328994</v>
      </c>
      <c r="F46">
        <f t="shared" ref="F46:F62" si="9">0.5*(60/E46)</f>
        <v>197.50394999999997</v>
      </c>
      <c r="G46">
        <f t="shared" ref="G46:G62" si="10">0.8*(60/E46)</f>
        <v>316.00631999999996</v>
      </c>
      <c r="H46">
        <v>10</v>
      </c>
      <c r="I46">
        <f t="shared" ref="I46:I62" si="11">E46*166.5</f>
        <v>25.290633427837776</v>
      </c>
    </row>
    <row r="47" spans="4:22" x14ac:dyDescent="0.2">
      <c r="D47" s="11">
        <v>20</v>
      </c>
      <c r="E47">
        <f t="shared" si="8"/>
        <v>0.30379139252657988</v>
      </c>
      <c r="F47">
        <f t="shared" si="9"/>
        <v>98.751974999999987</v>
      </c>
      <c r="G47">
        <f t="shared" si="10"/>
        <v>158.00315999999998</v>
      </c>
      <c r="H47">
        <v>10</v>
      </c>
      <c r="I47">
        <f t="shared" si="11"/>
        <v>50.581266855675551</v>
      </c>
    </row>
    <row r="48" spans="4:22" x14ac:dyDescent="0.2">
      <c r="D48" s="12">
        <v>30</v>
      </c>
      <c r="E48">
        <f t="shared" si="8"/>
        <v>0.4556870887898698</v>
      </c>
      <c r="F48">
        <f t="shared" si="9"/>
        <v>65.834649999999996</v>
      </c>
      <c r="G48">
        <f t="shared" si="10"/>
        <v>105.33544000000001</v>
      </c>
      <c r="H48">
        <v>10</v>
      </c>
      <c r="I48">
        <f t="shared" si="11"/>
        <v>75.871900283513327</v>
      </c>
    </row>
    <row r="49" spans="4:9" x14ac:dyDescent="0.2">
      <c r="D49" s="12">
        <v>40</v>
      </c>
      <c r="E49">
        <f t="shared" si="8"/>
        <v>0.60758278505315977</v>
      </c>
      <c r="F49">
        <f t="shared" si="9"/>
        <v>49.375987499999994</v>
      </c>
      <c r="G49">
        <f t="shared" si="10"/>
        <v>79.00157999999999</v>
      </c>
      <c r="H49">
        <v>10</v>
      </c>
      <c r="I49">
        <f t="shared" si="11"/>
        <v>101.1625337113511</v>
      </c>
    </row>
    <row r="50" spans="4:9" x14ac:dyDescent="0.2">
      <c r="D50">
        <v>50</v>
      </c>
      <c r="E50">
        <f t="shared" si="8"/>
        <v>0.75947848131644968</v>
      </c>
      <c r="F50">
        <f t="shared" si="9"/>
        <v>39.500789999999995</v>
      </c>
      <c r="G50">
        <f t="shared" si="10"/>
        <v>63.201263999999995</v>
      </c>
      <c r="H50">
        <v>10</v>
      </c>
      <c r="I50">
        <f t="shared" si="11"/>
        <v>126.45316713918888</v>
      </c>
    </row>
    <row r="51" spans="4:9" x14ac:dyDescent="0.2">
      <c r="D51">
        <v>60</v>
      </c>
      <c r="E51">
        <f>1000*D51/(395*166.67)</f>
        <v>0.9113741775797396</v>
      </c>
      <c r="F51">
        <f t="shared" si="9"/>
        <v>32.917324999999998</v>
      </c>
      <c r="G51">
        <f t="shared" si="10"/>
        <v>52.667720000000003</v>
      </c>
      <c r="H51">
        <v>10</v>
      </c>
      <c r="I51">
        <f t="shared" si="11"/>
        <v>151.74380056702665</v>
      </c>
    </row>
    <row r="52" spans="4:9" x14ac:dyDescent="0.2">
      <c r="D52">
        <v>80</v>
      </c>
      <c r="E52">
        <f t="shared" si="8"/>
        <v>1.2151655701063195</v>
      </c>
      <c r="F52">
        <f t="shared" si="9"/>
        <v>24.687993749999997</v>
      </c>
      <c r="G52">
        <f t="shared" si="10"/>
        <v>39.500789999999995</v>
      </c>
      <c r="H52">
        <v>10</v>
      </c>
      <c r="I52">
        <f t="shared" si="11"/>
        <v>202.3250674227022</v>
      </c>
    </row>
    <row r="53" spans="4:9" x14ac:dyDescent="0.2">
      <c r="D53">
        <v>100</v>
      </c>
      <c r="E53">
        <f>1000*D53/(395*166.67)</f>
        <v>1.5189569626328994</v>
      </c>
      <c r="F53">
        <f t="shared" si="9"/>
        <v>19.750394999999997</v>
      </c>
      <c r="G53">
        <f t="shared" si="10"/>
        <v>31.600631999999997</v>
      </c>
      <c r="H53">
        <v>10</v>
      </c>
      <c r="I53">
        <f t="shared" si="11"/>
        <v>252.90633427837776</v>
      </c>
    </row>
    <row r="54" spans="4:9" s="5" customFormat="1" x14ac:dyDescent="0.2">
      <c r="D54" s="16">
        <v>120</v>
      </c>
      <c r="E54" s="5">
        <f t="shared" si="8"/>
        <v>1.8227483551594792</v>
      </c>
      <c r="F54" s="5">
        <f t="shared" si="9"/>
        <v>16.458662499999999</v>
      </c>
      <c r="G54">
        <f t="shared" si="10"/>
        <v>26.333860000000001</v>
      </c>
      <c r="H54" s="5">
        <v>10</v>
      </c>
      <c r="I54" s="5">
        <f t="shared" si="11"/>
        <v>303.48760113405331</v>
      </c>
    </row>
    <row r="55" spans="4:9" x14ac:dyDescent="0.2">
      <c r="D55" s="11">
        <v>135</v>
      </c>
      <c r="E55">
        <f t="shared" si="8"/>
        <v>2.0505918995544143</v>
      </c>
      <c r="F55">
        <f t="shared" si="9"/>
        <v>14.62992222222222</v>
      </c>
      <c r="G55">
        <f t="shared" si="10"/>
        <v>23.407875555555552</v>
      </c>
      <c r="H55">
        <v>10</v>
      </c>
      <c r="I55">
        <f t="shared" si="11"/>
        <v>341.42355127580998</v>
      </c>
    </row>
    <row r="56" spans="4:9" x14ac:dyDescent="0.2">
      <c r="D56" s="11">
        <v>150</v>
      </c>
      <c r="E56">
        <f t="shared" si="8"/>
        <v>2.2784354439493493</v>
      </c>
      <c r="F56">
        <f t="shared" si="9"/>
        <v>13.166929999999997</v>
      </c>
      <c r="G56">
        <f t="shared" si="10"/>
        <v>21.067087999999998</v>
      </c>
      <c r="H56">
        <v>10</v>
      </c>
      <c r="I56">
        <f t="shared" si="11"/>
        <v>379.35950141756666</v>
      </c>
    </row>
    <row r="57" spans="4:9" x14ac:dyDescent="0.2">
      <c r="D57" s="11">
        <v>200</v>
      </c>
      <c r="E57">
        <f t="shared" si="8"/>
        <v>3.0379139252657987</v>
      </c>
      <c r="F57">
        <f t="shared" si="9"/>
        <v>9.8751974999999987</v>
      </c>
      <c r="G57">
        <f t="shared" si="10"/>
        <v>15.800315999999999</v>
      </c>
      <c r="H57">
        <v>10</v>
      </c>
      <c r="I57">
        <f t="shared" si="11"/>
        <v>505.81266855675551</v>
      </c>
    </row>
    <row r="58" spans="4:9" x14ac:dyDescent="0.2">
      <c r="D58" s="11">
        <v>250</v>
      </c>
      <c r="E58">
        <f>1000*D58/(395*166.67)</f>
        <v>3.7973924065822486</v>
      </c>
      <c r="F58">
        <f t="shared" si="9"/>
        <v>7.9001579999999985</v>
      </c>
      <c r="G58">
        <f t="shared" si="10"/>
        <v>12.640252799999999</v>
      </c>
      <c r="H58">
        <v>10</v>
      </c>
      <c r="I58">
        <f t="shared" si="11"/>
        <v>632.26583569594436</v>
      </c>
    </row>
    <row r="59" spans="4:9" x14ac:dyDescent="0.2">
      <c r="D59" s="11">
        <v>300</v>
      </c>
      <c r="E59">
        <f t="shared" si="8"/>
        <v>4.5568708878986985</v>
      </c>
      <c r="F59">
        <f t="shared" si="9"/>
        <v>6.5834649999999986</v>
      </c>
      <c r="G59">
        <f t="shared" si="10"/>
        <v>10.533543999999999</v>
      </c>
      <c r="H59">
        <v>10</v>
      </c>
      <c r="I59">
        <f t="shared" si="11"/>
        <v>758.71900283513332</v>
      </c>
    </row>
    <row r="60" spans="4:9" x14ac:dyDescent="0.2">
      <c r="D60" s="11"/>
      <c r="E60" s="18">
        <f>E59+((E61-E59)*(G59-10))/(G59-G61)</f>
        <v>4.8261540757648644</v>
      </c>
      <c r="G60" s="17">
        <v>10</v>
      </c>
    </row>
    <row r="61" spans="4:9" x14ac:dyDescent="0.2">
      <c r="D61" s="11">
        <v>350</v>
      </c>
      <c r="E61">
        <f t="shared" si="8"/>
        <v>5.316349369215148</v>
      </c>
      <c r="F61">
        <f t="shared" si="9"/>
        <v>5.6429699999999992</v>
      </c>
      <c r="G61">
        <f t="shared" si="10"/>
        <v>9.028751999999999</v>
      </c>
      <c r="H61">
        <v>10</v>
      </c>
      <c r="I61">
        <f t="shared" si="11"/>
        <v>885.17216997432217</v>
      </c>
    </row>
    <row r="62" spans="4:9" x14ac:dyDescent="0.2">
      <c r="D62" s="12">
        <v>400</v>
      </c>
      <c r="E62">
        <f t="shared" si="8"/>
        <v>6.0758278505315975</v>
      </c>
      <c r="F62">
        <f t="shared" si="9"/>
        <v>4.9375987499999994</v>
      </c>
      <c r="G62">
        <f t="shared" si="10"/>
        <v>7.9001579999999993</v>
      </c>
      <c r="H62">
        <v>10</v>
      </c>
      <c r="I62">
        <f t="shared" si="11"/>
        <v>1011.625337113511</v>
      </c>
    </row>
    <row r="65" spans="4:7" x14ac:dyDescent="0.2">
      <c r="D65" s="11" t="s">
        <v>195</v>
      </c>
    </row>
    <row r="66" spans="4:7" ht="32" x14ac:dyDescent="0.2">
      <c r="D66" s="11" t="s">
        <v>190</v>
      </c>
      <c r="E66" t="s">
        <v>191</v>
      </c>
      <c r="F66" s="1" t="s">
        <v>61</v>
      </c>
      <c r="G66" s="1" t="s">
        <v>192</v>
      </c>
    </row>
    <row r="67" spans="4:7" x14ac:dyDescent="0.2">
      <c r="D67" s="11">
        <v>1.8</v>
      </c>
      <c r="E67" s="11">
        <f>(D67*1000)/(403.2*250)</f>
        <v>1.7857142857142856E-2</v>
      </c>
      <c r="F67">
        <f>0.5*(60/E67)</f>
        <v>1680</v>
      </c>
      <c r="G67">
        <f>0.8*(60/E67)</f>
        <v>2688</v>
      </c>
    </row>
    <row r="68" spans="4:7" x14ac:dyDescent="0.2">
      <c r="D68" s="11">
        <v>10</v>
      </c>
      <c r="E68" s="11">
        <f>(D68*1000)/(403.2*250)</f>
        <v>9.9206349206349201E-2</v>
      </c>
      <c r="F68">
        <f t="shared" ref="F68:F75" si="12">0.5*(60/E68)</f>
        <v>302.40000000000003</v>
      </c>
      <c r="G68">
        <f t="shared" ref="G68:G83" si="13">0.8*(60/E68)</f>
        <v>483.84000000000009</v>
      </c>
    </row>
    <row r="69" spans="4:7" x14ac:dyDescent="0.2">
      <c r="D69" s="11">
        <v>20</v>
      </c>
      <c r="E69" s="11">
        <f t="shared" ref="E69:E72" si="14">(D69*1000)/(403.2*250)</f>
        <v>0.1984126984126984</v>
      </c>
      <c r="F69">
        <f t="shared" si="12"/>
        <v>151.20000000000002</v>
      </c>
      <c r="G69">
        <f t="shared" si="13"/>
        <v>241.92000000000004</v>
      </c>
    </row>
    <row r="70" spans="4:7" x14ac:dyDescent="0.2">
      <c r="D70" s="12">
        <v>30</v>
      </c>
      <c r="E70" s="11">
        <f t="shared" si="14"/>
        <v>0.29761904761904762</v>
      </c>
      <c r="F70">
        <f t="shared" si="12"/>
        <v>100.8</v>
      </c>
      <c r="G70">
        <f t="shared" si="13"/>
        <v>161.28</v>
      </c>
    </row>
    <row r="71" spans="4:7" x14ac:dyDescent="0.2">
      <c r="D71" s="12">
        <v>40</v>
      </c>
      <c r="E71" s="11">
        <f t="shared" si="14"/>
        <v>0.3968253968253968</v>
      </c>
      <c r="F71">
        <f t="shared" si="12"/>
        <v>75.600000000000009</v>
      </c>
      <c r="G71">
        <f t="shared" si="13"/>
        <v>120.96000000000002</v>
      </c>
    </row>
    <row r="72" spans="4:7" x14ac:dyDescent="0.2">
      <c r="D72">
        <v>50</v>
      </c>
      <c r="E72" s="11">
        <f t="shared" si="14"/>
        <v>0.49603174603174605</v>
      </c>
      <c r="F72">
        <f t="shared" si="12"/>
        <v>60.48</v>
      </c>
      <c r="G72">
        <f t="shared" si="13"/>
        <v>96.768000000000001</v>
      </c>
    </row>
    <row r="73" spans="4:7" x14ac:dyDescent="0.2">
      <c r="D73">
        <v>60</v>
      </c>
      <c r="E73" s="11">
        <f t="shared" ref="E73:E83" si="15">(D73*1000)/(403.2*250)</f>
        <v>0.59523809523809523</v>
      </c>
      <c r="F73">
        <f t="shared" si="12"/>
        <v>50.4</v>
      </c>
      <c r="G73">
        <f t="shared" si="13"/>
        <v>80.64</v>
      </c>
    </row>
    <row r="74" spans="4:7" x14ac:dyDescent="0.2">
      <c r="D74">
        <v>80</v>
      </c>
      <c r="E74" s="12">
        <f t="shared" si="15"/>
        <v>0.79365079365079361</v>
      </c>
      <c r="F74">
        <f t="shared" si="12"/>
        <v>37.800000000000004</v>
      </c>
      <c r="G74">
        <f t="shared" si="13"/>
        <v>60.480000000000011</v>
      </c>
    </row>
    <row r="75" spans="4:7" x14ac:dyDescent="0.2">
      <c r="D75">
        <v>100</v>
      </c>
      <c r="E75" s="11">
        <f t="shared" si="15"/>
        <v>0.99206349206349209</v>
      </c>
      <c r="F75">
        <f t="shared" si="12"/>
        <v>30.24</v>
      </c>
      <c r="G75">
        <f t="shared" si="13"/>
        <v>48.384</v>
      </c>
    </row>
    <row r="76" spans="4:7" x14ac:dyDescent="0.2">
      <c r="D76" s="11">
        <v>120</v>
      </c>
      <c r="E76" s="11">
        <f>(D76*1000)/(403.2*250)</f>
        <v>1.1904761904761905</v>
      </c>
      <c r="F76">
        <f t="shared" ref="F76:F83" si="16">0.5*(60/E76)</f>
        <v>25.2</v>
      </c>
      <c r="G76">
        <f t="shared" si="13"/>
        <v>40.32</v>
      </c>
    </row>
    <row r="77" spans="4:7" x14ac:dyDescent="0.2">
      <c r="D77" s="11">
        <v>135</v>
      </c>
      <c r="E77" s="11">
        <f>(D77*1000)/(403.2*250)</f>
        <v>1.3392857142857142</v>
      </c>
      <c r="F77">
        <f t="shared" si="16"/>
        <v>22.400000000000002</v>
      </c>
      <c r="G77">
        <f t="shared" si="13"/>
        <v>35.840000000000003</v>
      </c>
    </row>
    <row r="78" spans="4:7" x14ac:dyDescent="0.2">
      <c r="D78" s="11">
        <v>150</v>
      </c>
      <c r="E78" s="11">
        <f t="shared" si="15"/>
        <v>1.4880952380952381</v>
      </c>
      <c r="F78">
        <f t="shared" si="16"/>
        <v>20.16</v>
      </c>
      <c r="G78">
        <f t="shared" si="13"/>
        <v>32.256</v>
      </c>
    </row>
    <row r="79" spans="4:7" x14ac:dyDescent="0.2">
      <c r="D79" s="11">
        <v>200</v>
      </c>
      <c r="E79" s="11">
        <f t="shared" si="15"/>
        <v>1.9841269841269842</v>
      </c>
      <c r="F79">
        <f t="shared" si="16"/>
        <v>15.12</v>
      </c>
      <c r="G79">
        <f t="shared" si="13"/>
        <v>24.192</v>
      </c>
    </row>
    <row r="80" spans="4:7" x14ac:dyDescent="0.2">
      <c r="D80" s="11">
        <v>250</v>
      </c>
      <c r="E80" s="11">
        <f t="shared" si="15"/>
        <v>2.4801587301587302</v>
      </c>
      <c r="F80">
        <f t="shared" si="16"/>
        <v>12.096</v>
      </c>
      <c r="G80">
        <f t="shared" si="13"/>
        <v>19.3536</v>
      </c>
    </row>
    <row r="81" spans="4:7" x14ac:dyDescent="0.2">
      <c r="D81" s="11">
        <v>300</v>
      </c>
      <c r="E81" s="11">
        <f t="shared" si="15"/>
        <v>2.9761904761904763</v>
      </c>
      <c r="F81">
        <f t="shared" si="16"/>
        <v>10.08</v>
      </c>
      <c r="G81">
        <f t="shared" si="13"/>
        <v>16.128</v>
      </c>
    </row>
    <row r="82" spans="4:7" x14ac:dyDescent="0.2">
      <c r="D82" s="11">
        <v>350</v>
      </c>
      <c r="E82" s="11">
        <f t="shared" si="15"/>
        <v>3.4722222222222223</v>
      </c>
      <c r="F82">
        <f t="shared" si="16"/>
        <v>8.64</v>
      </c>
      <c r="G82">
        <f t="shared" si="13"/>
        <v>13.824000000000002</v>
      </c>
    </row>
    <row r="83" spans="4:7" x14ac:dyDescent="0.2">
      <c r="D83" s="12">
        <v>400</v>
      </c>
      <c r="E83" s="12">
        <f t="shared" si="15"/>
        <v>3.9682539682539684</v>
      </c>
      <c r="F83">
        <f t="shared" si="16"/>
        <v>7.56</v>
      </c>
      <c r="G83">
        <f t="shared" si="13"/>
        <v>12.096</v>
      </c>
    </row>
    <row r="84" spans="4:7" x14ac:dyDescent="0.2">
      <c r="D84" t="s">
        <v>55</v>
      </c>
    </row>
    <row r="85" spans="4:7" ht="32" x14ac:dyDescent="0.2">
      <c r="D85" t="s">
        <v>60</v>
      </c>
      <c r="E85" t="s">
        <v>27</v>
      </c>
      <c r="F85" t="s">
        <v>61</v>
      </c>
      <c r="G85" s="1" t="s">
        <v>192</v>
      </c>
    </row>
    <row r="86" spans="4:7" x14ac:dyDescent="0.2">
      <c r="D86" s="11">
        <v>1.8</v>
      </c>
      <c r="E86">
        <f>(D86*1000)/(403.2*66.2)</f>
        <v>6.7436340094950364E-2</v>
      </c>
      <c r="F86">
        <f>0.5*(60/E86)</f>
        <v>444.86400000000003</v>
      </c>
      <c r="G86">
        <f>0.8*(60/E86)</f>
        <v>711.78240000000005</v>
      </c>
    </row>
    <row r="87" spans="4:7" x14ac:dyDescent="0.2">
      <c r="D87" s="11">
        <v>10</v>
      </c>
      <c r="E87">
        <f>(D87*1000)/(403.2*66.2)</f>
        <v>0.37464633386083535</v>
      </c>
      <c r="F87">
        <f t="shared" ref="F87:F103" si="17">0.5*(60/E87)</f>
        <v>80.075520000000012</v>
      </c>
      <c r="G87">
        <f t="shared" ref="G87:G103" si="18">0.8*(60/E87)</f>
        <v>128.12083200000004</v>
      </c>
    </row>
    <row r="88" spans="4:7" x14ac:dyDescent="0.2">
      <c r="D88" s="12">
        <v>20</v>
      </c>
      <c r="E88">
        <f>(D88*1000)/(403.2*66.2)</f>
        <v>0.74929266772167069</v>
      </c>
      <c r="F88">
        <f t="shared" si="17"/>
        <v>40.037760000000006</v>
      </c>
      <c r="G88">
        <f t="shared" si="18"/>
        <v>64.060416000000018</v>
      </c>
    </row>
    <row r="89" spans="4:7" x14ac:dyDescent="0.2">
      <c r="D89" s="12">
        <v>30</v>
      </c>
      <c r="E89">
        <f>(D89*1000)/(403.2*66.2)</f>
        <v>1.1239390015825061</v>
      </c>
      <c r="F89">
        <f t="shared" si="17"/>
        <v>26.691839999999999</v>
      </c>
      <c r="G89">
        <f t="shared" si="18"/>
        <v>42.706944</v>
      </c>
    </row>
    <row r="90" spans="4:7" x14ac:dyDescent="0.2">
      <c r="D90" s="12">
        <v>40</v>
      </c>
      <c r="E90">
        <f>(D90*1000)/(403.2*66.2)</f>
        <v>1.4985853354433414</v>
      </c>
      <c r="F90">
        <f t="shared" si="17"/>
        <v>20.018880000000003</v>
      </c>
      <c r="G90">
        <f t="shared" si="18"/>
        <v>32.030208000000009</v>
      </c>
    </row>
    <row r="91" spans="4:7" x14ac:dyDescent="0.2">
      <c r="D91">
        <v>50</v>
      </c>
      <c r="E91">
        <f t="shared" ref="E91:E103" si="19">(D91*1000)/(403.2*66.2)</f>
        <v>1.8732316693041768</v>
      </c>
      <c r="F91">
        <f t="shared" si="17"/>
        <v>16.015104000000001</v>
      </c>
      <c r="G91">
        <f t="shared" si="18"/>
        <v>25.624166400000004</v>
      </c>
    </row>
    <row r="92" spans="4:7" x14ac:dyDescent="0.2">
      <c r="D92">
        <v>60</v>
      </c>
      <c r="E92">
        <f>(D92*1000)/(403.2*66.2)</f>
        <v>2.2478780031650123</v>
      </c>
      <c r="F92">
        <f t="shared" si="17"/>
        <v>13.34592</v>
      </c>
      <c r="G92">
        <f t="shared" si="18"/>
        <v>21.353472</v>
      </c>
    </row>
    <row r="93" spans="4:7" x14ac:dyDescent="0.2">
      <c r="D93">
        <v>80</v>
      </c>
      <c r="E93">
        <f t="shared" si="19"/>
        <v>2.9971706708866828</v>
      </c>
      <c r="F93">
        <f t="shared" si="17"/>
        <v>10.009440000000001</v>
      </c>
      <c r="G93">
        <f t="shared" si="18"/>
        <v>16.015104000000004</v>
      </c>
    </row>
    <row r="94" spans="4:7" x14ac:dyDescent="0.2">
      <c r="D94">
        <v>100</v>
      </c>
      <c r="E94">
        <f t="shared" si="19"/>
        <v>3.7464633386083537</v>
      </c>
      <c r="F94">
        <f t="shared" si="17"/>
        <v>8.0075520000000004</v>
      </c>
      <c r="G94">
        <f t="shared" si="18"/>
        <v>12.812083200000002</v>
      </c>
    </row>
    <row r="95" spans="4:7" x14ac:dyDescent="0.2">
      <c r="D95" s="11">
        <v>120</v>
      </c>
      <c r="E95">
        <f t="shared" si="19"/>
        <v>4.4957560063300246</v>
      </c>
      <c r="F95">
        <f t="shared" si="17"/>
        <v>6.6729599999999998</v>
      </c>
      <c r="G95">
        <f t="shared" si="18"/>
        <v>10.676736</v>
      </c>
    </row>
    <row r="96" spans="4:7" x14ac:dyDescent="0.2">
      <c r="D96" s="11"/>
      <c r="E96" s="18">
        <f>E95+((E97-E95)*(G95-10))/(G95-G97)</f>
        <v>4.8163357161577496</v>
      </c>
      <c r="G96" s="17">
        <v>10</v>
      </c>
    </row>
    <row r="97" spans="4:7" x14ac:dyDescent="0.2">
      <c r="D97" s="11">
        <v>135</v>
      </c>
      <c r="E97">
        <f t="shared" si="19"/>
        <v>5.0577255071212779</v>
      </c>
      <c r="F97">
        <f t="shared" si="17"/>
        <v>5.9315199999999999</v>
      </c>
      <c r="G97">
        <f t="shared" si="18"/>
        <v>9.4904320000000002</v>
      </c>
    </row>
    <row r="98" spans="4:7" x14ac:dyDescent="0.2">
      <c r="D98" s="11">
        <v>150</v>
      </c>
      <c r="E98">
        <f t="shared" si="19"/>
        <v>5.6196950079125303</v>
      </c>
      <c r="F98">
        <f t="shared" si="17"/>
        <v>5.338368</v>
      </c>
      <c r="G98">
        <f t="shared" si="18"/>
        <v>8.5413888</v>
      </c>
    </row>
    <row r="99" spans="4:7" x14ac:dyDescent="0.2">
      <c r="D99" s="11">
        <v>200</v>
      </c>
      <c r="E99">
        <f t="shared" si="19"/>
        <v>7.4929266772167074</v>
      </c>
      <c r="F99">
        <f t="shared" si="17"/>
        <v>4.0037760000000002</v>
      </c>
      <c r="G99">
        <f t="shared" si="18"/>
        <v>6.4060416000000009</v>
      </c>
    </row>
    <row r="100" spans="4:7" x14ac:dyDescent="0.2">
      <c r="D100" s="11">
        <v>250</v>
      </c>
      <c r="E100">
        <f t="shared" si="19"/>
        <v>9.3661583465208835</v>
      </c>
      <c r="F100">
        <f t="shared" si="17"/>
        <v>3.2030208000000004</v>
      </c>
      <c r="G100">
        <f t="shared" si="18"/>
        <v>5.1248332800000007</v>
      </c>
    </row>
    <row r="101" spans="4:7" x14ac:dyDescent="0.2">
      <c r="D101" s="11">
        <v>300</v>
      </c>
      <c r="E101">
        <f>(D101*1000)/(403.2*66.2)</f>
        <v>11.239390015825061</v>
      </c>
      <c r="F101">
        <f t="shared" si="17"/>
        <v>2.669184</v>
      </c>
      <c r="G101">
        <f t="shared" si="18"/>
        <v>4.2706944</v>
      </c>
    </row>
    <row r="102" spans="4:7" x14ac:dyDescent="0.2">
      <c r="D102" s="11">
        <v>350</v>
      </c>
      <c r="E102">
        <f t="shared" si="19"/>
        <v>13.112621685129238</v>
      </c>
      <c r="F102">
        <f t="shared" si="17"/>
        <v>2.2878720000000001</v>
      </c>
      <c r="G102">
        <f t="shared" si="18"/>
        <v>3.6605952000000004</v>
      </c>
    </row>
    <row r="103" spans="4:7" x14ac:dyDescent="0.2">
      <c r="D103" s="12">
        <v>400</v>
      </c>
      <c r="E103">
        <f t="shared" si="19"/>
        <v>14.985853354433415</v>
      </c>
      <c r="F103">
        <f t="shared" si="17"/>
        <v>2.0018880000000001</v>
      </c>
      <c r="G103">
        <f t="shared" si="18"/>
        <v>3.2030208000000004</v>
      </c>
    </row>
  </sheetData>
  <hyperlinks>
    <hyperlink ref="S16" r:id="rId1" xr:uid="{00000000-0004-0000-06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Chevy Volt</vt:lpstr>
      <vt:lpstr>Mitsubishi i-MiEV</vt:lpstr>
      <vt:lpstr>Nissan Leaf</vt:lpstr>
      <vt:lpstr>Chevy Bolt</vt:lpstr>
      <vt:lpstr>BMWi3</vt:lpstr>
      <vt:lpstr>Tesla Model S</vt:lpstr>
      <vt:lpstr>Tesla</vt:lpstr>
      <vt:lpstr>note</vt:lpstr>
      <vt:lpstr>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2022-09-27T23:38:54Z</dcterms:modified>
  <cp:category/>
  <cp:contentStatus/>
</cp:coreProperties>
</file>