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7B3D4B0E-33CB-4DF8-8DE8-C62DAF5DD632}" xr6:coauthVersionLast="47" xr6:coauthVersionMax="47" xr10:uidLastSave="{00000000-0000-0000-0000-000000000000}"/>
  <bookViews>
    <workbookView xWindow="-28920" yWindow="-120" windowWidth="29040" windowHeight="17520" tabRatio="877" activeTab="4"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externalReferences>
    <externalReference r:id="rId6"/>
  </externalReference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E15" i="4" s="1"/>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<sst xmlns="http://schemas.openxmlformats.org/spreadsheetml/2006/main" count="1921" uniqueCount="541">
  <si>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</si>
  <si>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</si>
  <si>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</si>
  <si>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</si>
  <si>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</si>
  <si>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</si>
  <si>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</si>
  <si>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</si>
  <si>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</si>
  <si>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</si>
  <si>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</si>
  <si>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</si>
  <si>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</si>
  <si>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</si>
  <si>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</si>
  <si>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</si>
  <si>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</si>
  <si>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</si>
  <si>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</si>
  <si>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</si>
  <si>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</si>
  <si>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</si>
  <si>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</si>
  <si>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</si>
  <si>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</si>
  <si>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</si>
  <si>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</si>
  <si>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</si>
  <si>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</si>
  <si>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</si>
  <si>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</si>
  <si>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</si>
  <si>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</si>
  <si>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</si>
  <si>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</si>
  <si>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</si>
  <si>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</si>
  <si>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</si>
  <si>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</si>
  <si>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</si>
  <si>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</si>
  <si>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</si>
  <si>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</si>
  <si>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</si>
  <si>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</si>
  <si>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</si>
  <si>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</si>
  <si>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</si>
  <si>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</si>
  <si>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</si>
  <si>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</si>
  <si>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</si>
  <si>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</si>
  <si>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</si>
  <si>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</si>
  <si>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</si>
  <si>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</si>
  <si>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</si>
  <si>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</si>
  <si>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</si>
  <si>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</si>
  <si>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</si>
  <si>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</si>
  <si>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</si>
  <si>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</si>
  <si>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</si>
  <si>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</si>
  <si>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</si>
  <si>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</si>
  <si>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</si>
  <si>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</si>
  <si>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</si>
  <si>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</si>
  <si>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</si>
  <si>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</si>
  <si>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</si>
  <si>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</si>
  <si>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</si>
  <si>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</si>
  <si>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</si>
  <si>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</si>
  <si>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</si>
  <si>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</si>
  <si>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</si>
  <si>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</si>
  <si>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</si>
  <si>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</si>
  <si>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</si>
  <si>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</si>
  <si>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</si>
  <si>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</si>
  <si>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</si>
  <si>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</si>
  <si>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</si>
  <si>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</si>
  <si>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</si>
  <si>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</si>
  <si>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</si>
  <si>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</si>
  <si>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</si>
  <si>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</si>
  <si>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</si>
  <si>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</si>
  <si>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</si>
  <si>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</si>
  <si>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</si>
  <si>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</si>
  <si>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</si>
  <si>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</si>
  <si>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</si>
  <si>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</si>
  <si>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</si>
  <si>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</si>
  <si>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</si>
  <si>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</si>
  <si>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</si>
  <si>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</si>
  <si>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</si>
  <si>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</si>
  <si>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</si>
  <si>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</si>
  <si>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</si>
  <si>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</si>
  <si>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</si>
  <si>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</si>
  <si>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</si>
  <si>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</si>
  <si>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</si>
  <si>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</si>
  <si>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</si>
  <si>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</si>
  <si>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</si>
  <si>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</si>
  <si>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</si>
  <si>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</si>
  <si>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</si>
  <si>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</si>
  <si>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</si>
  <si>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</si>
  <si>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</si>
  <si>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</si>
  <si>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</si>
  <si>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</si>
  <si>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</si>
  <si>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</si>
  <si>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</si>
  <si>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</si>
  <si>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</si>
  <si>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</si>
  <si>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</si>
  <si>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</si>
  <si>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</si>
  <si>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</si>
  <si>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</si>
  <si>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</si>
  <si>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</si>
  <si>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</si>
  <si>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</si>
  <si>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</si>
  <si>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</si>
  <si>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</si>
  <si>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</si>
  <si>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</si>
  <si>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</si>
  <si>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</si>
  <si>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</si>
  <si>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</si>
  <si>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</si>
  <si>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</si>
  <si>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</si>
  <si>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</si>
  <si>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</si>
  <si>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</si>
  <si>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</si>
  <si>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</si>
  <si>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</si>
  <si>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</si>
  <si>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</si>
  <si>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</si>
  <si>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</si>
  <si>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</si>
  <si>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</si>
  <si>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</si>
  <si>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</si>
  <si>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</si>
  <si>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</si>
  <si>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</si>
  <si>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</si>
  <si>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</si>
  <si>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</si>
  <si>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</si>
  <si>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</si>
  <si>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</si>
  <si>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</si>
  <si>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</si>
  <si>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</si>
  <si>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</si>
  <si>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</si>
  <si>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</si>
  <si>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</si>
  <si>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</si>
  <si>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</si>
  <si>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</si>
  <si>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</si>
  <si>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</si>
  <si>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</si>
  <si>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</si>
  <si>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</si>
  <si>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</si>
  <si>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</si>
  <si>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</si>
  <si>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</si>
  <si>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</si>
  <si>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</si>
  <si>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</si>
  <si>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</si>
  <si>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</si>
  <si>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</si>
  <si>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</si>
  <si>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</si>
  <si>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</si>
  <si>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</si>
  <si>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</si>
  <si>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</si>
  <si>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</si>
  <si>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</si>
  <si>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</si>
  <si>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</si>
  <si>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</si>
  <si>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</si>
  <si>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</si>
  <si>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</si>
  <si>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</si>
  <si>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</si>
  <si>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</si>
  <si>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</si>
  <si>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</si>
  <si>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</si>
  <si>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</si>
  <si>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</si>
  <si>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</si>
  <si>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</si>
  <si>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</si>
  <si>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</si>
  <si>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</si>
  <si>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</si>
  <si>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</si>
  <si>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</si>
  <si>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</si>
  <si>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</si>
  <si>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</si>
  <si>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</si>
  <si>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</si>
  <si>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</si>
  <si>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</si>
  <si>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</si>
  <si>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</si>
  <si>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</si>
  <si>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</si>
  <si>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</si>
  <si>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</si>
  <si>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</si>
  <si>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</si>
  <si>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</si>
  <si>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</si>
  <si>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</si>
  <si>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</si>
  <si>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</si>
  <si>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</si>
  <si>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</si>
  <si>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</si>
  <si>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</si>
  <si>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</si>
  <si>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</si>
  <si>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</si>
  <si>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</si>
  <si>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</si>
  <si>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</si>
  <si>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</si>
  <si>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</si>
  <si>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</si>
  <si>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</si>
  <si>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</si>
  <si>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</si>
  <si>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</si>
  <si>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</si>
  <si>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</si>
  <si>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</si>
  <si>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</si>
  <si>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</si>
  <si>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</si>
  <si>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</si>
  <si>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</si>
  <si>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</si>
  <si>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</si>
  <si>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</si>
  <si>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</si>
  <si>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</si>
  <si>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</si>
  <si>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</si>
  <si>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</si>
  <si>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</si>
  <si>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</si>
  <si>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</si>
  <si>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</si>
  <si>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</si>
  <si>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</si>
  <si>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</si>
  <si>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</si>
  <si>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</si>
  <si>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</si>
  <si>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</si>
  <si>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</si>
  <si>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</si>
  <si>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</si>
  <si>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</si>
  <si>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</si>
  <si>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</si>
  <si>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</si>
  <si>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</si>
  <si>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</si>
  <si>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</si>
  <si>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</si>
  <si>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</si>
  <si>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</si>
  <si>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</si>
  <si>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</si>
  <si>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</si>
  <si>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</si>
  <si>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</si>
  <si>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</si>
  <si>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</si>
  <si>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</si>
  <si>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</si>
  <si>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</si>
  <si>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</si>
  <si>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</si>
  <si>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</si>
  <si>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</si>
  <si>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</si>
  <si>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</si>
  <si>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</si>
  <si>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</si>
  <si>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</si>
  <si>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</si>
  <si>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</si>
  <si>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</si>
  <si>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</si>
  <si>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</si>
  <si>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</si>
  <si>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</si>
  <si>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</si>
  <si>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</si>
  <si>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</si>
  <si>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</si>
  <si>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</si>
  <si>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</si>
  <si>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</si>
  <si>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</si>
  <si>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</si>
  <si>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</si>
  <si>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</si>
  <si>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</si>
  <si>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</si>
  <si>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</si>
  <si>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</si>
  <si>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</si>
  <si>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</si>
  <si>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</si>
  <si>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</si>
  <si>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</si>
  <si>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</si>
  <si>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</si>
  <si>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</si>
  <si>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</si>
  <si>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</si>
  <si>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</si>
  <si>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</si>
  <si>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</si>
  <si>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</si>
  <si>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</si>
  <si>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</si>
  <si>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</si>
  <si>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</si>
  <si>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</si>
  <si>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</si>
  <si>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</si>
  <si>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</si>
  <si>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</si>
  <si>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</si>
  <si>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</si>
  <si>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</si>
  <si>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</si>
  <si>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</si>
  <si>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</si>
  <si>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</si>
  <si>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</si>
  <si>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</si>
  <si>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</si>
  <si>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</si>
  <si>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</si>
  <si>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</si>
  <si>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</si>
  <si>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</si>
  <si>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</si>
  <si>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</si>
  <si>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</si>
  <si>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</si>
  <si>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</si>
  <si>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</si>
  <si>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</si>
  <si>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</si>
  <si>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</si>
  <si>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</si>
  <si>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</si>
  <si>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</si>
  <si>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</si>
  <si>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</si>
  <si>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</si>
  <si>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</si>
  <si>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</si>
  <si>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</si>
  <si>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</si>
  <si>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</si>
  <si>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</si>
  <si>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</si>
  <si>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</si>
  <si>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</si>
  <si>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</si>
  <si>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</si>
  <si>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</si>
  <si>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</si>
  <si>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</si>
  <si>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</si>
  <si>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</si>
  <si>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</si>
  <si>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</si>
  <si>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</si>
  <si>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</si>
  <si>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</si>
  <si>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</si>
  <si>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</si>
  <si>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</si>
  <si>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</si>
  <si>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</si>
  <si>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</si>
  <si>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</si>
  <si>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</si>
  <si>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</si>
  <si>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</si>
  <si>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</si>
  <si>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</si>
  <si>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</si>
  <si>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</si>
  <si>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</si>
  <si>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</si>
  <si>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</si>
  <si>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</si>
  <si>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</si>
  <si>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</si>
  <si>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</si>
  <si>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</si>
  <si>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</si>
  <si>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</si>
  <si>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</si>
  <si>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</si>
  <si>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</si>
  <si>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</si>
  <si>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</si>
  <si>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</si>
  <si>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</si>
  <si>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</si>
  <si>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</si>
  <si>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</si>
  <si>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</si>
  <si>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</si>
  <si>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</si>
  <si>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</si>
  <si>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</si>
  <si>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</si>
  <si>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</si>
  <si>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</si>
  <si>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</si>
  <si>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</si>
  <si>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</si>
  <si>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</si>
  <si>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</si>
  <si>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</si>
  <si>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</si>
  <si>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</si>
  <si>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</si>
  <si>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</si>
  <si>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</si>
  <si>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</si>
  <si>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</si>
  <si>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</si>
  <si>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</si>
  <si>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</si>
  <si>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</si>
  <si>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</si>
  <si>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</si>
  <si>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</si>
  <si>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</si>
  <si>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</si>
  <si>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</si>
  <si>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</si>
  <si>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</si>
  <si>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</si>
  <si>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</si>
  <si>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</si>
  <si>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</si>
  <si>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</si>
  <si>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</si>
  <si>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</si>
  <si>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</si>
  <si>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</si>
  <si>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</si>
  <si>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</si>
  <si>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</si>
  <si>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</si>
  <si>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</si>
  <si>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</si>
  <si>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</si>
  <si>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</si>
  <si>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</si>
  <si>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</si>
  <si>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</si>
  <si>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</si>
  <si>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</si>
  <si>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</si>
  <si>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</si>
  <si>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Note</t>
  </si>
  <si>
    <t>Reference</t>
  </si>
  <si>
    <t>FOAK to NOAK Learning Rates</t>
  </si>
  <si>
    <t>Assessment of Factory Fabrication Considerations
for Nuclear Microreactors
 10.1080/00295450.2023.2206779</t>
  </si>
  <si>
    <t>Factory Be</t>
  </si>
  <si>
    <t>Factory BeO</t>
  </si>
  <si>
    <t>Calculated based on Refernce Paper + Gyutae's work. Refer to TEM Slides for rationale and methodology</t>
  </si>
  <si>
    <t>Park, et al., Bottom-up levelized cost estimation of low-enriched and low-pressure nuclear batteries. Nuclear Engineering and Design. 2025.</t>
  </si>
  <si>
    <t>For off-the-shelf commercial components that are not produced in the FB Factory</t>
  </si>
  <si>
    <t>Non-nuclear off-the-shelf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</si>
</sst>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ill>
        <patternFill>
          <bgColor rgb="FFFFFFBA"/>
        </patternFill>
      </fill>
    </dxf>
    <dxf>
      <font>
        <b/>
        <i val="0"/>
      </font>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 Id="rId1"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ccs_Qradiation"/>
      <sheetName val="MIGHTR He Circulator Sizing"/>
      <sheetName val="A13 Fitting"/>
      <sheetName val="A21"/>
      <sheetName val="A22"/>
      <sheetName val="A23,24"/>
      <sheetName val="A78"/>
      <sheetName val="Building Dimensions"/>
      <sheetName val="Spent Fuel StorageCask Capacity"/>
      <sheetName val="Scaling Factory"/>
      <sheetName val="Factory Fabricated Learning Rat"/>
    </sheetNames>
    <sheetDataSet>
      <sheetData sheetId="0"/>
      <sheetData sheetId="1"/>
      <sheetData sheetId="2"/>
      <sheetData sheetId="3"/>
      <sheetData sheetId="4"/>
      <sheetData sheetId="5"/>
      <sheetData sheetId="6"/>
      <sheetData sheetId="7"/>
      <sheetData sheetId="8"/>
      <sheetData sheetId="9"/>
      <sheetData sheetId="10">
        <row r="3">
          <cell r="Q3">
            <v>0.17627928659011793</v>
          </cell>
        </row>
        <row r="4">
          <cell r="Q4">
            <v>0.18845943020781919</v>
          </cell>
        </row>
        <row r="5">
          <cell r="Q5">
            <v>0.24138465715027702</v>
          </cell>
        </row>
        <row r="6">
          <cell r="Q6">
            <v>0.23265368932625929</v>
          </cell>
        </row>
      </sheetData>
    </sheetDataSet>
  </externalBook>
</externalLink>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zoomScaleNormal="100" workbookViewId="0">
      <pane xSplit="7" ySplit="1" topLeftCell="T121" activePane="bottomRight" state="frozen"/>
      <selection pane="topRight" activeCell="H1" sqref="H1"/>
      <selection pane="bottomLeft" activeCell="A2" sqref="A2"/>
      <selection pane="bottomRight" activeCell="W126" sqref="W126"/>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9"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9"/>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9"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9"/>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100"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9"/>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9"/>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100"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9"/>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9"/>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64.5">
      <c r="A18" s="55">
        <v>212.4</v>
      </c>
      <c r="B18" s="40">
        <f t="shared" si="0"/>
        <v>3</v>
      </c>
      <c r="C18" s="44" t="s">
        <v>515</v>
      </c>
      <c r="D18" s="41" t="str">
        <f>REPT("   ", B18*2) &amp; C18</f>
        <v xml:space="preserve">                  Reactor Building Liner</v>
      </c>
      <c r="E18" s="41" t="s">
        <v>341</v>
      </c>
      <c r="F18" s="41" t="s">
        <v>351</v>
      </c>
      <c r="G18" s="41" t="s">
        <v>354</v>
      </c>
      <c r="H18" s="45"/>
      <c r="I18" s="46">
        <f>60848829/9373</f>
        <v>6491.9267043635973</v>
      </c>
      <c r="J18" s="47" t="s">
        <v>519</v>
      </c>
      <c r="K18" s="49" t="s">
        <v>520</v>
      </c>
      <c r="L18" s="48">
        <v>9373</v>
      </c>
      <c r="M18" s="47" t="s">
        <v>518</v>
      </c>
      <c r="N18" s="48">
        <v>1</v>
      </c>
      <c r="O18" s="68">
        <v>2018</v>
      </c>
      <c r="P18" s="47" t="s">
        <v>77</v>
      </c>
      <c r="Q18" s="49" t="s">
        <v>516</v>
      </c>
      <c r="R18" s="49" t="s">
        <v>516</v>
      </c>
      <c r="S18" s="88" t="s">
        <v>517</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64.5">
      <c r="A19" s="55">
        <v>212.5</v>
      </c>
      <c r="B19" s="40">
        <f t="shared" si="0"/>
        <v>3</v>
      </c>
      <c r="C19" s="44" t="s">
        <v>521</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516</v>
      </c>
      <c r="R19" s="49" t="s">
        <v>516</v>
      </c>
      <c r="S19" s="88" t="s">
        <v>517</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100"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9"/>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3"/>
      <c r="R24" s="93"/>
      <c r="S24" s="99"/>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100"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9"/>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9"/>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c r="A29" s="55">
        <v>213.3</v>
      </c>
      <c r="B29" s="40">
        <f t="shared" si="0"/>
        <v>3</v>
      </c>
      <c r="C29" s="44" t="s">
        <v>522</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523</v>
      </c>
      <c r="D30" s="41" t="str">
        <f t="shared" si="1"/>
        <v xml:space="preserve">                        Integrated Heat Exchanger Building Slab Roof</v>
      </c>
      <c r="E30" s="41" t="s">
        <v>341</v>
      </c>
      <c r="F30" s="41" t="s">
        <v>351</v>
      </c>
      <c r="G30" s="41" t="s">
        <v>354</v>
      </c>
      <c r="H30" s="45"/>
      <c r="I30" s="46">
        <f>1200 *1.53</f>
        <v>1836</v>
      </c>
      <c r="J30" s="47" t="s">
        <v>79</v>
      </c>
      <c r="K30" s="49" t="s">
        <v>527</v>
      </c>
      <c r="L30" s="48"/>
      <c r="M30" s="47" t="s">
        <v>81</v>
      </c>
      <c r="N30" s="48"/>
      <c r="O30" s="68">
        <v>2024</v>
      </c>
      <c r="P30" s="47" t="s">
        <v>77</v>
      </c>
      <c r="Q30" s="93" t="s">
        <v>82</v>
      </c>
      <c r="R30" s="93" t="s">
        <v>83</v>
      </c>
      <c r="S30" s="100"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51">
      <c r="A31" s="55">
        <v>213.32</v>
      </c>
      <c r="B31" s="40">
        <f t="shared" si="0"/>
        <v>4</v>
      </c>
      <c r="C31" s="44" t="s">
        <v>524</v>
      </c>
      <c r="D31" s="41" t="str">
        <f t="shared" si="1"/>
        <v xml:space="preserve">                        Integrated Heat Exchanger Building Basement</v>
      </c>
      <c r="E31" s="41" t="s">
        <v>341</v>
      </c>
      <c r="F31" s="41" t="s">
        <v>351</v>
      </c>
      <c r="G31" s="41" t="s">
        <v>354</v>
      </c>
      <c r="H31" s="45"/>
      <c r="I31" s="46">
        <f>943.9*1.53</f>
        <v>1444.1669999999999</v>
      </c>
      <c r="J31" s="47" t="s">
        <v>79</v>
      </c>
      <c r="K31" s="49" t="s">
        <v>528</v>
      </c>
      <c r="L31" s="48"/>
      <c r="M31" s="47" t="s">
        <v>81</v>
      </c>
      <c r="N31" s="48"/>
      <c r="O31" s="68">
        <v>2024</v>
      </c>
      <c r="P31" s="47" t="s">
        <v>77</v>
      </c>
      <c r="Q31" s="93"/>
      <c r="R31" s="93"/>
      <c r="S31" s="99"/>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1">
      <c r="A32" s="55">
        <v>213.33</v>
      </c>
      <c r="B32" s="40">
        <f t="shared" si="0"/>
        <v>4</v>
      </c>
      <c r="C32" s="44" t="s">
        <v>525</v>
      </c>
      <c r="D32" s="41" t="str">
        <f t="shared" si="1"/>
        <v xml:space="preserve">                        Integrated Heat Exchanger Building Walls</v>
      </c>
      <c r="E32" s="41" t="s">
        <v>341</v>
      </c>
      <c r="F32" s="41" t="s">
        <v>351</v>
      </c>
      <c r="G32" s="41" t="s">
        <v>354</v>
      </c>
      <c r="H32" s="45"/>
      <c r="I32" s="46">
        <f>721.21*1.53</f>
        <v>1103.4513000000002</v>
      </c>
      <c r="J32" s="47" t="s">
        <v>79</v>
      </c>
      <c r="K32" s="49" t="s">
        <v>529</v>
      </c>
      <c r="L32" s="48"/>
      <c r="M32" s="47" t="s">
        <v>81</v>
      </c>
      <c r="N32" s="48"/>
      <c r="O32" s="68">
        <v>2024</v>
      </c>
      <c r="P32" s="47" t="s">
        <v>77</v>
      </c>
      <c r="Q32" s="93"/>
      <c r="R32" s="93"/>
      <c r="S32" s="99"/>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64.5">
      <c r="A33" s="55">
        <v>213.34</v>
      </c>
      <c r="B33" s="40">
        <f t="shared" si="0"/>
        <v>4</v>
      </c>
      <c r="C33" s="44" t="s">
        <v>526</v>
      </c>
      <c r="D33" s="41" t="str">
        <f t="shared" si="1"/>
        <v xml:space="preserve">                        Integrated Heat Exchanger Building Liner</v>
      </c>
      <c r="E33" s="41" t="s">
        <v>341</v>
      </c>
      <c r="F33" s="41" t="s">
        <v>351</v>
      </c>
      <c r="G33" s="41" t="s">
        <v>354</v>
      </c>
      <c r="H33" s="45"/>
      <c r="I33" s="46">
        <f>60848829/9373</f>
        <v>6491.9267043635973</v>
      </c>
      <c r="J33" s="47" t="s">
        <v>519</v>
      </c>
      <c r="K33" s="49" t="s">
        <v>530</v>
      </c>
      <c r="L33" s="48">
        <v>9373</v>
      </c>
      <c r="M33" s="47" t="s">
        <v>518</v>
      </c>
      <c r="N33" s="48">
        <v>1</v>
      </c>
      <c r="O33" s="68">
        <v>2018</v>
      </c>
      <c r="P33" s="47" t="s">
        <v>77</v>
      </c>
      <c r="Q33" s="49" t="s">
        <v>516</v>
      </c>
      <c r="R33" s="49" t="s">
        <v>516</v>
      </c>
      <c r="S33" s="88" t="s">
        <v>517</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100"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9"/>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9"/>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100"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9"/>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9"/>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100" t="s">
        <v>84</v>
      </c>
      <c r="T46" s="51"/>
      <c r="U46" s="80" t="s">
        <v>467</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9"/>
      <c r="T47" s="51"/>
      <c r="U47" s="80" t="s">
        <v>467</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9"/>
      <c r="T48" s="51"/>
      <c r="U48" s="80" t="s">
        <v>467</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c r="A50" s="55">
        <v>214.8</v>
      </c>
      <c r="B50" s="40">
        <f t="shared" si="0"/>
        <v>3</v>
      </c>
      <c r="C50" s="58" t="s">
        <v>483</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484</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485</v>
      </c>
      <c r="D52" s="41" t="str">
        <f t="shared" si="1"/>
        <v xml:space="preserve">                              Manipulator Building Slab Roof</v>
      </c>
      <c r="E52" s="41" t="s">
        <v>341</v>
      </c>
      <c r="F52" s="41" t="s">
        <v>351</v>
      </c>
      <c r="G52" s="47" t="s">
        <v>354</v>
      </c>
      <c r="H52" s="45"/>
      <c r="I52" s="46">
        <f>1200 *1.53</f>
        <v>1836</v>
      </c>
      <c r="J52" s="47" t="s">
        <v>79</v>
      </c>
      <c r="K52" s="58" t="s">
        <v>488</v>
      </c>
      <c r="L52" s="47"/>
      <c r="M52" s="47" t="s">
        <v>81</v>
      </c>
      <c r="N52" s="48"/>
      <c r="O52" s="68">
        <v>2024</v>
      </c>
      <c r="P52" s="48" t="s">
        <v>77</v>
      </c>
      <c r="Q52" s="96" t="s">
        <v>82</v>
      </c>
      <c r="R52" s="96" t="s">
        <v>83</v>
      </c>
      <c r="S52" s="105" t="s">
        <v>84</v>
      </c>
      <c r="T52" s="101" t="s">
        <v>504</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38.25">
      <c r="A53" s="55">
        <v>214.81200000000001</v>
      </c>
      <c r="B53" s="40">
        <f t="shared" si="0"/>
        <v>5</v>
      </c>
      <c r="C53" s="58" t="s">
        <v>486</v>
      </c>
      <c r="D53" s="41" t="str">
        <f t="shared" si="1"/>
        <v xml:space="preserve">                              ManipulatorBuilding Basement</v>
      </c>
      <c r="E53" s="41" t="s">
        <v>341</v>
      </c>
      <c r="F53" s="41" t="s">
        <v>351</v>
      </c>
      <c r="G53" s="47" t="s">
        <v>354</v>
      </c>
      <c r="H53" s="45"/>
      <c r="I53" s="46">
        <f>943.9*1.53</f>
        <v>1444.1669999999999</v>
      </c>
      <c r="J53" s="47" t="s">
        <v>79</v>
      </c>
      <c r="K53" s="58" t="s">
        <v>489</v>
      </c>
      <c r="L53" s="47"/>
      <c r="M53" s="47" t="s">
        <v>81</v>
      </c>
      <c r="N53" s="48"/>
      <c r="O53" s="68">
        <v>2024</v>
      </c>
      <c r="P53" s="48" t="s">
        <v>77</v>
      </c>
      <c r="Q53" s="97"/>
      <c r="R53" s="97"/>
      <c r="S53" s="106"/>
      <c r="T53" s="102"/>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38.25">
      <c r="A54" s="55">
        <v>214.81299999999999</v>
      </c>
      <c r="B54" s="40">
        <f t="shared" si="0"/>
        <v>5</v>
      </c>
      <c r="C54" s="58" t="s">
        <v>487</v>
      </c>
      <c r="D54" s="41" t="str">
        <f t="shared" si="1"/>
        <v xml:space="preserve">                              Manipulator Building Exterior Walls</v>
      </c>
      <c r="E54" s="41" t="s">
        <v>341</v>
      </c>
      <c r="F54" s="41" t="s">
        <v>351</v>
      </c>
      <c r="G54" s="47" t="s">
        <v>354</v>
      </c>
      <c r="H54" s="45"/>
      <c r="I54" s="46">
        <f>721.21*1.53</f>
        <v>1103.4513000000002</v>
      </c>
      <c r="J54" s="47" t="s">
        <v>79</v>
      </c>
      <c r="K54" s="58" t="s">
        <v>490</v>
      </c>
      <c r="L54" s="47"/>
      <c r="M54" s="47" t="s">
        <v>81</v>
      </c>
      <c r="N54" s="48"/>
      <c r="O54" s="68">
        <v>2024</v>
      </c>
      <c r="P54" s="47" t="s">
        <v>77</v>
      </c>
      <c r="Q54" s="98"/>
      <c r="R54" s="98"/>
      <c r="S54" s="107"/>
      <c r="T54" s="103"/>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100"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9"/>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9"/>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100"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9"/>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9"/>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c r="A68" s="55">
        <v>221.12</v>
      </c>
      <c r="B68" s="40">
        <f t="shared" si="0"/>
        <v>4</v>
      </c>
      <c r="C68" s="58" t="s">
        <v>129</v>
      </c>
      <c r="D68" s="41" t="str">
        <f t="shared" si="1"/>
        <v xml:space="preserve">                        Outer Vessel Structure</v>
      </c>
      <c r="E68" s="41" t="s">
        <v>341</v>
      </c>
      <c r="F68" s="41" t="s">
        <v>498</v>
      </c>
      <c r="G68" s="41" t="s">
        <v>439</v>
      </c>
      <c r="H68" s="45"/>
      <c r="I68" s="63">
        <v>324.08</v>
      </c>
      <c r="J68" s="51" t="s">
        <v>174</v>
      </c>
      <c r="K68" s="61" t="s">
        <v>180</v>
      </c>
      <c r="L68" s="64"/>
      <c r="M68" s="51"/>
      <c r="N68" s="51"/>
      <c r="O68" s="68">
        <v>2017</v>
      </c>
      <c r="P68" s="51" t="s">
        <v>77</v>
      </c>
      <c r="Q68" s="61" t="s">
        <v>399</v>
      </c>
      <c r="R68" s="94"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c r="A69" s="55">
        <v>221.12</v>
      </c>
      <c r="B69" s="40">
        <f t="shared" si="0"/>
        <v>4</v>
      </c>
      <c r="C69" s="58" t="s">
        <v>129</v>
      </c>
      <c r="D69" s="41" t="str">
        <f t="shared" si="1"/>
        <v xml:space="preserve">                        Outer Vessel Structure</v>
      </c>
      <c r="E69" s="41" t="s">
        <v>341</v>
      </c>
      <c r="F69" s="41" t="s">
        <v>498</v>
      </c>
      <c r="G69" s="41" t="s">
        <v>440</v>
      </c>
      <c r="H69" s="45"/>
      <c r="I69" s="63">
        <v>154.08000000000001</v>
      </c>
      <c r="J69" s="51" t="s">
        <v>174</v>
      </c>
      <c r="K69" s="61" t="s">
        <v>180</v>
      </c>
      <c r="L69" s="64"/>
      <c r="M69" s="51"/>
      <c r="N69" s="51"/>
      <c r="O69" s="68">
        <v>2017</v>
      </c>
      <c r="P69" s="51" t="s">
        <v>77</v>
      </c>
      <c r="Q69" s="61" t="s">
        <v>399</v>
      </c>
      <c r="R69" s="94"/>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498</v>
      </c>
      <c r="G70" s="41" t="s">
        <v>441</v>
      </c>
      <c r="H70" s="45"/>
      <c r="I70" s="63">
        <v>444.08</v>
      </c>
      <c r="J70" s="51" t="s">
        <v>174</v>
      </c>
      <c r="K70" s="61" t="s">
        <v>180</v>
      </c>
      <c r="L70" s="64"/>
      <c r="M70" s="51"/>
      <c r="N70" s="51"/>
      <c r="O70" s="68">
        <v>2017</v>
      </c>
      <c r="P70" s="51" t="s">
        <v>77</v>
      </c>
      <c r="Q70" s="61" t="s">
        <v>399</v>
      </c>
      <c r="R70" s="94"/>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c r="A71" s="55">
        <v>221.13</v>
      </c>
      <c r="B71" s="40">
        <f t="shared" si="0"/>
        <v>4</v>
      </c>
      <c r="C71" s="58" t="s">
        <v>130</v>
      </c>
      <c r="D71" s="41" t="str">
        <f t="shared" si="1"/>
        <v xml:space="preserve">                        Inner Vessel Structure</v>
      </c>
      <c r="E71" s="41" t="s">
        <v>341</v>
      </c>
      <c r="F71" s="41" t="s">
        <v>499</v>
      </c>
      <c r="G71" s="41" t="s">
        <v>439</v>
      </c>
      <c r="H71" s="45"/>
      <c r="I71" s="63">
        <v>324.08</v>
      </c>
      <c r="J71" s="51" t="s">
        <v>174</v>
      </c>
      <c r="K71" s="61" t="s">
        <v>177</v>
      </c>
      <c r="L71" s="51"/>
      <c r="M71" s="51"/>
      <c r="N71" s="51"/>
      <c r="O71" s="68">
        <v>2017</v>
      </c>
      <c r="P71" s="51" t="s">
        <v>77</v>
      </c>
      <c r="Q71" s="61" t="s">
        <v>399</v>
      </c>
      <c r="R71" s="94"/>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c r="A72" s="55">
        <v>221.13</v>
      </c>
      <c r="B72" s="40">
        <f t="shared" si="0"/>
        <v>4</v>
      </c>
      <c r="C72" s="58" t="s">
        <v>130</v>
      </c>
      <c r="D72" s="41" t="str">
        <f t="shared" si="1"/>
        <v xml:space="preserve">                        Inner Vessel Structure</v>
      </c>
      <c r="E72" s="41" t="s">
        <v>341</v>
      </c>
      <c r="F72" s="41" t="s">
        <v>499</v>
      </c>
      <c r="G72" s="41" t="s">
        <v>440</v>
      </c>
      <c r="H72" s="45"/>
      <c r="I72" s="63">
        <v>154.08000000000001</v>
      </c>
      <c r="J72" s="51" t="s">
        <v>174</v>
      </c>
      <c r="K72" s="61" t="s">
        <v>177</v>
      </c>
      <c r="L72" s="51"/>
      <c r="M72" s="51"/>
      <c r="N72" s="51"/>
      <c r="O72" s="68">
        <v>2017</v>
      </c>
      <c r="P72" s="51" t="s">
        <v>77</v>
      </c>
      <c r="Q72" s="61" t="s">
        <v>399</v>
      </c>
      <c r="R72" s="94"/>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499</v>
      </c>
      <c r="G73" s="41" t="s">
        <v>441</v>
      </c>
      <c r="H73" s="45"/>
      <c r="I73" s="63">
        <v>444.08</v>
      </c>
      <c r="J73" s="51" t="s">
        <v>174</v>
      </c>
      <c r="K73" s="61" t="s">
        <v>177</v>
      </c>
      <c r="L73" s="51"/>
      <c r="M73" s="51"/>
      <c r="N73" s="51"/>
      <c r="O73" s="68">
        <v>2017</v>
      </c>
      <c r="P73" s="51" t="s">
        <v>77</v>
      </c>
      <c r="Q73" s="61" t="s">
        <v>399</v>
      </c>
      <c r="R73" s="94"/>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4" t="s">
        <v>176</v>
      </c>
      <c r="S76" s="104"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4"/>
      <c r="S77" s="104"/>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4"/>
      <c r="S78" s="104"/>
      <c r="T78" s="51"/>
      <c r="U78" s="80" t="s">
        <v>450</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4"/>
      <c r="S79" s="104"/>
      <c r="T79" s="51"/>
      <c r="U79" s="80" t="s">
        <v>450</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4"/>
      <c r="S80" s="104"/>
      <c r="T80" s="51"/>
      <c r="U80" s="80" t="s">
        <v>536</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535</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450</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4" t="s">
        <v>447</v>
      </c>
      <c r="T85" s="51"/>
      <c r="U85" s="80" t="s">
        <v>467</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4"/>
      <c r="T86" s="51"/>
      <c r="U86" s="80" t="s">
        <v>467</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4"/>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4"/>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4"/>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479</v>
      </c>
      <c r="G90" s="41" t="s">
        <v>186</v>
      </c>
      <c r="H90" s="45">
        <f>MARVEL_Cost!C30</f>
        <v>647990.6</v>
      </c>
      <c r="I90" s="63">
        <f>I78</f>
        <v>14285.714285714286</v>
      </c>
      <c r="J90" s="51" t="s">
        <v>174</v>
      </c>
      <c r="K90" s="61" t="s">
        <v>481</v>
      </c>
      <c r="L90" s="51">
        <f>L78</f>
        <v>28</v>
      </c>
      <c r="M90" s="51" t="s">
        <v>173</v>
      </c>
      <c r="N90" s="51">
        <v>1</v>
      </c>
      <c r="O90" s="68">
        <v>2024</v>
      </c>
      <c r="P90" s="51" t="s">
        <v>73</v>
      </c>
      <c r="Q90" s="61" t="s">
        <v>175</v>
      </c>
      <c r="R90" s="61"/>
      <c r="S90" s="104"/>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c r="A91" s="55">
        <v>221.322</v>
      </c>
      <c r="B91" s="40">
        <f t="shared" si="0"/>
        <v>5</v>
      </c>
      <c r="C91" s="58" t="s">
        <v>136</v>
      </c>
      <c r="D91" s="41" t="str">
        <f t="shared" si="1"/>
        <v xml:space="preserve">                              Out The Vessel Shield Materials</v>
      </c>
      <c r="E91" s="41" t="s">
        <v>341</v>
      </c>
      <c r="F91" s="41" t="s">
        <v>480</v>
      </c>
      <c r="G91" s="41" t="s">
        <v>331</v>
      </c>
      <c r="H91" s="45"/>
      <c r="I91" s="63">
        <v>20</v>
      </c>
      <c r="J91" s="51" t="s">
        <v>174</v>
      </c>
      <c r="K91" s="61" t="s">
        <v>482</v>
      </c>
      <c r="L91" s="51">
        <f>'Design Variables'!B43</f>
        <v>925.3</v>
      </c>
      <c r="M91" s="51" t="s">
        <v>173</v>
      </c>
      <c r="N91" s="51">
        <v>1</v>
      </c>
      <c r="O91" s="68">
        <v>2024</v>
      </c>
      <c r="P91" s="51" t="s">
        <v>73</v>
      </c>
      <c r="Q91" s="61" t="s">
        <v>175</v>
      </c>
      <c r="R91" s="61"/>
      <c r="S91" s="104"/>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4" t="s">
        <v>448</v>
      </c>
      <c r="S96" s="108" t="s">
        <v>344</v>
      </c>
      <c r="T96" s="94"/>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4"/>
      <c r="S97" s="109"/>
      <c r="T97" s="94"/>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503</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c r="A105" s="55">
        <v>222.5</v>
      </c>
      <c r="B105" s="40">
        <f t="shared" si="47"/>
        <v>3</v>
      </c>
      <c r="C105" s="58" t="s">
        <v>491</v>
      </c>
      <c r="D105" s="41" t="str">
        <f t="shared" si="48"/>
        <v xml:space="preserve">                  Initial Coolant Inventory</v>
      </c>
      <c r="E105" s="41" t="s">
        <v>341</v>
      </c>
      <c r="F105" s="41" t="s">
        <v>492</v>
      </c>
      <c r="G105" s="41" t="s">
        <v>493</v>
      </c>
      <c r="H105" s="45"/>
      <c r="I105" s="63">
        <v>170</v>
      </c>
      <c r="J105" s="51" t="s">
        <v>174</v>
      </c>
      <c r="K105" s="61" t="s">
        <v>497</v>
      </c>
      <c r="L105" s="51"/>
      <c r="M105" s="51" t="s">
        <v>173</v>
      </c>
      <c r="N105" s="51"/>
      <c r="O105" s="68">
        <v>2024</v>
      </c>
      <c r="P105" s="51" t="s">
        <v>74</v>
      </c>
      <c r="Q105" s="61" t="s">
        <v>495</v>
      </c>
      <c r="R105" s="65" t="s">
        <v>495</v>
      </c>
      <c r="S105" s="87" t="s">
        <v>494</v>
      </c>
      <c r="T105" s="51" t="s">
        <v>496</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c r="A106" s="55">
        <v>222.6</v>
      </c>
      <c r="B106" s="40">
        <f t="shared" si="47"/>
        <v>3</v>
      </c>
      <c r="C106" s="58" t="s">
        <v>506</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506</v>
      </c>
      <c r="D107" s="41" t="str">
        <f t="shared" si="48"/>
        <v xml:space="preserve">                        Integrated Heat Transfer Vessel</v>
      </c>
      <c r="E107" s="41" t="s">
        <v>341</v>
      </c>
      <c r="F107" s="41" t="s">
        <v>351</v>
      </c>
      <c r="G107" s="41" t="s">
        <v>354</v>
      </c>
      <c r="H107" s="45"/>
      <c r="I107" s="63">
        <v>50</v>
      </c>
      <c r="J107" s="51" t="s">
        <v>174</v>
      </c>
      <c r="K107" s="61" t="s">
        <v>508</v>
      </c>
      <c r="L107" s="51"/>
      <c r="M107" s="51" t="s">
        <v>173</v>
      </c>
      <c r="N107" s="51"/>
      <c r="O107" s="68">
        <v>2004</v>
      </c>
      <c r="P107" s="51" t="s">
        <v>77</v>
      </c>
      <c r="Q107" s="61" t="s">
        <v>359</v>
      </c>
      <c r="R107" s="65" t="s">
        <v>360</v>
      </c>
      <c r="S107" s="87"/>
      <c r="T107" s="90" t="s">
        <v>507</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c r="A108" s="55">
        <v>222.62</v>
      </c>
      <c r="B108" s="40">
        <f t="shared" si="47"/>
        <v>4</v>
      </c>
      <c r="C108" s="58" t="s">
        <v>505</v>
      </c>
      <c r="D108" s="41" t="str">
        <f t="shared" si="48"/>
        <v xml:space="preserve">                        Integrated Heat Transfer System Support</v>
      </c>
      <c r="E108" s="41" t="s">
        <v>341</v>
      </c>
      <c r="F108" s="41" t="s">
        <v>351</v>
      </c>
      <c r="G108" s="41" t="s">
        <v>354</v>
      </c>
      <c r="H108" s="45"/>
      <c r="I108" s="63">
        <f>3171011/L108</f>
        <v>8.1938268733850137</v>
      </c>
      <c r="J108" s="51" t="s">
        <v>174</v>
      </c>
      <c r="K108" s="61" t="s">
        <v>508</v>
      </c>
      <c r="L108" s="51">
        <v>387000</v>
      </c>
      <c r="M108" s="51" t="s">
        <v>173</v>
      </c>
      <c r="N108" s="51">
        <v>0.85</v>
      </c>
      <c r="O108" s="68">
        <v>2018</v>
      </c>
      <c r="P108" s="51" t="s">
        <v>77</v>
      </c>
      <c r="Q108" s="61" t="s">
        <v>398</v>
      </c>
      <c r="R108" s="65" t="s">
        <v>360</v>
      </c>
      <c r="S108" s="87"/>
      <c r="T108" s="91"/>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51">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540</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95" t="s">
        <v>427</v>
      </c>
      <c r="R122" s="95" t="s">
        <v>365</v>
      </c>
      <c r="S122" s="51"/>
      <c r="T122" s="51"/>
      <c r="U122" s="80" t="s">
        <v>540</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95"/>
      <c r="R123" s="95"/>
      <c r="S123" s="51"/>
      <c r="T123" s="51"/>
      <c r="U123" s="80" t="s">
        <v>540</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95"/>
      <c r="R124" s="95"/>
      <c r="S124" s="51"/>
      <c r="T124" s="51"/>
      <c r="U124" s="80" t="s">
        <v>540</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95"/>
      <c r="R125" s="95"/>
      <c r="S125" s="51"/>
      <c r="T125" s="51"/>
      <c r="U125" s="80" t="s">
        <v>540</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95"/>
      <c r="R126" s="95"/>
      <c r="S126" s="51"/>
      <c r="T126" s="51"/>
      <c r="U126" s="80" t="s">
        <v>540</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95"/>
      <c r="R127" s="95"/>
      <c r="S127" s="51"/>
      <c r="T127" s="51"/>
      <c r="U127" s="80" t="s">
        <v>540</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4" t="s">
        <v>369</v>
      </c>
      <c r="R129" s="94"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4"/>
      <c r="R130" s="94"/>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4"/>
      <c r="R131" s="94"/>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4"/>
      <c r="R132" s="94"/>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4"/>
      <c r="R133" s="94"/>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4" si="57">0.9*$H148</f>
        <v>0</v>
      </c>
      <c r="W148" s="84">
        <f t="shared" ref="W148:W164" si="58">1.5*H148</f>
        <v>0</v>
      </c>
      <c r="X148" s="80" t="s">
        <v>451</v>
      </c>
      <c r="Y148" s="83">
        <f t="shared" ref="Y148:Y164" si="59">0.9*I148</f>
        <v>160650</v>
      </c>
      <c r="Z148" s="83">
        <f t="shared" ref="Z148:Z164" si="60">1.3*I148</f>
        <v>232050</v>
      </c>
      <c r="AA148" s="80" t="s">
        <v>451</v>
      </c>
      <c r="AB148" s="83" t="s">
        <v>475</v>
      </c>
      <c r="AC148" s="83" t="s">
        <v>476</v>
      </c>
      <c r="AD148" s="83" t="s">
        <v>477</v>
      </c>
      <c r="AE148" s="80" t="s">
        <v>452</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64.5">
      <c r="A152" s="39">
        <v>721</v>
      </c>
      <c r="B152" s="40">
        <f t="shared" si="53"/>
        <v>2</v>
      </c>
      <c r="C152" s="58" t="s">
        <v>492</v>
      </c>
      <c r="D152" s="41" t="str">
        <f t="shared" si="54"/>
        <v xml:space="preserve">            Coolant</v>
      </c>
      <c r="E152" s="41" t="s">
        <v>342</v>
      </c>
      <c r="F152" s="41" t="s">
        <v>351</v>
      </c>
      <c r="G152" s="41" t="s">
        <v>354</v>
      </c>
      <c r="H152" s="45"/>
      <c r="I152" s="63">
        <v>170</v>
      </c>
      <c r="J152" s="51" t="s">
        <v>174</v>
      </c>
      <c r="K152" s="61" t="s">
        <v>497</v>
      </c>
      <c r="L152" s="51"/>
      <c r="M152" s="51" t="s">
        <v>173</v>
      </c>
      <c r="N152" s="51"/>
      <c r="O152" s="68">
        <v>2024</v>
      </c>
      <c r="P152" s="51" t="s">
        <v>74</v>
      </c>
      <c r="Q152" s="61" t="s">
        <v>495</v>
      </c>
      <c r="R152" s="65" t="s">
        <v>495</v>
      </c>
      <c r="S152" s="87" t="s">
        <v>494</v>
      </c>
      <c r="T152" s="51" t="s">
        <v>496</v>
      </c>
      <c r="U152" s="80" t="s">
        <v>468</v>
      </c>
      <c r="V152" s="84">
        <f t="shared" ref="V152" si="61">0.9*$H152</f>
        <v>0</v>
      </c>
      <c r="W152" s="84">
        <f t="shared" ref="W152" si="62">1.5*H152</f>
        <v>0</v>
      </c>
      <c r="X152" s="80" t="s">
        <v>451</v>
      </c>
      <c r="Y152" s="83">
        <f t="shared" ref="Y152" si="63">0.9*I152</f>
        <v>153</v>
      </c>
      <c r="Z152" s="83">
        <f t="shared" ref="Z152" si="64">1.3*I152</f>
        <v>221</v>
      </c>
      <c r="AA152" s="80" t="s">
        <v>451</v>
      </c>
      <c r="AB152" s="83" t="s">
        <v>475</v>
      </c>
      <c r="AC152" s="83" t="s">
        <v>476</v>
      </c>
      <c r="AD152" s="83" t="s">
        <v>477</v>
      </c>
      <c r="AE152" s="80" t="s">
        <v>452</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501</v>
      </c>
      <c r="R153" s="61" t="s">
        <v>501</v>
      </c>
      <c r="S153" s="51"/>
      <c r="T153" s="61" t="s">
        <v>502</v>
      </c>
      <c r="U153" s="80"/>
      <c r="V153" s="84"/>
      <c r="W153" s="84"/>
      <c r="X153" s="80"/>
      <c r="Y153" s="83"/>
      <c r="Z153" s="83"/>
      <c r="AA153" s="80"/>
      <c r="AB153" s="83"/>
      <c r="AC153" s="83"/>
      <c r="AD153" s="83"/>
      <c r="AE153" s="80"/>
    </row>
    <row r="154" spans="1:31" ht="12.75" customHeight="1">
      <c r="A154" s="39">
        <v>751</v>
      </c>
      <c r="B154" s="40">
        <f t="shared" si="53"/>
        <v>2</v>
      </c>
      <c r="C154" s="58" t="s">
        <v>509</v>
      </c>
      <c r="D154" s="41" t="str">
        <f t="shared" si="54"/>
        <v xml:space="preserve">            Annualized Vessel Replacements</v>
      </c>
      <c r="E154" s="41"/>
      <c r="F154" s="41"/>
      <c r="G154" s="41"/>
      <c r="H154" s="45"/>
      <c r="I154" s="63"/>
      <c r="J154" s="51"/>
      <c r="K154" s="61"/>
      <c r="L154" s="51"/>
      <c r="M154" s="51"/>
      <c r="N154" s="51"/>
      <c r="O154" s="68"/>
      <c r="P154" s="51"/>
      <c r="Q154" s="90" t="s">
        <v>501</v>
      </c>
      <c r="R154" s="90" t="s">
        <v>501</v>
      </c>
      <c r="S154" s="51"/>
      <c r="T154" s="90" t="s">
        <v>502</v>
      </c>
      <c r="U154" s="80"/>
      <c r="V154" s="84"/>
      <c r="W154" s="84"/>
      <c r="X154" s="80"/>
      <c r="Y154" s="83"/>
      <c r="Z154" s="83"/>
      <c r="AA154" s="80"/>
      <c r="AB154" s="83"/>
      <c r="AC154" s="83"/>
      <c r="AD154" s="83"/>
      <c r="AE154" s="80"/>
    </row>
    <row r="155" spans="1:31" ht="25.5">
      <c r="A155" s="39">
        <v>752</v>
      </c>
      <c r="B155" s="40">
        <f t="shared" si="53"/>
        <v>2</v>
      </c>
      <c r="C155" s="58" t="s">
        <v>510</v>
      </c>
      <c r="D155" s="41" t="str">
        <f t="shared" si="54"/>
        <v xml:space="preserve">            Annualized Moderator Replacements</v>
      </c>
      <c r="E155" s="41"/>
      <c r="F155" s="41"/>
      <c r="G155" s="41"/>
      <c r="H155" s="45"/>
      <c r="I155" s="63"/>
      <c r="J155" s="51"/>
      <c r="K155" s="61"/>
      <c r="L155" s="51"/>
      <c r="M155" s="51"/>
      <c r="N155" s="51"/>
      <c r="O155" s="68"/>
      <c r="P155" s="51"/>
      <c r="Q155" s="92"/>
      <c r="R155" s="92"/>
      <c r="S155" s="51"/>
      <c r="T155" s="92"/>
      <c r="U155" s="80"/>
      <c r="V155" s="84"/>
      <c r="W155" s="84"/>
      <c r="X155" s="80"/>
      <c r="Y155" s="83"/>
      <c r="Z155" s="83"/>
      <c r="AA155" s="80"/>
      <c r="AB155" s="83"/>
      <c r="AC155" s="83"/>
      <c r="AD155" s="83"/>
      <c r="AE155" s="80"/>
    </row>
    <row r="156" spans="1:31">
      <c r="A156" s="39">
        <v>753</v>
      </c>
      <c r="B156" s="40">
        <f t="shared" si="53"/>
        <v>2</v>
      </c>
      <c r="C156" s="58" t="s">
        <v>511</v>
      </c>
      <c r="D156" s="41" t="str">
        <f t="shared" si="54"/>
        <v xml:space="preserve">            Annualized Reflector Replacements</v>
      </c>
      <c r="E156" s="41"/>
      <c r="F156" s="41"/>
      <c r="G156" s="41"/>
      <c r="H156" s="45"/>
      <c r="I156" s="63"/>
      <c r="J156" s="51"/>
      <c r="K156" s="61"/>
      <c r="L156" s="51"/>
      <c r="M156" s="51"/>
      <c r="N156" s="51"/>
      <c r="O156" s="68"/>
      <c r="P156" s="51"/>
      <c r="Q156" s="92"/>
      <c r="R156" s="92"/>
      <c r="S156" s="51"/>
      <c r="T156" s="92"/>
      <c r="U156" s="80"/>
      <c r="V156" s="84"/>
      <c r="W156" s="84"/>
      <c r="X156" s="80"/>
      <c r="Y156" s="83"/>
      <c r="Z156" s="83"/>
      <c r="AA156" s="80"/>
      <c r="AB156" s="83"/>
      <c r="AC156" s="83"/>
      <c r="AD156" s="83"/>
      <c r="AE156" s="80"/>
    </row>
    <row r="157" spans="1:31" ht="25.5">
      <c r="A157" s="39">
        <v>754</v>
      </c>
      <c r="B157" s="40">
        <f t="shared" si="53"/>
        <v>2</v>
      </c>
      <c r="C157" s="58" t="s">
        <v>512</v>
      </c>
      <c r="D157" s="41" t="str">
        <f t="shared" si="54"/>
        <v xml:space="preserve">            Annualized Reactivity Control Replacements</v>
      </c>
      <c r="E157" s="41"/>
      <c r="F157" s="41"/>
      <c r="G157" s="41"/>
      <c r="H157" s="45"/>
      <c r="I157" s="63"/>
      <c r="J157" s="51"/>
      <c r="K157" s="61"/>
      <c r="L157" s="51"/>
      <c r="M157" s="51"/>
      <c r="N157" s="51"/>
      <c r="O157" s="68"/>
      <c r="P157" s="51"/>
      <c r="Q157" s="92"/>
      <c r="R157" s="92"/>
      <c r="S157" s="51"/>
      <c r="T157" s="92"/>
      <c r="U157" s="80"/>
      <c r="V157" s="84"/>
      <c r="W157" s="84"/>
      <c r="X157" s="80"/>
      <c r="Y157" s="83"/>
      <c r="Z157" s="83"/>
      <c r="AA157" s="80"/>
      <c r="AB157" s="83"/>
      <c r="AC157" s="83"/>
      <c r="AD157" s="83"/>
      <c r="AE157" s="80"/>
    </row>
    <row r="158" spans="1:31" ht="25.5">
      <c r="A158" s="39">
        <v>755</v>
      </c>
      <c r="B158" s="40">
        <f t="shared" si="53"/>
        <v>2</v>
      </c>
      <c r="C158" s="58" t="s">
        <v>513</v>
      </c>
      <c r="D158" s="41" t="str">
        <f t="shared" si="54"/>
        <v xml:space="preserve">            Annualized Integrated Heat Transfer System Replacements</v>
      </c>
      <c r="E158" s="41"/>
      <c r="F158" s="41"/>
      <c r="G158" s="41"/>
      <c r="H158" s="45"/>
      <c r="I158" s="63"/>
      <c r="J158" s="51"/>
      <c r="K158" s="61"/>
      <c r="L158" s="51"/>
      <c r="M158" s="51"/>
      <c r="N158" s="51"/>
      <c r="O158" s="68"/>
      <c r="P158" s="51"/>
      <c r="Q158" s="92"/>
      <c r="R158" s="92"/>
      <c r="S158" s="51"/>
      <c r="T158" s="92"/>
      <c r="U158" s="80"/>
      <c r="V158" s="84"/>
      <c r="W158" s="84"/>
      <c r="X158" s="80"/>
      <c r="Y158" s="83"/>
      <c r="Z158" s="83"/>
      <c r="AA158" s="80"/>
      <c r="AB158" s="83"/>
      <c r="AC158" s="83"/>
      <c r="AD158" s="83"/>
      <c r="AE158" s="80"/>
    </row>
    <row r="159" spans="1:31" ht="25.5" customHeight="1">
      <c r="A159" s="39">
        <v>759</v>
      </c>
      <c r="B159" s="40">
        <f t="shared" si="53"/>
        <v>2</v>
      </c>
      <c r="C159" s="58" t="s">
        <v>514</v>
      </c>
      <c r="D159" s="41" t="str">
        <f t="shared" si="54"/>
        <v xml:space="preserve">            Annualized Misc. Replacements</v>
      </c>
      <c r="E159" s="41"/>
      <c r="F159" s="41"/>
      <c r="G159" s="41"/>
      <c r="H159" s="45"/>
      <c r="I159" s="63"/>
      <c r="J159" s="51"/>
      <c r="K159" s="61"/>
      <c r="L159" s="51"/>
      <c r="M159" s="51"/>
      <c r="N159" s="51"/>
      <c r="O159" s="68"/>
      <c r="P159" s="51"/>
      <c r="Q159" s="91"/>
      <c r="R159" s="91"/>
      <c r="S159" s="51"/>
      <c r="T159" s="91"/>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500</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9.2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468</v>
      </c>
      <c r="V162" s="84">
        <f t="shared" si="57"/>
        <v>0</v>
      </c>
      <c r="W162" s="84">
        <f t="shared" si="58"/>
        <v>0</v>
      </c>
      <c r="X162" s="80" t="s">
        <v>451</v>
      </c>
      <c r="Y162" s="83">
        <f t="shared" si="59"/>
        <v>160650</v>
      </c>
      <c r="Z162" s="83">
        <f t="shared" si="60"/>
        <v>232050</v>
      </c>
      <c r="AA162" s="80" t="s">
        <v>451</v>
      </c>
      <c r="AB162" s="83" t="s">
        <v>475</v>
      </c>
      <c r="AC162" s="83" t="s">
        <v>476</v>
      </c>
      <c r="AD162" s="83" t="s">
        <v>477</v>
      </c>
      <c r="AE162" s="80" t="s">
        <v>452</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468</v>
      </c>
      <c r="V164" s="84">
        <f t="shared" si="57"/>
        <v>0</v>
      </c>
      <c r="W164" s="84">
        <f t="shared" si="58"/>
        <v>0</v>
      </c>
      <c r="X164" s="80" t="s">
        <v>451</v>
      </c>
      <c r="Y164" s="83">
        <f t="shared" si="59"/>
        <v>0.9</v>
      </c>
      <c r="Z164" s="83">
        <f t="shared" si="60"/>
        <v>1.3</v>
      </c>
      <c r="AA164" s="80" t="s">
        <v>451</v>
      </c>
      <c r="AB164" s="83" t="s">
        <v>475</v>
      </c>
      <c r="AC164" s="83" t="s">
        <v>476</v>
      </c>
      <c r="AD164" s="83" t="s">
        <v>477</v>
      </c>
      <c r="AE164" s="80" t="s">
        <v>452</v>
      </c>
    </row>
  </sheetData>
  <autoFilter ref="A1:Z164" xr:uid="{F5330BDA-7164-B946-A942-FFAE4F744BBA}"/>
  <mergeCells count="54">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26:S28"/>
    <mergeCell ref="S37:S39"/>
    <mergeCell ref="S41:S43"/>
    <mergeCell ref="S46:S48"/>
    <mergeCell ref="R22:R24"/>
    <mergeCell ref="R26:R28"/>
    <mergeCell ref="R37:R39"/>
    <mergeCell ref="R41:R43"/>
    <mergeCell ref="R30:R32"/>
    <mergeCell ref="S30:S32"/>
    <mergeCell ref="R3:R4"/>
    <mergeCell ref="S3:S4"/>
    <mergeCell ref="R5:R6"/>
    <mergeCell ref="S5:S6"/>
    <mergeCell ref="S22:S24"/>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T107:T108"/>
    <mergeCell ref="R154:R159"/>
    <mergeCell ref="Q154:Q159"/>
    <mergeCell ref="T154:T159"/>
    <mergeCell ref="Q138:Q141"/>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7">
      <formula>$B132=0</formula>
    </cfRule>
    <cfRule type="expression" dxfId="102" priority="174">
      <formula>$B132=3</formula>
    </cfRule>
    <cfRule type="expression" dxfId="101" priority="175">
      <formula>$B132=2</formula>
    </cfRule>
    <cfRule type="expression" dxfId="100" priority="176">
      <formula>$B132&lt;2</formula>
    </cfRule>
  </conditionalFormatting>
  <conditionalFormatting sqref="A136:P143">
    <cfRule type="expression" dxfId="99" priority="124">
      <formula>$B136&lt;2</formula>
    </cfRule>
    <cfRule type="expression" dxfId="98" priority="125">
      <formula>$B136=0</formula>
    </cfRule>
    <cfRule type="expression" dxfId="97" priority="122">
      <formula>$B136=3</formula>
    </cfRule>
    <cfRule type="expression" dxfId="96" priority="123">
      <formula>$B136=2</formula>
    </cfRule>
  </conditionalFormatting>
  <conditionalFormatting sqref="A53:S54 A55:AE107 A108:S108 A109:AE153 A154:P159 A160:AE164 U53:AE54 U108:AE108 Q154:AE154 S155:S159 U155:AE159">
    <cfRule type="expression" dxfId="95" priority="193">
      <formula>$B53=0</formula>
    </cfRule>
  </conditionalFormatting>
  <conditionalFormatting sqref="A95:S95">
    <cfRule type="expression" dxfId="94" priority="233">
      <formula>$B95=0</formula>
    </cfRule>
    <cfRule type="expression" dxfId="93" priority="231">
      <formula>$B95=2</formula>
    </cfRule>
    <cfRule type="expression" dxfId="92" priority="230">
      <formula>$B95=3</formula>
    </cfRule>
    <cfRule type="expression" dxfId="91" priority="232">
      <formula>$B95&lt;2</formula>
    </cfRule>
  </conditionalFormatting>
  <conditionalFormatting sqref="A74:T94">
    <cfRule type="expression" dxfId="90" priority="13">
      <formula>$B74=3</formula>
    </cfRule>
    <cfRule type="expression" dxfId="89" priority="15">
      <formula>$B74&lt;2</formula>
    </cfRule>
    <cfRule type="expression" dxfId="88" priority="14">
      <formula>$B74=2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0">
      <formula>$B161=3</formula>
    </cfRule>
    <cfRule type="expression" dxfId="76" priority="91">
      <formula>$B161=2</formula>
    </cfRule>
    <cfRule type="expression" dxfId="75" priority="92">
      <formula>$B161&lt;2</formula>
    </cfRule>
    <cfRule type="expression" dxfId="74" priority="93">
      <formula>$B161=0</formula>
    </cfRule>
  </conditionalFormatting>
  <conditionalFormatting sqref="A1:AE52 A53:S54 U53:AE54 A55:AE107 A108:S108 U108:AE108 A109:AE153 Q154:AE154 A154:P159 S155:S159 U155:AE159 A160:AE164">
    <cfRule type="expression" dxfId="73" priority="191">
      <formula>$B1=2</formula>
    </cfRule>
    <cfRule type="expression" dxfId="72" priority="192">
      <formula>$B1&lt;2</formula>
    </cfRule>
  </conditionalFormatting>
  <conditionalFormatting sqref="A109:AE153 A160:AE164 A55:AE107 A1:AE52 A53:S54 U53:AE54 A108:S108 U108:AE108 Q154:AE154 A154:P159 S155:S159 U155:AE159">
    <cfRule type="expression" dxfId="71" priority="190">
      <formula>$B1=3</formula>
    </cfRule>
  </conditionalFormatting>
  <conditionalFormatting sqref="C122:R122 C123:P127">
    <cfRule type="expression" dxfId="70" priority="52">
      <formula>$B122=0</formula>
    </cfRule>
    <cfRule type="expression" dxfId="69" priority="51">
      <formula>$B122&lt;2</formula>
    </cfRule>
    <cfRule type="expression" dxfId="68" priority="50">
      <formula>$B122=2</formula>
    </cfRule>
    <cfRule type="expression" dxfId="67" priority="49">
      <formula>$B122=3</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6">
      <formula>$B52=2</formula>
    </cfRule>
    <cfRule type="expression" dxfId="64" priority="7">
      <formula>$B52&lt;2</formula>
    </cfRule>
    <cfRule type="expression" dxfId="63" priority="8">
      <formula>$B52=0</formula>
    </cfRule>
    <cfRule type="expression" dxfId="62" priority="5">
      <formula>$B52=3</formula>
    </cfRule>
  </conditionalFormatting>
  <conditionalFormatting sqref="G96:G97">
    <cfRule type="expression" dxfId="61" priority="225">
      <formula>$B96=0</formula>
    </cfRule>
    <cfRule type="expression" dxfId="60" priority="224">
      <formula>$B96&lt;2</formula>
    </cfRule>
    <cfRule type="expression" dxfId="59" priority="222">
      <formula>$B96=3</formula>
    </cfRule>
    <cfRule type="expression" dxfId="58" priority="223">
      <formula>$B96=2</formula>
    </cfRule>
  </conditionalFormatting>
  <conditionalFormatting sqref="H5">
    <cfRule type="expression" dxfId="57" priority="28">
      <formula>$B5=3</formula>
    </cfRule>
    <cfRule type="expression" dxfId="56" priority="29">
      <formula>$B5=2</formula>
    </cfRule>
    <cfRule type="expression" dxfId="55" priority="31">
      <formula>$B5=0</formula>
    </cfRule>
    <cfRule type="expression" dxfId="54" priority="30">
      <formula>$B5&lt;2</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6">
      <formula>$B69=2</formula>
    </cfRule>
    <cfRule type="expression" dxfId="48" priority="77">
      <formula>$B69&lt;2</formula>
    </cfRule>
    <cfRule type="expression" dxfId="47" priority="75">
      <formula>$B69=3</formula>
    </cfRule>
  </conditionalFormatting>
  <conditionalFormatting sqref="H68:T68 H69:Q70 S69:T73">
    <cfRule type="expression" dxfId="46" priority="88">
      <formula>$B68=0</formula>
    </cfRule>
  </conditionalFormatting>
  <conditionalFormatting sqref="H68:T68 S69:T73">
    <cfRule type="expression" dxfId="45" priority="87">
      <formula>$B68&lt;2</formula>
    </cfRule>
    <cfRule type="expression" dxfId="44" priority="85">
      <formula>$B68=3</formula>
    </cfRule>
    <cfRule type="expression" dxfId="43" priority="86">
      <formula>$B68=2</formula>
    </cfRule>
  </conditionalFormatting>
  <conditionalFormatting sqref="I81">
    <cfRule type="expression" dxfId="42" priority="21">
      <formula>_xlfn.ISFORMULA(I81)</formula>
    </cfRule>
  </conditionalFormatting>
  <conditionalFormatting sqref="I148:J149">
    <cfRule type="expression" dxfId="41" priority="109">
      <formula>$B149=0</formula>
    </cfRule>
    <cfRule type="expression" dxfId="40" priority="108">
      <formula>$B149&lt;2</formula>
    </cfRule>
    <cfRule type="expression" dxfId="39" priority="107">
      <formula>$B149=2</formula>
    </cfRule>
    <cfRule type="expression" dxfId="38" priority="106">
      <formula>$B149=3</formula>
    </cfRule>
  </conditionalFormatting>
  <conditionalFormatting sqref="I129:K130">
    <cfRule type="expression" dxfId="37" priority="188">
      <formula>$B129&lt;2</formula>
    </cfRule>
    <cfRule type="expression" dxfId="36" priority="187">
      <formula>$B129=2</formula>
    </cfRule>
    <cfRule type="expression" dxfId="35" priority="186">
      <formula>$B129=3</formula>
    </cfRule>
    <cfRule type="expression" dxfId="34" priority="189">
      <formula>$B129=0</formula>
    </cfRule>
  </conditionalFormatting>
  <conditionalFormatting sqref="J100">
    <cfRule type="expression" dxfId="33" priority="35">
      <formula>$B100=0</formula>
    </cfRule>
    <cfRule type="expression" dxfId="32" priority="428">
      <formula>#REF!=3</formula>
    </cfRule>
    <cfRule type="expression" dxfId="31" priority="427">
      <formula>#REF!=0</formula>
    </cfRule>
    <cfRule type="expression" dxfId="30" priority="426">
      <formula>#REF!&lt;2</formula>
    </cfRule>
    <cfRule type="expression" dxfId="29" priority="425">
      <formula>#REF!=2</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8">
      <formula>$B142&lt;2</formula>
    </cfRule>
    <cfRule type="expression" dxfId="11" priority="169">
      <formula>$B142=0</formula>
    </cfRule>
    <cfRule type="expression" dxfId="10" priority="167">
      <formula>$B142=2</formula>
    </cfRule>
    <cfRule type="expression" dxfId="9" priority="166">
      <formula>$B142=3</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3">
      <formula>$B95&lt;2</formula>
    </cfRule>
    <cfRule type="expression" dxfId="1" priority="254">
      <formula>$B95=0</formula>
    </cfRule>
    <cfRule type="expression" dxfId="0" priority="252">
      <formula>$B95=2</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r:uid="{3A5BD7CA-D901-4C35-8F1B-FB3DB8093CEC}">
          <x14:formula1>
            <xm:f>'Economics Parameters'!$A$9:$A$16</xm:f>
          </x14:formula1>
          <xm:sqref>U2:U164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 zoomScale="183" workbookViewId="0">
      <selection activeCell="E15" sqref="E15"/>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10" t="s">
        <v>189</v>
      </c>
      <c r="B1" s="111" t="s">
        <v>1</v>
      </c>
      <c r="C1" s="112" t="s">
        <v>318</v>
      </c>
    </row>
    <row r="2" spans="1:5">
      <c r="A2" s="110"/>
      <c r="B2" s="111"/>
      <c r="C2" s="113"/>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c r="E15">
        <f>C15/E19*AVERAGE('[1]Factory Fabricated Learning Rat'!$Q$3,'[1]Factory Fabricated Learning Rat'!$Q$4)+C19/E19*'[1]Factory Fabricated Learning Rat'!$Q$5+C25/E19*'[1]Factory Fabricated Learning Rat'!$Q$6</f>
        <v>0.22343911000453887</v>
      </c>
    </row>
    <row r="16" spans="1:5">
      <c r="A16" s="31">
        <v>221.11</v>
      </c>
      <c r="B16" s="12" t="s">
        <v>187</v>
      </c>
      <c r="C16" s="13">
        <v>762382.4</v>
      </c>
    </row>
    <row r="17" spans="1:5">
      <c r="A17" s="31">
        <v>221.12</v>
      </c>
      <c r="B17" s="16" t="s">
        <v>194</v>
      </c>
      <c r="C17" s="13">
        <v>1201688.6000000001</v>
      </c>
    </row>
    <row r="18" spans="1:5">
      <c r="A18" s="31">
        <v>221.13</v>
      </c>
      <c r="B18" s="16" t="s">
        <v>195</v>
      </c>
      <c r="C18" s="13">
        <v>40781</v>
      </c>
    </row>
    <row r="19" spans="1:5">
      <c r="A19" s="31">
        <v>221.2</v>
      </c>
      <c r="B19" s="16" t="s">
        <v>196</v>
      </c>
      <c r="C19" s="13">
        <f>C20</f>
        <v>2114223</v>
      </c>
      <c r="E19" s="8">
        <f>C20+C25+C15</f>
        <v>8937296.5999999996</v>
      </c>
    </row>
    <row r="20" spans="1:5" ht="15.75" thickBot="1">
      <c r="A20" s="31">
        <v>221.21</v>
      </c>
      <c r="B20" s="16" t="s">
        <v>197</v>
      </c>
      <c r="C20" s="13">
        <f>SUM(C21:C23)</f>
        <v>2114223</v>
      </c>
    </row>
    <row r="21" spans="1:5" ht="15.75" thickBot="1">
      <c r="A21" s="10">
        <v>221.21100000000001</v>
      </c>
      <c r="B21" s="11" t="s">
        <v>12</v>
      </c>
      <c r="C21" s="13">
        <v>1391560</v>
      </c>
      <c r="D21" s="8"/>
    </row>
    <row r="22" spans="1:5" ht="15.75" thickBot="1">
      <c r="A22" s="10">
        <v>221.21199999999999</v>
      </c>
      <c r="B22" s="11" t="s">
        <v>133</v>
      </c>
      <c r="C22" s="13">
        <v>322663</v>
      </c>
    </row>
    <row r="23" spans="1:5" ht="15.75" thickBot="1">
      <c r="A23" s="10">
        <v>221.21299999999999</v>
      </c>
      <c r="B23" s="11" t="s">
        <v>181</v>
      </c>
      <c r="C23" s="13">
        <v>400000</v>
      </c>
    </row>
    <row r="24" spans="1:5" ht="15.75" thickBot="1">
      <c r="A24" s="10">
        <v>221.214</v>
      </c>
      <c r="B24" s="11" t="s">
        <v>182</v>
      </c>
    </row>
    <row r="25" spans="1:5">
      <c r="A25" s="31">
        <v>221.3</v>
      </c>
      <c r="B25" s="16" t="s">
        <v>198</v>
      </c>
      <c r="C25" s="13">
        <f>C26+C30+C31</f>
        <v>4818221.5999999996</v>
      </c>
    </row>
    <row r="26" spans="1:5">
      <c r="A26" s="31">
        <v>221.31</v>
      </c>
      <c r="B26" s="16" t="s">
        <v>13</v>
      </c>
      <c r="C26" s="13">
        <v>4170231</v>
      </c>
    </row>
    <row r="27" spans="1:5">
      <c r="A27" s="33">
        <v>221.31100000000001</v>
      </c>
      <c r="B27" s="16" t="s">
        <v>322</v>
      </c>
      <c r="C27" s="13">
        <v>3200000</v>
      </c>
    </row>
    <row r="28" spans="1:5">
      <c r="A28" s="33">
        <v>221.31200000000001</v>
      </c>
      <c r="B28" s="16" t="s">
        <v>324</v>
      </c>
      <c r="C28" s="13">
        <v>850000</v>
      </c>
    </row>
    <row r="29" spans="1:5">
      <c r="A29" s="33">
        <v>221.31299999999999</v>
      </c>
      <c r="B29" s="16" t="s">
        <v>323</v>
      </c>
      <c r="C29" s="13">
        <v>120231</v>
      </c>
    </row>
    <row r="30" spans="1:5">
      <c r="A30" s="31">
        <v>221.32</v>
      </c>
      <c r="B30" s="16" t="s">
        <v>14</v>
      </c>
      <c r="C30" s="13">
        <v>647990.6</v>
      </c>
    </row>
    <row r="31" spans="1:5">
      <c r="A31" s="31">
        <v>221.33</v>
      </c>
      <c r="B31" s="16" t="s">
        <v>199</v>
      </c>
      <c r="C31" s="13">
        <v>0</v>
      </c>
    </row>
    <row r="32" spans="1:5">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4" t="s">
        <v>240</v>
      </c>
      <c r="B2" s="115"/>
      <c r="C2" s="115"/>
      <c r="D2" s="116"/>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4" t="s">
        <v>249</v>
      </c>
      <c r="B7" s="115"/>
      <c r="C7" s="115"/>
      <c r="D7" s="116"/>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4" t="s">
        <v>13</v>
      </c>
      <c r="B12" s="115"/>
      <c r="C12" s="115"/>
      <c r="D12" s="116"/>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4" t="s">
        <v>272</v>
      </c>
      <c r="B20" s="115"/>
      <c r="C20" s="115"/>
      <c r="D20" s="116"/>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4" t="s">
        <v>285</v>
      </c>
      <c r="B30" s="115"/>
      <c r="C30" s="115"/>
      <c r="D30" s="116"/>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4" t="s">
        <v>292</v>
      </c>
      <c r="B37" s="115"/>
      <c r="C37" s="115"/>
      <c r="D37" s="116"/>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4" t="s">
        <v>305</v>
      </c>
      <c r="B44" s="115"/>
      <c r="C44" s="115"/>
      <c r="D44" s="116"/>
    </row>
    <row r="45" spans="1:4" ht="13.5" thickBot="1">
      <c r="A45" s="22" t="s">
        <v>306</v>
      </c>
      <c r="B45" s="7">
        <v>8.3000000000000007</v>
      </c>
      <c r="C45" s="23" t="s">
        <v>271</v>
      </c>
      <c r="D45" s="23" t="s">
        <v>307</v>
      </c>
    </row>
    <row r="46" spans="1:4" ht="13.5" thickBot="1">
      <c r="A46" s="114" t="s">
        <v>308</v>
      </c>
      <c r="B46" s="115"/>
      <c r="C46" s="115"/>
      <c r="D46" s="116"/>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4" t="s">
        <v>315</v>
      </c>
      <c r="B50" s="115"/>
      <c r="C50" s="115"/>
      <c r="D50" s="116"/>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13" zoomScale="156" workbookViewId="0">
      <selection activeCell="B42" sqref="B42"/>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6"/>
  <sheetViews>
    <sheetView tabSelected="1" topLeftCell="A2" zoomScale="164" workbookViewId="0">
      <selection activeCell="F19" sqref="F19"/>
    </sheetView>
  </sheetViews>
  <sheetFormatPr defaultColWidth="11.5703125" defaultRowHeight="15"/>
  <cols>
    <col min="1" max="1" width="38.42578125" bestFit="1" customWidth="1"/>
    <col min="2" max="2" width="6.140625" bestFit="1" customWidth="1"/>
  </cols>
  <sheetData>
    <row r="1" spans="1:5" s="36" customFormat="1">
      <c r="A1" s="36" t="s">
        <v>382</v>
      </c>
      <c r="B1" s="36" t="s">
        <v>238</v>
      </c>
      <c r="C1" s="36" t="s">
        <v>531</v>
      </c>
      <c r="D1" s="36" t="s">
        <v>532</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ht="15" customHeight="1">
      <c r="A9" t="s">
        <v>471</v>
      </c>
      <c r="B9">
        <v>0.08</v>
      </c>
      <c r="C9" s="117" t="s">
        <v>533</v>
      </c>
      <c r="D9" s="117" t="s">
        <v>534</v>
      </c>
      <c r="E9" s="117" t="s">
        <v>537</v>
      </c>
    </row>
    <row r="10" spans="1:5" ht="15" customHeight="1">
      <c r="A10" s="5" t="s">
        <v>468</v>
      </c>
      <c r="B10">
        <v>1</v>
      </c>
      <c r="C10" s="117"/>
      <c r="D10" s="117"/>
      <c r="E10" s="117"/>
    </row>
    <row r="11" spans="1:5">
      <c r="A11" s="5" t="s">
        <v>469</v>
      </c>
      <c r="B11">
        <v>1</v>
      </c>
      <c r="C11" s="117"/>
      <c r="D11" s="117"/>
      <c r="E11" s="117"/>
    </row>
    <row r="12" spans="1:5">
      <c r="A12" s="5" t="s">
        <v>472</v>
      </c>
      <c r="B12">
        <v>0.22343911000453887</v>
      </c>
      <c r="C12" s="117"/>
      <c r="D12" s="117"/>
      <c r="E12" s="117"/>
    </row>
    <row r="13" spans="1:5">
      <c r="A13" s="5" t="s">
        <v>467</v>
      </c>
      <c r="B13" s="89">
        <v>0.182369</v>
      </c>
      <c r="C13" s="117"/>
      <c r="D13" s="117"/>
      <c r="E13" s="117"/>
    </row>
    <row r="14" spans="1:5">
      <c r="A14" s="5" t="s">
        <v>535</v>
      </c>
      <c r="B14">
        <v>0.63897814563472732</v>
      </c>
      <c r="C14" s="117"/>
      <c r="D14" s="117"/>
      <c r="E14" s="117"/>
    </row>
    <row r="15" spans="1:5">
      <c r="A15" s="5" t="s">
        <v>536</v>
      </c>
      <c r="B15">
        <v>0.65783791594766872</v>
      </c>
      <c r="C15" s="117"/>
      <c r="D15" s="117"/>
      <c r="E15" s="117"/>
    </row>
    <row r="16" spans="1:5">
      <c r="A16" s="5" t="s">
        <v>540</v>
      </c>
      <c r="B16">
        <v>0.05</v>
      </c>
      <c r="C16" s="117"/>
      <c r="D16" t="s">
        <v>538</v>
      </c>
      <c r="E16" t="s">
        <v>539</v>
      </c>
    </row>
  </sheetData>
  <mergeCells count="3">
    <mergeCell ref="E9:E15"/>
    <mergeCell ref="C9:C16"/>
    <mergeCell ref="D9:D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2025-07-14T20:22:02Z</dcterms:modified>
</cp:coreProperties>
</file>