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7060DAED-B39E-5541-87D2-477478B847E2}" xr6:coauthVersionLast="47" xr6:coauthVersionMax="47" xr10:uidLastSave="{00000000-0000-0000-0000-000000000000}"/>
  <bookViews>
    <workbookView xWindow="0" yWindow="740" windowWidth="30240" windowHeight="1890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Database'!$A$1:$Z$165</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52" i="2" l="1"/>
  <c r="Z153" i="2" l="1"/>
  <c r="Y153" i="2"/>
  <c r="W153" i="2"/>
  <c r="V153" i="2"/>
  <c r="B153" i="2"/>
  <c r="D153" i="2" s="1"/>
  <c r="I33" i="2"/>
  <c r="Z33" i="2" s="1"/>
  <c r="I32" i="2"/>
  <c r="I31" i="2"/>
  <c r="Z31" i="2" s="1"/>
  <c r="I30" i="2"/>
  <c r="Y33" i="2"/>
  <c r="W33" i="2"/>
  <c r="V33" i="2"/>
  <c r="Z32" i="2"/>
  <c r="Y32" i="2"/>
  <c r="W32" i="2"/>
  <c r="V32" i="2"/>
  <c r="Y31" i="2"/>
  <c r="W31" i="2"/>
  <c r="V31" i="2"/>
  <c r="Z30" i="2"/>
  <c r="Y30" i="2"/>
  <c r="W30" i="2"/>
  <c r="V30" i="2"/>
  <c r="B33" i="2"/>
  <c r="D33" i="2" s="1"/>
  <c r="B32" i="2"/>
  <c r="D32" i="2" s="1"/>
  <c r="B31" i="2"/>
  <c r="D31" i="2" s="1"/>
  <c r="B30" i="2"/>
  <c r="D30" i="2" s="1"/>
  <c r="B29" i="2"/>
  <c r="D29" i="2" s="1"/>
  <c r="W19" i="2"/>
  <c r="V19" i="2"/>
  <c r="I19" i="2"/>
  <c r="Z19" i="2" s="1"/>
  <c r="B19" i="2"/>
  <c r="D19" i="2" s="1"/>
  <c r="I18" i="2"/>
  <c r="Y19" i="2" l="1"/>
  <c r="Z18" i="2"/>
  <c r="Y18" i="2"/>
  <c r="W18" i="2"/>
  <c r="V18" i="2"/>
  <c r="B18" i="2"/>
  <c r="D18" i="2" s="1"/>
  <c r="B160" i="2" l="1"/>
  <c r="D160" i="2" s="1"/>
  <c r="B159" i="2"/>
  <c r="D159" i="2" s="1"/>
  <c r="B158" i="2"/>
  <c r="D158" i="2" s="1"/>
  <c r="B157" i="2"/>
  <c r="D157" i="2" s="1"/>
  <c r="B156" i="2"/>
  <c r="D156" i="2" s="1"/>
  <c r="B155" i="2"/>
  <c r="D155" i="2" s="1"/>
  <c r="I108" i="2" l="1"/>
  <c r="Z108" i="2" l="1"/>
  <c r="Y108" i="2"/>
  <c r="Z107" i="2"/>
  <c r="Y107" i="2"/>
  <c r="W108" i="2"/>
  <c r="V108" i="2"/>
  <c r="W107" i="2"/>
  <c r="V107" i="2"/>
  <c r="B108" i="2"/>
  <c r="D108" i="2" s="1"/>
  <c r="B107" i="2"/>
  <c r="D107" i="2" s="1"/>
  <c r="B106" i="2"/>
  <c r="D106"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2" i="2"/>
  <c r="D152" i="2" s="1"/>
  <c r="V152" i="2"/>
  <c r="W152" i="2"/>
  <c r="Z152" i="2"/>
  <c r="Z54" i="2" l="1"/>
  <c r="Z52" i="2"/>
  <c r="Z53" i="2"/>
  <c r="Z99" i="2"/>
  <c r="Y99" i="2"/>
  <c r="W99" i="2"/>
  <c r="V99" i="2"/>
  <c r="Z91" i="2"/>
  <c r="Y91" i="2"/>
  <c r="W91" i="2"/>
  <c r="V91" i="2"/>
  <c r="Z165" i="2" l="1"/>
  <c r="Y165" i="2"/>
  <c r="Z163" i="2"/>
  <c r="Y163" i="2"/>
  <c r="Z150" i="2"/>
  <c r="Y150" i="2"/>
  <c r="Z149" i="2"/>
  <c r="Y149" i="2"/>
  <c r="Z148" i="2"/>
  <c r="Y148" i="2"/>
  <c r="Z143" i="2"/>
  <c r="Y143" i="2"/>
  <c r="Z141" i="2"/>
  <c r="Y141" i="2"/>
  <c r="Z140" i="2"/>
  <c r="Y140" i="2"/>
  <c r="Z139" i="2"/>
  <c r="Y139" i="2"/>
  <c r="Z138" i="2"/>
  <c r="Y138" i="2"/>
  <c r="Z134" i="2"/>
  <c r="Y134" i="2"/>
  <c r="Z133" i="2"/>
  <c r="Y133" i="2"/>
  <c r="Z132" i="2"/>
  <c r="Y132" i="2"/>
  <c r="Z131" i="2"/>
  <c r="Y131" i="2"/>
  <c r="Z130" i="2"/>
  <c r="Y130" i="2"/>
  <c r="Z129" i="2"/>
  <c r="Y129" i="2"/>
  <c r="Z120" i="2"/>
  <c r="Y120" i="2"/>
  <c r="Z119" i="2"/>
  <c r="Y119" i="2"/>
  <c r="Z116" i="2"/>
  <c r="Y116" i="2"/>
  <c r="Z115" i="2"/>
  <c r="Y115" i="2"/>
  <c r="Z113" i="2"/>
  <c r="Y113"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5" i="2"/>
  <c r="W163" i="2"/>
  <c r="W150" i="2"/>
  <c r="W149" i="2"/>
  <c r="W148" i="2"/>
  <c r="W143" i="2"/>
  <c r="W134" i="2"/>
  <c r="W133" i="2"/>
  <c r="W132" i="2"/>
  <c r="W131" i="2"/>
  <c r="W130" i="2"/>
  <c r="W129" i="2"/>
  <c r="W127" i="2"/>
  <c r="W126" i="2"/>
  <c r="W125" i="2"/>
  <c r="W124" i="2"/>
  <c r="W123" i="2"/>
  <c r="W122" i="2"/>
  <c r="W120" i="2"/>
  <c r="W119" i="2"/>
  <c r="W115" i="2"/>
  <c r="W114" i="2"/>
  <c r="W112" i="2"/>
  <c r="W111"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5" i="2"/>
  <c r="V163" i="2"/>
  <c r="V150" i="2"/>
  <c r="V149" i="2"/>
  <c r="V148" i="2"/>
  <c r="V143" i="2"/>
  <c r="V134" i="2"/>
  <c r="V133" i="2"/>
  <c r="V132" i="2"/>
  <c r="V131" i="2"/>
  <c r="V130" i="2"/>
  <c r="V129" i="2"/>
  <c r="V127" i="2"/>
  <c r="V126" i="2"/>
  <c r="V125" i="2"/>
  <c r="V124" i="2"/>
  <c r="V123" i="2"/>
  <c r="V122" i="2"/>
  <c r="V120" i="2"/>
  <c r="V119" i="2"/>
  <c r="V115" i="2"/>
  <c r="V114" i="2"/>
  <c r="V112" i="2"/>
  <c r="V111"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39" i="2" l="1"/>
  <c r="L86" i="2"/>
  <c r="B86" i="2"/>
  <c r="D86" i="2" s="1"/>
  <c r="L81" i="2"/>
  <c r="I86" i="2" s="1"/>
  <c r="B81" i="2"/>
  <c r="D81" i="2" s="1"/>
  <c r="B82" i="2"/>
  <c r="D82" i="2" s="1"/>
  <c r="H5" i="2"/>
  <c r="I81" i="2" l="1"/>
  <c r="Z81" i="2" s="1"/>
  <c r="V139" i="2"/>
  <c r="W139" i="2"/>
  <c r="Z86" i="2"/>
  <c r="Y86" i="2"/>
  <c r="I76" i="2"/>
  <c r="Y81" i="2" l="1"/>
  <c r="Z76" i="2"/>
  <c r="Y76" i="2"/>
  <c r="B79" i="2"/>
  <c r="D79" i="2" s="1"/>
  <c r="B72" i="2"/>
  <c r="D72" i="2" s="1"/>
  <c r="B69" i="2"/>
  <c r="D69" i="2" s="1"/>
  <c r="B73" i="2"/>
  <c r="D73" i="2" s="1"/>
  <c r="B70" i="2"/>
  <c r="D70" i="2" s="1"/>
  <c r="B161" i="2"/>
  <c r="D161" i="2" s="1"/>
  <c r="B151" i="2"/>
  <c r="D151" i="2" s="1"/>
  <c r="I127" i="2"/>
  <c r="I126" i="2"/>
  <c r="I125" i="2"/>
  <c r="I124" i="2"/>
  <c r="I123" i="2"/>
  <c r="I122" i="2"/>
  <c r="B127" i="2"/>
  <c r="D127" i="2" s="1"/>
  <c r="B126" i="2"/>
  <c r="D126" i="2" s="1"/>
  <c r="B125" i="2"/>
  <c r="D125" i="2" s="1"/>
  <c r="B124" i="2"/>
  <c r="D124" i="2" s="1"/>
  <c r="B123" i="2"/>
  <c r="D123" i="2" s="1"/>
  <c r="B122" i="2"/>
  <c r="D122" i="2" s="1"/>
  <c r="I114" i="2"/>
  <c r="Z125" i="2" l="1"/>
  <c r="Y125" i="2"/>
  <c r="Z126" i="2"/>
  <c r="Y126" i="2"/>
  <c r="Z122" i="2"/>
  <c r="Y122" i="2"/>
  <c r="Z127" i="2"/>
  <c r="Y127" i="2"/>
  <c r="Z114" i="2"/>
  <c r="Y114" i="2"/>
  <c r="Z123" i="2"/>
  <c r="Y123" i="2"/>
  <c r="Z124" i="2"/>
  <c r="Y124" i="2"/>
  <c r="B120" i="2"/>
  <c r="D120" i="2" s="1"/>
  <c r="D114" i="2"/>
  <c r="B104" i="2"/>
  <c r="D104" i="2" s="1"/>
  <c r="B103" i="2"/>
  <c r="D103" i="2" s="1"/>
  <c r="B102" i="2"/>
  <c r="D102" i="2" s="1"/>
  <c r="B101" i="2"/>
  <c r="D101" i="2" s="1"/>
  <c r="B88" i="2" l="1"/>
  <c r="D88" i="2" s="1"/>
  <c r="B87" i="2"/>
  <c r="D87" i="2" s="1"/>
  <c r="I77" i="2"/>
  <c r="B83" i="2"/>
  <c r="D83" i="2" s="1"/>
  <c r="I67" i="2"/>
  <c r="Z77" i="2" l="1"/>
  <c r="Y77" i="2"/>
  <c r="Z67" i="2"/>
  <c r="Y67" i="2"/>
  <c r="B2" i="2" l="1"/>
  <c r="B135" i="2"/>
  <c r="B8" i="2"/>
  <c r="H7" i="2"/>
  <c r="B143" i="2"/>
  <c r="D143" i="2" s="1"/>
  <c r="B142" i="2"/>
  <c r="D142" i="2" s="1"/>
  <c r="D136" i="2"/>
  <c r="D137" i="2"/>
  <c r="H141" i="2"/>
  <c r="H140" i="2"/>
  <c r="H138" i="2"/>
  <c r="B133" i="2"/>
  <c r="D133" i="2" s="1"/>
  <c r="W141" i="2" l="1"/>
  <c r="V141" i="2"/>
  <c r="W7" i="2"/>
  <c r="V7" i="2"/>
  <c r="W138" i="2"/>
  <c r="V138" i="2"/>
  <c r="W140" i="2"/>
  <c r="V140" i="2"/>
  <c r="H116" i="2"/>
  <c r="W116" i="2" l="1"/>
  <c r="V116" i="2"/>
  <c r="B116" i="2"/>
  <c r="D116" i="2" s="1"/>
  <c r="H113" i="2"/>
  <c r="B113" i="2"/>
  <c r="D113" i="2" s="1"/>
  <c r="B98" i="2"/>
  <c r="D98" i="2" s="1"/>
  <c r="V113" i="2" l="1"/>
  <c r="W113"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1" i="2"/>
  <c r="C19" i="4"/>
  <c r="C77" i="4"/>
  <c r="C73" i="4"/>
  <c r="C52" i="4"/>
  <c r="C68" i="4"/>
  <c r="C71" i="4"/>
  <c r="C75" i="4"/>
  <c r="C46" i="4"/>
  <c r="C45" i="4" s="1"/>
  <c r="I49" i="2"/>
  <c r="I112" i="2" l="1"/>
  <c r="Z111" i="2"/>
  <c r="Y111" i="2"/>
  <c r="Z49" i="2"/>
  <c r="Y49" i="2"/>
  <c r="Z90" i="2"/>
  <c r="Y90" i="2"/>
  <c r="C48" i="4"/>
  <c r="C15" i="4"/>
  <c r="C10" i="4"/>
  <c r="C6" i="4" s="1"/>
  <c r="C65" i="4"/>
  <c r="C59" i="4"/>
  <c r="C58" i="4" s="1"/>
  <c r="C32" i="4"/>
  <c r="Z112" i="2" l="1"/>
  <c r="Y112"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09" i="2"/>
  <c r="D109" i="2" s="1"/>
  <c r="B110" i="2"/>
  <c r="D110" i="2" s="1"/>
  <c r="B111" i="2"/>
  <c r="D111" i="2" s="1"/>
  <c r="B112" i="2"/>
  <c r="D112" i="2" s="1"/>
  <c r="B115" i="2"/>
  <c r="D115" i="2" s="1"/>
  <c r="B117" i="2"/>
  <c r="D117" i="2" s="1"/>
  <c r="B118" i="2"/>
  <c r="D118" i="2" s="1"/>
  <c r="B119" i="2"/>
  <c r="D119" i="2" s="1"/>
  <c r="B121" i="2"/>
  <c r="D121" i="2" s="1"/>
  <c r="B128" i="2"/>
  <c r="D128" i="2" s="1"/>
  <c r="B129" i="2"/>
  <c r="D129" i="2" s="1"/>
  <c r="B130" i="2"/>
  <c r="D130" i="2" s="1"/>
  <c r="B131" i="2"/>
  <c r="D131" i="2" s="1"/>
  <c r="B132" i="2"/>
  <c r="D132" i="2" s="1"/>
  <c r="B134" i="2"/>
  <c r="D134" i="2" s="1"/>
  <c r="D135" i="2"/>
  <c r="B138" i="2"/>
  <c r="D138" i="2" s="1"/>
  <c r="B139" i="2"/>
  <c r="D139" i="2" s="1"/>
  <c r="B140" i="2"/>
  <c r="D140" i="2" s="1"/>
  <c r="B141" i="2"/>
  <c r="D141" i="2" s="1"/>
  <c r="B144" i="2"/>
  <c r="D144" i="2" s="1"/>
  <c r="B145" i="2"/>
  <c r="D145" i="2" s="1"/>
  <c r="B146" i="2"/>
  <c r="D146" i="2" s="1"/>
  <c r="B147" i="2"/>
  <c r="D147" i="2" s="1"/>
  <c r="B148" i="2"/>
  <c r="D148" i="2" s="1"/>
  <c r="B149" i="2"/>
  <c r="D149" i="2" s="1"/>
  <c r="B150" i="2"/>
  <c r="D150" i="2" s="1"/>
  <c r="B154" i="2"/>
  <c r="D154" i="2" s="1"/>
  <c r="B162" i="2"/>
  <c r="D162" i="2" s="1"/>
  <c r="B163" i="2"/>
  <c r="D163" i="2" s="1"/>
  <c r="B164" i="2"/>
  <c r="D164" i="2" s="1"/>
  <c r="B165" i="2"/>
  <c r="D165"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4"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39"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1"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4"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<sst xmlns="http://schemas.openxmlformats.org/spreadsheetml/2006/main" count="1936" uniqueCount="544">
  <si>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</si>
  <si>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</si>
  <si>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</si>
  <si>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</si>
  <si>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</si>
  <si>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</si>
  <si>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</si>
  <si>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</si>
  <si>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</si>
  <si>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</si>
  <si>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</si>
  <si>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</si>
  <si>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</si>
  <si>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</si>
  <si>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</si>
  <si>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</si>
  <si>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</si>
  <si>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</si>
  <si>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</si>
  <si>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</si>
  <si>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</si>
  <si>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</si>
  <si>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</si>
  <si>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</si>
  <si>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</si>
  <si>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</si>
  <si>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</si>
  <si>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</si>
  <si>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</si>
  <si>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</si>
  <si>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</si>
  <si>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</si>
  <si>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</si>
  <si>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</si>
  <si>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</si>
  <si>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</si>
  <si>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</si>
  <si>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</si>
  <si>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</si>
  <si>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</si>
  <si>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</si>
  <si>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</si>
  <si>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</si>
  <si>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</si>
  <si>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</si>
  <si>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</si>
  <si>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</si>
  <si>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</si>
  <si>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</si>
  <si>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</si>
  <si>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</si>
  <si>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</si>
  <si>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</si>
  <si>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</si>
  <si>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</si>
  <si>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</si>
  <si>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</si>
  <si>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</si>
  <si>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</si>
  <si>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</si>
  <si>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</si>
  <si>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</si>
  <si>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</si>
  <si>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</si>
  <si>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</si>
  <si>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</si>
  <si>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</si>
  <si>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</si>
  <si>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</si>
  <si>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</si>
  <si>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</si>
  <si>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</si>
  <si>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</si>
  <si>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</si>
  <si>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</si>
  <si>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</si>
  <si>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</si>
  <si>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</si>
  <si>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</si>
  <si>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</si>
  <si>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</si>
  <si>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</si>
  <si>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</si>
  <si>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</si>
  <si>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</si>
  <si>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</si>
  <si>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</si>
  <si>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</si>
  <si>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</si>
  <si>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</si>
  <si>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</si>
  <si>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</si>
  <si>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</si>
  <si>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</si>
  <si>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</si>
  <si>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</si>
  <si>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</si>
  <si>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</si>
  <si>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</si>
  <si>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</si>
  <si>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</si>
  <si>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</si>
  <si>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</si>
  <si>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</si>
  <si>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</si>
  <si>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</si>
  <si>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</si>
  <si>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</si>
  <si>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</si>
  <si>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</si>
  <si>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</si>
  <si>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</si>
  <si>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</si>
  <si>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</si>
  <si>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</si>
  <si>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</si>
  <si>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</si>
  <si>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</si>
  <si>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</si>
  <si>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</si>
  <si>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</si>
  <si>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</si>
  <si>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</si>
  <si>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</si>
  <si>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</si>
  <si>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</si>
  <si>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</si>
  <si>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</si>
  <si>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</si>
  <si>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</si>
  <si>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</si>
  <si>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</si>
  <si>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</si>
  <si>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</si>
  <si>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</si>
  <si>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</si>
  <si>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</si>
  <si>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</si>
  <si>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</si>
  <si>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</si>
  <si>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</si>
  <si>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</si>
  <si>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</si>
  <si>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</si>
  <si>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</si>
  <si>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</si>
  <si>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</si>
  <si>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</si>
  <si>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</si>
  <si>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</si>
  <si>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</si>
  <si>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</si>
  <si>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</si>
  <si>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</si>
  <si>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</si>
  <si>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</si>
  <si>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</si>
  <si>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</si>
  <si>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</si>
  <si>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</si>
  <si>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</si>
  <si>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</si>
  <si>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</si>
  <si>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</si>
  <si>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</si>
  <si>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</si>
  <si>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</si>
  <si>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</si>
  <si>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</si>
  <si>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</si>
  <si>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</si>
  <si>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</si>
  <si>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</si>
  <si>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</si>
  <si>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</si>
  <si>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</si>
  <si>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</si>
  <si>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</si>
  <si>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</si>
  <si>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</si>
  <si>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</si>
  <si>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</si>
  <si>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</si>
  <si>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</si>
  <si>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</si>
  <si>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</si>
  <si>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</si>
  <si>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</si>
  <si>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</si>
  <si>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</si>
  <si>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</si>
  <si>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</si>
  <si>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</si>
  <si>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</si>
  <si>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</si>
  <si>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</si>
  <si>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</si>
  <si>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</si>
  <si>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</si>
  <si>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</si>
  <si>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</si>
  <si>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</si>
  <si>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</si>
  <si>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</si>
  <si>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</si>
  <si>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</si>
  <si>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</si>
  <si>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</si>
  <si>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</si>
  <si>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</si>
  <si>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</si>
  <si>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</si>
  <si>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</si>
  <si>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</si>
  <si>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</si>
  <si>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</si>
  <si>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</si>
  <si>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</si>
  <si>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</si>
  <si>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</si>
  <si>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</si>
  <si>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</si>
  <si>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</si>
  <si>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</si>
  <si>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</si>
  <si>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</si>
  <si>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</si>
  <si>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</si>
  <si>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</si>
  <si>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</si>
  <si>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</si>
  <si>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</si>
  <si>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</si>
  <si>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</si>
  <si>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</si>
  <si>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</si>
  <si>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</si>
  <si>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</si>
  <si>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</si>
  <si>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</si>
  <si>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</si>
  <si>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</si>
  <si>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</si>
  <si>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</si>
  <si>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</si>
  <si>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</si>
  <si>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</si>
  <si>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</si>
  <si>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</si>
  <si>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</si>
  <si>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</si>
  <si>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</si>
  <si>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</si>
  <si>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</si>
  <si>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</si>
  <si>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</si>
  <si>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</si>
  <si>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</si>
  <si>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</si>
  <si>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</si>
  <si>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</si>
  <si>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</si>
  <si>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</si>
  <si>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</si>
  <si>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</si>
  <si>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</si>
  <si>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</si>
  <si>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</si>
  <si>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</si>
  <si>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</si>
  <si>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</si>
  <si>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</si>
  <si>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</si>
  <si>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</si>
  <si>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</si>
  <si>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</si>
  <si>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</si>
  <si>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</si>
  <si>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</si>
  <si>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</si>
  <si>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</si>
  <si>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</si>
  <si>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</si>
  <si>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</si>
  <si>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</si>
  <si>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</si>
  <si>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</si>
  <si>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</si>
  <si>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</si>
  <si>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</si>
  <si>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</si>
  <si>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</si>
  <si>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</si>
  <si>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</si>
  <si>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</si>
  <si>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</si>
  <si>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</si>
  <si>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</si>
  <si>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</si>
  <si>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</si>
  <si>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</si>
  <si>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</si>
  <si>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</si>
  <si>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</si>
  <si>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</si>
  <si>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</si>
  <si>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</si>
  <si>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</si>
  <si>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</si>
  <si>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</si>
  <si>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</si>
  <si>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</si>
  <si>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</si>
  <si>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</si>
  <si>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</si>
  <si>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</si>
  <si>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</si>
  <si>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</si>
  <si>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</si>
  <si>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</si>
  <si>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</si>
  <si>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</si>
  <si>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</si>
  <si>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</si>
  <si>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</si>
  <si>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</si>
  <si>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</si>
  <si>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</si>
  <si>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</si>
  <si>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</si>
  <si>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</si>
  <si>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</si>
  <si>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</si>
  <si>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</si>
  <si>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</si>
  <si>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</si>
  <si>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</si>
  <si>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</si>
  <si>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</si>
  <si>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</si>
  <si>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</si>
  <si>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</si>
  <si>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</si>
  <si>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</si>
  <si>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</si>
  <si>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</si>
  <si>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</si>
  <si>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</si>
  <si>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</si>
  <si>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</si>
  <si>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</si>
  <si>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</si>
  <si>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</si>
  <si>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</si>
  <si>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</si>
  <si>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</si>
  <si>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</si>
  <si>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</si>
  <si>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</si>
  <si>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</si>
  <si>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</si>
  <si>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</si>
  <si>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</si>
  <si>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</si>
  <si>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</si>
  <si>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</si>
  <si>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</si>
  <si>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</si>
  <si>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</si>
  <si>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</si>
  <si>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</si>
  <si>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</si>
  <si>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</si>
  <si>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</si>
  <si>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</si>
  <si>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</si>
  <si>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</si>
  <si>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</si>
  <si>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</si>
  <si>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</si>
  <si>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</si>
  <si>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</si>
  <si>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</si>
  <si>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</si>
  <si>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</si>
  <si>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</si>
  <si>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</si>
  <si>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</si>
  <si>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</si>
  <si>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</si>
  <si>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</si>
  <si>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</si>
  <si>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</si>
  <si>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</si>
  <si>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</si>
  <si>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</si>
  <si>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</si>
  <si>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</si>
  <si>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</si>
  <si>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</si>
  <si>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</si>
  <si>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</si>
  <si>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</si>
  <si>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</si>
  <si>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</si>
  <si>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</si>
  <si>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</si>
  <si>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</si>
  <si>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</si>
  <si>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</si>
  <si>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</si>
  <si>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</si>
  <si>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</si>
  <si>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</si>
  <si>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HPCR</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</si>
  <si>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</si>
  <si>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</si>
  <si>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</si>
  <si>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</si>
  <si>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</si>
  <si>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</si>
  <si>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</si>
  <si>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</si>
  <si>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</si>
  <si>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</si>
  <si>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</si>
  <si>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</si>
  <si>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</si>
  <si>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</si>
  <si>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</si>
  <si>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</si>
  <si>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</si>
  <si>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</si>
  <si>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</si>
  <si>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</si>
  <si>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</si>
  <si>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</si>
  <si>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</si>
  <si>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</si>
  <si>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</si>
  <si>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</si>
  <si>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</si>
  <si>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</si>
  <si>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</si>
  <si>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</si>
  <si>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</si>
  <si>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</si>
  <si>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</si>
  <si>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</si>
  <si>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</si>
  <si>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</si>
  <si>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</si>
  <si>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</si>
  <si>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</si>
  <si>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</si>
  <si>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</si>
  <si>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</si>
  <si>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</si>
  <si>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</si>
  <si>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</si>
  <si>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</si>
  <si>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</si>
  <si>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</si>
  <si>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</si>
  <si>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</si>
  <si>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</si>
  <si>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</si>
  <si>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</si>
  <si>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</si>
  <si>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</si>
  <si>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</si>
  <si>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</si>
  <si>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</si>
  <si>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</si>
  <si>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</si>
  <si>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</si>
  <si>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</si>
  <si>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</si>
  <si>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</si>
  <si>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</si>
  <si>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</si>
  <si>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</si>
  <si>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</si>
  <si>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</si>
  <si>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</si>
  <si>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</si>
  <si>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</si>
  <si>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</si>
  <si>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</si>
  <si>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</si>
  <si>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</si>
  <si>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</si>
  <si>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</si>
  <si>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</si>
  <si>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</si>
  <si>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</si>
  <si>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</si>
  <si>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</si>
  <si>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</si>
  <si>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</si>
  <si>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</si>
  <si>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</si>
  <si>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</si>
  <si>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</si>
  <si>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</si>
  <si>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</si>
  <si>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</si>
  <si>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</si>
  <si>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</si>
  <si>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Vessel Replacements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</si>
  <si>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</si>
  <si>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</si>
  <si>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</si>
  <si>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</si>
  <si>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</si>
  <si>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</si>
  <si>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</si>
  <si>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</si>
  <si>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</si>
  <si>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</si>
  <si>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</si>
  <si>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</si>
  <si>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</si>
  <si>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</si>
  <si>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</si>
  <si>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</si>
  <si>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</si>
  <si>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</si>
  <si>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</si>
  <si>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</si>
  <si>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</si>
  <si>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NaK</t>
  </si>
  <si>
    <t>MARVEL Project (communication with MARVEL Team)</t>
  </si>
  <si>
    <t>Vendor Quotes</t>
  </si>
  <si>
    <t>Note</t>
  </si>
  <si>
    <t>Reference</t>
  </si>
  <si>
    <t>FOAK to NOAK Learning Rates</t>
  </si>
  <si>
    <t>Assessment of Factory Fabrication Considerations
for Nuclear Microreactors
 10.1080/00295450.2023.2206779</t>
  </si>
  <si>
    <t>Calculated based on Refernce Paper + Gyutae's work. Refer to TEM Slides for rationale and methodology</t>
  </si>
  <si>
    <t>Factory Be</t>
  </si>
  <si>
    <t>Factory BeO</t>
  </si>
  <si>
    <t>Non-nuclear off-the-shelf</t>
  </si>
  <si>
    <t>Park, et al., Bottom-up levelized cost estimation of low-enriched and low-pressure nuclear batteries. Nuclear Engineering and Design. 2025.</t>
  </si>
  <si>
    <t>For off-the-shelf commercial components that are not produced in the FB Factory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</si>
</sst>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x14ac:knownFonts="1">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xf numFmtId="167" fontId="0" fillId="0" borderId="0" xfId="0" applyNumberFormat="1"/>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65">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ill>
        <patternFill>
          <bgColor theme="6" tint="0.79998168889431442"/>
        </patternFill>
      </fill>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theme="6" tint="0.79998168889431442"/>
        </patternFill>
      </fill>
    </dxf>
    <dxf>
      <fill>
        <patternFill>
          <bgColor rgb="FFFFFFBA"/>
        </patternFill>
      </fill>
    </dxf>
    <dxf>
      <font>
        <b/>
        <i val="0"/>
      </font>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font>
      <fill>
        <patternFill patternType="gray0625"/>
      </fill>
    </dxf>
    <dxf>
      <font>
        <b/>
        <i/>
      </font>
      <fill>
        <patternFill patternType="gray0625"/>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ont>
        <b/>
        <i val="0"/>
      </font>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rgb="FFFFFFBA"/>
        </patternFill>
      </fill>
    </dxf>
    <dxf>
      <fill>
        <patternFill>
          <bgColor theme="6" tint="0.79998168889431442"/>
        </patternFill>
      </fill>
    </dxf>
    <dxf>
      <fill>
        <patternFill>
          <bgColor theme="9" tint="0.39994506668294322"/>
        </patternFill>
      </fill>
    </dxf>
    <dxf>
      <font>
        <b/>
        <i/>
      </font>
      <fill>
        <patternFill patternType="gray0625"/>
      </fill>
    </dxf>
    <dxf>
      <font>
        <b/>
        <i/>
      </font>
      <fill>
        <patternFill patternType="gray125"/>
      </fill>
    </dxf>
    <dxf>
      <font>
        <b/>
        <i/>
      </font>
      <fill>
        <patternFill patternType="gray0625"/>
      </fill>
    </dxf>
    <dxf>
      <font>
        <b/>
        <i val="0"/>
      </font>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ont>
        <b/>
        <i val="0"/>
      </font>
    </dxf>
    <dxf>
      <fill>
        <patternFill>
          <bgColor theme="9" tint="0.39994506668294322"/>
        </patternFill>
      </fill>
    </dxf>
    <dxf>
      <font>
        <b/>
        <i/>
      </font>
      <fill>
        <patternFill patternType="gray0625"/>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rgb="FFFFFFBA"/>
        </patternFill>
      </fill>
    </dxf>
    <dxf>
      <fill>
        <patternFill>
          <bgColor theme="9" tint="0.39994506668294322"/>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ont>
        <b/>
        <i val="0"/>
      </font>
    </dxf>
    <dxf>
      <fill>
        <patternFill>
          <bgColor theme="6" tint="0.79998168889431442"/>
        </patternFill>
      </fill>
    </dxf>
    <dxf>
      <fill>
        <patternFill>
          <bgColor rgb="FFFFFFBA"/>
        </patternFill>
      </fill>
    </dxf>
    <dxf>
      <fill>
        <patternFill>
          <bgColor theme="9" tint="0.39994506668294322"/>
        </patternFill>
      </fill>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4" dT="2025-06-20T17:42:02.17" personId="{3B5B98F4-A9DA-4CFD-B3D9-F7907C025518}" id="{25250E12-7DF8-42FE-A9C3-6F5AE6FD64C9}">
    <text>Baseline Cost: 8844770 1978USD
Escalation (to 2023): 8.155</text>
  </threadedComment>
  <threadedComment ref="H139" dT="2025-06-19T23:17:33.50" personId="{84112BF8-C915-7B4B-BE8E-B816F75B981C}" id="{BDE8F098-EF81-461E-B745-0627E6989C51}">
    <text>The cost is multiplied by 0.5 since the
 shipping included international shipping</text>
  </threadedComment>
  <threadedComment ref="C151" dT="2025-06-20T19:13:57.21" personId="{3B5B98F4-A9DA-4CFD-B3D9-F7907C025518}" id="{8C62D7C0-F520-42A3-9908-A880BA4D938B}">
    <text xml:space="preserve">Variable costs that are not fuel-based, such as borated water, control rods, burnable poisons, and other consumable </text>
  </threadedComment>
  <threadedComment ref="C151" dT="2025-06-20T19:14:14.35" personId="{3B5B98F4-A9DA-4CFD-B3D9-F7907C025518}" id="{60EA5C16-5BC5-40F2-AD75-9609617C429D}" parentId="{8C62D7C0-F520-42A3-9908-A880BA4D938B}">
    <text>For the GCMR, likley includes replacement coolant, CO2 refill, etc.</text>
  </threadedComment>
  <threadedComment ref="C154"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4"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5"/>
  <sheetViews>
    <sheetView tabSelected="1" topLeftCell="C161" zoomScale="200" zoomScaleNormal="100" workbookViewId="0">
      <pane xSplit="2" topLeftCell="S1" activePane="topRight" state="frozen"/>
      <selection activeCell="C1" sqref="C1"/>
      <selection pane="topRight" activeCell="D163" sqref="D163"/>
    </sheetView>
  </sheetViews>
  <sheetFormatPr baseColWidth="10" defaultColWidth="10.6640625" defaultRowHeight="14" x14ac:dyDescent="0.2"/>
  <cols>
    <col min="1" max="1" width="8.6640625" style="5" customWidth="1"/>
    <col min="2" max="2" width="4.6640625" style="5" customWidth="1"/>
    <col min="3" max="3" width="29.5" style="5" customWidth="1"/>
    <col min="4" max="4" width="41.6640625" style="6" customWidth="1"/>
    <col min="5" max="5" width="14.33203125" style="6" bestFit="1" customWidth="1"/>
    <col min="6" max="6" width="13.1640625" style="6" customWidth="1"/>
    <col min="7" max="7" width="10.83203125" style="6" customWidth="1"/>
    <col min="8" max="8" width="12.33203125" style="37" customWidth="1"/>
    <col min="9" max="9" width="10" style="37" bestFit="1" customWidth="1"/>
    <col min="10" max="10" width="10" style="5" customWidth="1"/>
    <col min="11" max="11" width="15.6640625" style="5" customWidth="1"/>
    <col min="12" max="12" width="8.6640625" style="5" customWidth="1"/>
    <col min="13" max="13" width="7.33203125" style="5" customWidth="1"/>
    <col min="14" max="14" width="7.6640625" style="5" customWidth="1"/>
    <col min="15" max="15" width="8.1640625" style="5" customWidth="1"/>
    <col min="16" max="16" width="10.6640625" style="5" customWidth="1"/>
    <col min="17" max="17" width="29" style="5" customWidth="1"/>
    <col min="18" max="18" width="37.1640625" style="5" customWidth="1"/>
    <col min="19" max="19" width="81.1640625" style="5" customWidth="1"/>
    <col min="20" max="20" width="18.6640625" style="5" customWidth="1"/>
    <col min="21" max="21" width="28.1640625" style="5" customWidth="1"/>
    <col min="22" max="23" width="16.6640625" style="37" customWidth="1"/>
    <col min="24" max="24" width="12.5" style="5" bestFit="1" customWidth="1"/>
    <col min="25" max="26" width="16.6640625" style="37" customWidth="1"/>
    <col min="27" max="27" width="12.5" style="5" customWidth="1"/>
    <col min="28" max="30" width="6.6640625" style="37" customWidth="1"/>
    <col min="31" max="31" width="15.33203125" style="5" bestFit="1" customWidth="1"/>
    <col min="32" max="16384" width="10.6640625" style="5"/>
  </cols>
  <sheetData>
    <row r="1" spans="1:31" s="86" customFormat="1" ht="31.25" customHeight="1" x14ac:dyDescent="0.2">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456</v>
      </c>
      <c r="V1" s="85" t="s">
        <v>457</v>
      </c>
      <c r="W1" s="85" t="s">
        <v>458</v>
      </c>
      <c r="X1" s="85" t="s">
        <v>459</v>
      </c>
      <c r="Y1" s="85" t="s">
        <v>460</v>
      </c>
      <c r="Z1" s="85" t="s">
        <v>461</v>
      </c>
      <c r="AA1" s="85" t="s">
        <v>462</v>
      </c>
      <c r="AB1" s="85" t="s">
        <v>463</v>
      </c>
      <c r="AC1" s="85" t="s">
        <v>464</v>
      </c>
      <c r="AD1" s="85" t="s">
        <v>465</v>
      </c>
      <c r="AE1" s="85" t="s">
        <v>466</v>
      </c>
    </row>
    <row r="2" spans="1:31" s="9" customFormat="1" ht="15" x14ac:dyDescent="0.2">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25" customHeight="1" x14ac:dyDescent="0.2">
      <c r="A3" s="39">
        <v>11</v>
      </c>
      <c r="B3" s="40">
        <f t="shared" ref="B3:B113" si="0">IF(ISNUMBER(A3),
    IF(AND(A3=INT(A3), MOD(A3, 10) = 0), 0,
        IF(AND(A3=INT(A3), LEN(A3)=2), 1,
            IF(AND(A3=INT(A3), LEN(A3)=3), 2,
                LEN(A3) - FIND(".", A3) + 2)
        )
    ),
"")</f>
        <v>1</v>
      </c>
      <c r="C3" s="44" t="s">
        <v>3</v>
      </c>
      <c r="D3" s="41" t="str">
        <f t="shared" ref="D3:D111" si="1">REPT("   ", B3*2) &amp; C3</f>
        <v xml:space="preserve">      Land Cost</v>
      </c>
      <c r="E3" s="41" t="s">
        <v>341</v>
      </c>
      <c r="F3" s="41"/>
      <c r="G3" s="41"/>
      <c r="H3" s="45"/>
      <c r="I3" s="46">
        <v>3800</v>
      </c>
      <c r="J3" s="47" t="s">
        <v>70</v>
      </c>
      <c r="K3" s="47" t="s">
        <v>68</v>
      </c>
      <c r="L3" s="48"/>
      <c r="M3" s="47" t="s">
        <v>78</v>
      </c>
      <c r="N3" s="47"/>
      <c r="O3" s="68">
        <v>2022</v>
      </c>
      <c r="P3" s="47" t="s">
        <v>75</v>
      </c>
      <c r="Q3" s="49" t="s">
        <v>53</v>
      </c>
      <c r="R3" s="93" t="s">
        <v>445</v>
      </c>
      <c r="S3" s="95" t="s">
        <v>56</v>
      </c>
      <c r="T3" s="51"/>
      <c r="U3" s="80" t="s">
        <v>468</v>
      </c>
      <c r="V3" s="84">
        <f>0.9*$H3</f>
        <v>0</v>
      </c>
      <c r="W3" s="84">
        <f>1.5*H3</f>
        <v>0</v>
      </c>
      <c r="X3" s="80" t="s">
        <v>451</v>
      </c>
      <c r="Y3" s="83">
        <f t="shared" ref="Y3" si="2">0.9*I3</f>
        <v>3420</v>
      </c>
      <c r="Z3" s="83">
        <f t="shared" ref="Z3" si="3">1.3*I3</f>
        <v>4940</v>
      </c>
      <c r="AA3" s="80" t="s">
        <v>451</v>
      </c>
      <c r="AB3" s="83" t="s">
        <v>475</v>
      </c>
      <c r="AC3" s="83" t="s">
        <v>476</v>
      </c>
      <c r="AD3" s="83" t="s">
        <v>477</v>
      </c>
      <c r="AE3" s="80" t="s">
        <v>452</v>
      </c>
    </row>
    <row r="4" spans="1:31" ht="15" x14ac:dyDescent="0.2">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3"/>
      <c r="S4" s="95"/>
      <c r="T4" s="51"/>
      <c r="U4" s="80" t="s">
        <v>468</v>
      </c>
      <c r="V4" s="84">
        <f t="shared" ref="V4:V79" si="4">0.9*$H4</f>
        <v>0</v>
      </c>
      <c r="W4" s="84">
        <f t="shared" ref="W4:W79" si="5">1.5*H4</f>
        <v>0</v>
      </c>
      <c r="X4" s="80" t="s">
        <v>451</v>
      </c>
      <c r="Y4" s="83">
        <f t="shared" ref="Y4:Y79" si="6">0.9*I4</f>
        <v>9027</v>
      </c>
      <c r="Z4" s="83">
        <f t="shared" ref="Z4:Z79" si="7">1.3*I4</f>
        <v>13039</v>
      </c>
      <c r="AA4" s="80" t="s">
        <v>451</v>
      </c>
      <c r="AB4" s="83" t="s">
        <v>475</v>
      </c>
      <c r="AC4" s="83" t="s">
        <v>476</v>
      </c>
      <c r="AD4" s="83" t="s">
        <v>477</v>
      </c>
      <c r="AE4" s="80" t="s">
        <v>452</v>
      </c>
    </row>
    <row r="5" spans="1:31" ht="15" x14ac:dyDescent="0.2">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3" t="s">
        <v>141</v>
      </c>
      <c r="S5" s="95" t="s">
        <v>59</v>
      </c>
      <c r="T5" s="51"/>
      <c r="U5" s="80" t="s">
        <v>469</v>
      </c>
      <c r="V5" s="84">
        <f>45*1000000</f>
        <v>45000000</v>
      </c>
      <c r="W5" s="84">
        <f>70*1000000</f>
        <v>70000000</v>
      </c>
      <c r="X5" s="80" t="s">
        <v>473</v>
      </c>
      <c r="Y5" s="83">
        <f t="shared" si="6"/>
        <v>0</v>
      </c>
      <c r="Z5" s="83">
        <f t="shared" si="7"/>
        <v>0</v>
      </c>
      <c r="AA5" s="80" t="s">
        <v>451</v>
      </c>
      <c r="AB5" s="83" t="s">
        <v>475</v>
      </c>
      <c r="AC5" s="83" t="s">
        <v>476</v>
      </c>
      <c r="AD5" s="83" t="s">
        <v>477</v>
      </c>
      <c r="AE5" s="80" t="s">
        <v>452</v>
      </c>
    </row>
    <row r="6" spans="1:31" ht="15" x14ac:dyDescent="0.2">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3"/>
      <c r="S6" s="95"/>
      <c r="T6" s="51"/>
      <c r="U6" s="80" t="s">
        <v>468</v>
      </c>
      <c r="V6" s="84">
        <f t="shared" si="4"/>
        <v>2700000</v>
      </c>
      <c r="W6" s="84">
        <f t="shared" si="5"/>
        <v>4500000</v>
      </c>
      <c r="X6" s="80" t="s">
        <v>451</v>
      </c>
      <c r="Y6" s="83">
        <f t="shared" si="6"/>
        <v>0</v>
      </c>
      <c r="Z6" s="83">
        <f t="shared" si="7"/>
        <v>0</v>
      </c>
      <c r="AA6" s="80" t="s">
        <v>451</v>
      </c>
      <c r="AB6" s="83" t="s">
        <v>475</v>
      </c>
      <c r="AC6" s="83" t="s">
        <v>476</v>
      </c>
      <c r="AD6" s="83" t="s">
        <v>477</v>
      </c>
      <c r="AE6" s="80" t="s">
        <v>452</v>
      </c>
    </row>
    <row r="7" spans="1:31" ht="24" customHeight="1" x14ac:dyDescent="0.2">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446</v>
      </c>
      <c r="S7" s="51" t="s">
        <v>61</v>
      </c>
      <c r="T7" s="47" t="s">
        <v>63</v>
      </c>
      <c r="U7" s="80" t="s">
        <v>468</v>
      </c>
      <c r="V7" s="84">
        <f t="shared" si="4"/>
        <v>4689405.9000000004</v>
      </c>
      <c r="W7" s="84">
        <f t="shared" si="5"/>
        <v>7815676.5</v>
      </c>
      <c r="X7" s="80" t="s">
        <v>451</v>
      </c>
      <c r="Y7" s="83">
        <f t="shared" si="6"/>
        <v>0</v>
      </c>
      <c r="Z7" s="83">
        <f t="shared" si="7"/>
        <v>0</v>
      </c>
      <c r="AA7" s="80" t="s">
        <v>451</v>
      </c>
      <c r="AB7" s="83" t="s">
        <v>475</v>
      </c>
      <c r="AC7" s="83" t="s">
        <v>476</v>
      </c>
      <c r="AD7" s="83" t="s">
        <v>477</v>
      </c>
      <c r="AE7" s="80" t="s">
        <v>452</v>
      </c>
    </row>
    <row r="8" spans="1:31" ht="15" x14ac:dyDescent="0.2">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470</v>
      </c>
      <c r="V8" s="84"/>
      <c r="W8" s="84"/>
      <c r="X8" s="80"/>
      <c r="Y8" s="83"/>
      <c r="Z8" s="83"/>
      <c r="AA8" s="80"/>
      <c r="AB8" s="83"/>
      <c r="AC8" s="83"/>
      <c r="AD8" s="83"/>
      <c r="AE8" s="80"/>
    </row>
    <row r="9" spans="1:31" ht="15" x14ac:dyDescent="0.2">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ht="15" x14ac:dyDescent="0.2">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ht="15" x14ac:dyDescent="0.2">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3" t="s">
        <v>82</v>
      </c>
      <c r="R11" s="93" t="s">
        <v>83</v>
      </c>
      <c r="S11" s="94" t="s">
        <v>84</v>
      </c>
      <c r="T11" s="51"/>
      <c r="U11" s="80" t="s">
        <v>471</v>
      </c>
      <c r="V11" s="84">
        <f t="shared" si="4"/>
        <v>0</v>
      </c>
      <c r="W11" s="84">
        <f t="shared" si="5"/>
        <v>0</v>
      </c>
      <c r="X11" s="80" t="s">
        <v>451</v>
      </c>
      <c r="Y11" s="83">
        <f t="shared" si="6"/>
        <v>5276.5914600000006</v>
      </c>
      <c r="Z11" s="83">
        <f t="shared" si="7"/>
        <v>7621.7432200000012</v>
      </c>
      <c r="AA11" s="80" t="s">
        <v>451</v>
      </c>
      <c r="AB11" s="83" t="s">
        <v>475</v>
      </c>
      <c r="AC11" s="83" t="s">
        <v>476</v>
      </c>
      <c r="AD11" s="83" t="s">
        <v>477</v>
      </c>
      <c r="AE11" s="80" t="s">
        <v>452</v>
      </c>
    </row>
    <row r="12" spans="1:31" ht="15" x14ac:dyDescent="0.2">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3"/>
      <c r="R12" s="93"/>
      <c r="S12" s="95"/>
      <c r="T12" s="51"/>
      <c r="U12" s="80" t="s">
        <v>471</v>
      </c>
      <c r="V12" s="84">
        <f t="shared" si="4"/>
        <v>0</v>
      </c>
      <c r="W12" s="84">
        <f t="shared" si="5"/>
        <v>0</v>
      </c>
      <c r="X12" s="80" t="s">
        <v>451</v>
      </c>
      <c r="Y12" s="83">
        <f t="shared" si="6"/>
        <v>3070.5443999999998</v>
      </c>
      <c r="Z12" s="83">
        <f t="shared" si="7"/>
        <v>4435.2308000000003</v>
      </c>
      <c r="AA12" s="80" t="s">
        <v>451</v>
      </c>
      <c r="AB12" s="83" t="s">
        <v>475</v>
      </c>
      <c r="AC12" s="83" t="s">
        <v>476</v>
      </c>
      <c r="AD12" s="83" t="s">
        <v>477</v>
      </c>
      <c r="AE12" s="80" t="s">
        <v>452</v>
      </c>
    </row>
    <row r="13" spans="1:31" ht="15" x14ac:dyDescent="0.2">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3"/>
      <c r="R13" s="93"/>
      <c r="S13" s="95"/>
      <c r="T13" s="51"/>
      <c r="U13" s="80" t="s">
        <v>471</v>
      </c>
      <c r="V13" s="84">
        <f t="shared" si="4"/>
        <v>0</v>
      </c>
      <c r="W13" s="84">
        <f t="shared" si="5"/>
        <v>0</v>
      </c>
      <c r="X13" s="80" t="s">
        <v>451</v>
      </c>
      <c r="Y13" s="83">
        <f t="shared" si="6"/>
        <v>28.803599999999999</v>
      </c>
      <c r="Z13" s="83">
        <f t="shared" si="7"/>
        <v>41.605199999999996</v>
      </c>
      <c r="AA13" s="80" t="s">
        <v>451</v>
      </c>
      <c r="AB13" s="83" t="s">
        <v>475</v>
      </c>
      <c r="AC13" s="83" t="s">
        <v>476</v>
      </c>
      <c r="AD13" s="83" t="s">
        <v>477</v>
      </c>
      <c r="AE13" s="80" t="s">
        <v>452</v>
      </c>
    </row>
    <row r="14" spans="1:31" ht="15" x14ac:dyDescent="0.2">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9" x14ac:dyDescent="0.2">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3" t="s">
        <v>82</v>
      </c>
      <c r="R15" s="93" t="s">
        <v>83</v>
      </c>
      <c r="S15" s="94" t="s">
        <v>84</v>
      </c>
      <c r="T15" s="51"/>
      <c r="U15" s="80" t="s">
        <v>471</v>
      </c>
      <c r="V15" s="84">
        <f t="shared" si="4"/>
        <v>0</v>
      </c>
      <c r="W15" s="84">
        <f t="shared" si="5"/>
        <v>0</v>
      </c>
      <c r="X15" s="80" t="s">
        <v>451</v>
      </c>
      <c r="Y15" s="83">
        <f t="shared" si="6"/>
        <v>1652.4</v>
      </c>
      <c r="Z15" s="83">
        <f t="shared" si="7"/>
        <v>2386.8000000000002</v>
      </c>
      <c r="AA15" s="80" t="s">
        <v>451</v>
      </c>
      <c r="AB15" s="83" t="s">
        <v>475</v>
      </c>
      <c r="AC15" s="83" t="s">
        <v>476</v>
      </c>
      <c r="AD15" s="83" t="s">
        <v>477</v>
      </c>
      <c r="AE15" s="80" t="s">
        <v>452</v>
      </c>
    </row>
    <row r="16" spans="1:31" ht="29" x14ac:dyDescent="0.2">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3"/>
      <c r="R16" s="93"/>
      <c r="S16" s="95"/>
      <c r="T16" s="51"/>
      <c r="U16" s="80" t="s">
        <v>471</v>
      </c>
      <c r="V16" s="84">
        <f t="shared" si="4"/>
        <v>0</v>
      </c>
      <c r="W16" s="84">
        <f t="shared" si="5"/>
        <v>0</v>
      </c>
      <c r="X16" s="80" t="s">
        <v>451</v>
      </c>
      <c r="Y16" s="83">
        <f t="shared" si="6"/>
        <v>1299.7502999999999</v>
      </c>
      <c r="Z16" s="83">
        <f t="shared" si="7"/>
        <v>1877.4170999999999</v>
      </c>
      <c r="AA16" s="80" t="s">
        <v>451</v>
      </c>
      <c r="AB16" s="83" t="s">
        <v>475</v>
      </c>
      <c r="AC16" s="83" t="s">
        <v>476</v>
      </c>
      <c r="AD16" s="83" t="s">
        <v>477</v>
      </c>
      <c r="AE16" s="80" t="s">
        <v>452</v>
      </c>
    </row>
    <row r="17" spans="1:31" ht="43" x14ac:dyDescent="0.2">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3"/>
      <c r="R17" s="93"/>
      <c r="S17" s="95"/>
      <c r="T17" s="51"/>
      <c r="U17" s="80" t="s">
        <v>471</v>
      </c>
      <c r="V17" s="84">
        <f t="shared" si="4"/>
        <v>0</v>
      </c>
      <c r="W17" s="84">
        <f t="shared" si="5"/>
        <v>0</v>
      </c>
      <c r="X17" s="80" t="s">
        <v>451</v>
      </c>
      <c r="Y17" s="83">
        <f t="shared" si="6"/>
        <v>993.10617000000013</v>
      </c>
      <c r="Z17" s="83">
        <f t="shared" si="7"/>
        <v>1434.4866900000002</v>
      </c>
      <c r="AA17" s="80" t="s">
        <v>451</v>
      </c>
      <c r="AB17" s="83" t="s">
        <v>475</v>
      </c>
      <c r="AC17" s="83" t="s">
        <v>476</v>
      </c>
      <c r="AD17" s="83" t="s">
        <v>477</v>
      </c>
      <c r="AE17" s="80" t="s">
        <v>452</v>
      </c>
    </row>
    <row r="18" spans="1:31" ht="57" x14ac:dyDescent="0.2">
      <c r="A18" s="55">
        <v>212.4</v>
      </c>
      <c r="B18" s="40">
        <f t="shared" si="0"/>
        <v>3</v>
      </c>
      <c r="C18" s="44" t="s">
        <v>515</v>
      </c>
      <c r="D18" s="41" t="str">
        <f>REPT("   ", B18*2) &amp; C18</f>
        <v xml:space="preserve">                  Reactor Building Liner</v>
      </c>
      <c r="E18" s="41" t="s">
        <v>341</v>
      </c>
      <c r="F18" s="41" t="s">
        <v>351</v>
      </c>
      <c r="G18" s="41" t="s">
        <v>354</v>
      </c>
      <c r="H18" s="45"/>
      <c r="I18" s="46">
        <f>60848829/9373</f>
        <v>6491.9267043635973</v>
      </c>
      <c r="J18" s="47" t="s">
        <v>519</v>
      </c>
      <c r="K18" s="49" t="s">
        <v>520</v>
      </c>
      <c r="L18" s="48">
        <v>9373</v>
      </c>
      <c r="M18" s="47" t="s">
        <v>518</v>
      </c>
      <c r="N18" s="48">
        <v>1</v>
      </c>
      <c r="O18" s="68">
        <v>2018</v>
      </c>
      <c r="P18" s="47" t="s">
        <v>77</v>
      </c>
      <c r="Q18" s="49" t="s">
        <v>516</v>
      </c>
      <c r="R18" s="49" t="s">
        <v>516</v>
      </c>
      <c r="S18" s="88" t="s">
        <v>517</v>
      </c>
      <c r="T18" s="51"/>
      <c r="U18" s="80" t="s">
        <v>471</v>
      </c>
      <c r="V18" s="84">
        <f t="shared" si="4"/>
        <v>0</v>
      </c>
      <c r="W18" s="84">
        <f t="shared" ref="W18" si="8">1.5*H18</f>
        <v>0</v>
      </c>
      <c r="X18" s="80" t="s">
        <v>451</v>
      </c>
      <c r="Y18" s="83">
        <f t="shared" ref="Y18" si="9">0.9*I18</f>
        <v>5842.7340339272378</v>
      </c>
      <c r="Z18" s="83">
        <f t="shared" ref="Z18" si="10">1.3*I18</f>
        <v>8439.504715672676</v>
      </c>
      <c r="AA18" s="80" t="s">
        <v>451</v>
      </c>
      <c r="AB18" s="83" t="s">
        <v>475</v>
      </c>
      <c r="AC18" s="83" t="s">
        <v>476</v>
      </c>
      <c r="AD18" s="83" t="s">
        <v>477</v>
      </c>
      <c r="AE18" s="80" t="s">
        <v>452</v>
      </c>
    </row>
    <row r="19" spans="1:31" ht="57" x14ac:dyDescent="0.2">
      <c r="A19" s="55">
        <v>212.5</v>
      </c>
      <c r="B19" s="40">
        <f t="shared" si="0"/>
        <v>3</v>
      </c>
      <c r="C19" s="44" t="s">
        <v>521</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516</v>
      </c>
      <c r="R19" s="49" t="s">
        <v>516</v>
      </c>
      <c r="S19" s="88" t="s">
        <v>517</v>
      </c>
      <c r="T19" s="51"/>
      <c r="U19" s="80" t="s">
        <v>471</v>
      </c>
      <c r="V19" s="84">
        <f t="shared" si="4"/>
        <v>0</v>
      </c>
      <c r="W19" s="84">
        <f t="shared" ref="W19" si="11">1.5*H19</f>
        <v>0</v>
      </c>
      <c r="X19" s="80" t="s">
        <v>451</v>
      </c>
      <c r="Y19" s="83">
        <f t="shared" ref="Y19" si="12">0.9*I19</f>
        <v>1558.727041264267</v>
      </c>
      <c r="Z19" s="83">
        <f t="shared" ref="Z19" si="13">1.3*I19</f>
        <v>2251.4946151594968</v>
      </c>
      <c r="AA19" s="80" t="s">
        <v>451</v>
      </c>
      <c r="AB19" s="83" t="s">
        <v>475</v>
      </c>
      <c r="AC19" s="83" t="s">
        <v>476</v>
      </c>
      <c r="AD19" s="83" t="s">
        <v>477</v>
      </c>
      <c r="AE19" s="80" t="s">
        <v>452</v>
      </c>
    </row>
    <row r="20" spans="1:31" ht="15" x14ac:dyDescent="0.2">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ht="15" x14ac:dyDescent="0.2">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9" x14ac:dyDescent="0.2">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3" t="s">
        <v>82</v>
      </c>
      <c r="R22" s="93" t="s">
        <v>83</v>
      </c>
      <c r="S22" s="94" t="s">
        <v>84</v>
      </c>
      <c r="T22" s="51"/>
      <c r="U22" s="80" t="s">
        <v>471</v>
      </c>
      <c r="V22" s="84">
        <f t="shared" si="4"/>
        <v>0</v>
      </c>
      <c r="W22" s="84">
        <f t="shared" si="5"/>
        <v>0</v>
      </c>
      <c r="X22" s="80" t="s">
        <v>451</v>
      </c>
      <c r="Y22" s="83">
        <f t="shared" si="6"/>
        <v>1652.4</v>
      </c>
      <c r="Z22" s="83">
        <f t="shared" si="7"/>
        <v>2386.8000000000002</v>
      </c>
      <c r="AA22" s="80" t="s">
        <v>451</v>
      </c>
      <c r="AB22" s="83" t="s">
        <v>475</v>
      </c>
      <c r="AC22" s="83" t="s">
        <v>476</v>
      </c>
      <c r="AD22" s="83" t="s">
        <v>477</v>
      </c>
      <c r="AE22" s="80" t="s">
        <v>452</v>
      </c>
    </row>
    <row r="23" spans="1:31" ht="29" x14ac:dyDescent="0.2">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3"/>
      <c r="R23" s="93"/>
      <c r="S23" s="95"/>
      <c r="T23" s="51"/>
      <c r="U23" s="80" t="s">
        <v>471</v>
      </c>
      <c r="V23" s="84">
        <f t="shared" si="4"/>
        <v>0</v>
      </c>
      <c r="W23" s="84">
        <f t="shared" si="5"/>
        <v>0</v>
      </c>
      <c r="X23" s="80" t="s">
        <v>451</v>
      </c>
      <c r="Y23" s="83">
        <f t="shared" si="6"/>
        <v>1299.7502999999999</v>
      </c>
      <c r="Z23" s="83">
        <f t="shared" si="7"/>
        <v>1877.4170999999999</v>
      </c>
      <c r="AA23" s="80" t="s">
        <v>451</v>
      </c>
      <c r="AB23" s="83" t="s">
        <v>475</v>
      </c>
      <c r="AC23" s="83" t="s">
        <v>476</v>
      </c>
      <c r="AD23" s="83" t="s">
        <v>477</v>
      </c>
      <c r="AE23" s="80" t="s">
        <v>452</v>
      </c>
    </row>
    <row r="24" spans="1:31" ht="43" x14ac:dyDescent="0.2">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474</v>
      </c>
      <c r="L24" s="48"/>
      <c r="M24" s="47" t="s">
        <v>81</v>
      </c>
      <c r="N24" s="48"/>
      <c r="O24" s="68">
        <v>2024</v>
      </c>
      <c r="P24" s="47" t="s">
        <v>77</v>
      </c>
      <c r="Q24" s="93"/>
      <c r="R24" s="93"/>
      <c r="S24" s="95"/>
      <c r="T24" s="51"/>
      <c r="U24" s="80" t="s">
        <v>471</v>
      </c>
      <c r="V24" s="84">
        <f t="shared" si="4"/>
        <v>0</v>
      </c>
      <c r="W24" s="84">
        <f t="shared" si="5"/>
        <v>0</v>
      </c>
      <c r="X24" s="80" t="s">
        <v>451</v>
      </c>
      <c r="Y24" s="83">
        <f t="shared" si="6"/>
        <v>993.10617000000013</v>
      </c>
      <c r="Z24" s="83">
        <f t="shared" si="7"/>
        <v>1434.4866900000002</v>
      </c>
      <c r="AA24" s="80" t="s">
        <v>451</v>
      </c>
      <c r="AB24" s="83" t="s">
        <v>475</v>
      </c>
      <c r="AC24" s="83" t="s">
        <v>476</v>
      </c>
      <c r="AD24" s="83" t="s">
        <v>477</v>
      </c>
      <c r="AE24" s="80" t="s">
        <v>452</v>
      </c>
    </row>
    <row r="25" spans="1:31" ht="15" x14ac:dyDescent="0.2">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9" x14ac:dyDescent="0.2">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3" t="s">
        <v>82</v>
      </c>
      <c r="R26" s="93" t="s">
        <v>83</v>
      </c>
      <c r="S26" s="94" t="s">
        <v>84</v>
      </c>
      <c r="T26" s="51"/>
      <c r="U26" s="80" t="s">
        <v>471</v>
      </c>
      <c r="V26" s="84">
        <f t="shared" si="4"/>
        <v>0</v>
      </c>
      <c r="W26" s="84">
        <f t="shared" si="5"/>
        <v>0</v>
      </c>
      <c r="X26" s="80" t="s">
        <v>451</v>
      </c>
      <c r="Y26" s="83">
        <f t="shared" si="6"/>
        <v>1652.4</v>
      </c>
      <c r="Z26" s="83">
        <f t="shared" si="7"/>
        <v>2386.8000000000002</v>
      </c>
      <c r="AA26" s="80" t="s">
        <v>451</v>
      </c>
      <c r="AB26" s="83" t="s">
        <v>475</v>
      </c>
      <c r="AC26" s="83" t="s">
        <v>476</v>
      </c>
      <c r="AD26" s="83" t="s">
        <v>477</v>
      </c>
      <c r="AE26" s="80" t="s">
        <v>452</v>
      </c>
    </row>
    <row r="27" spans="1:31" ht="29" x14ac:dyDescent="0.2">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3"/>
      <c r="R27" s="93"/>
      <c r="S27" s="95"/>
      <c r="T27" s="51"/>
      <c r="U27" s="80" t="s">
        <v>471</v>
      </c>
      <c r="V27" s="84">
        <f t="shared" si="4"/>
        <v>0</v>
      </c>
      <c r="W27" s="84">
        <f t="shared" si="5"/>
        <v>0</v>
      </c>
      <c r="X27" s="80" t="s">
        <v>451</v>
      </c>
      <c r="Y27" s="83">
        <f t="shared" si="6"/>
        <v>1299.7502999999999</v>
      </c>
      <c r="Z27" s="83">
        <f t="shared" si="7"/>
        <v>1877.4170999999999</v>
      </c>
      <c r="AA27" s="80" t="s">
        <v>451</v>
      </c>
      <c r="AB27" s="83" t="s">
        <v>475</v>
      </c>
      <c r="AC27" s="83" t="s">
        <v>476</v>
      </c>
      <c r="AD27" s="83" t="s">
        <v>477</v>
      </c>
      <c r="AE27" s="80" t="s">
        <v>452</v>
      </c>
    </row>
    <row r="28" spans="1:31" ht="43" x14ac:dyDescent="0.2">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3"/>
      <c r="R28" s="93"/>
      <c r="S28" s="95"/>
      <c r="T28" s="51"/>
      <c r="U28" s="80" t="s">
        <v>471</v>
      </c>
      <c r="V28" s="84">
        <f t="shared" si="4"/>
        <v>0</v>
      </c>
      <c r="W28" s="84">
        <f t="shared" si="5"/>
        <v>0</v>
      </c>
      <c r="X28" s="80" t="s">
        <v>451</v>
      </c>
      <c r="Y28" s="83">
        <f t="shared" si="6"/>
        <v>993.10617000000013</v>
      </c>
      <c r="Z28" s="83">
        <f t="shared" si="7"/>
        <v>1434.4866900000002</v>
      </c>
      <c r="AA28" s="80" t="s">
        <v>451</v>
      </c>
      <c r="AB28" s="83" t="s">
        <v>475</v>
      </c>
      <c r="AC28" s="83" t="s">
        <v>476</v>
      </c>
      <c r="AD28" s="83" t="s">
        <v>477</v>
      </c>
      <c r="AE28" s="80" t="s">
        <v>452</v>
      </c>
    </row>
    <row r="29" spans="1:31" ht="15" x14ac:dyDescent="0.2">
      <c r="A29" s="55">
        <v>213.3</v>
      </c>
      <c r="B29" s="40">
        <f t="shared" si="0"/>
        <v>3</v>
      </c>
      <c r="C29" s="44" t="s">
        <v>522</v>
      </c>
      <c r="D29" s="41" t="str">
        <f t="shared" si="1"/>
        <v xml:space="preserve">                  Integrated Heat Exchanger Building</v>
      </c>
      <c r="E29" s="41"/>
      <c r="F29" s="41" t="s">
        <v>351</v>
      </c>
      <c r="G29" s="41" t="s">
        <v>354</v>
      </c>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43" x14ac:dyDescent="0.2">
      <c r="A30" s="55">
        <v>213.31</v>
      </c>
      <c r="B30" s="40">
        <f t="shared" si="0"/>
        <v>4</v>
      </c>
      <c r="C30" s="44" t="s">
        <v>523</v>
      </c>
      <c r="D30" s="41" t="str">
        <f t="shared" si="1"/>
        <v xml:space="preserve">                        Integrated Heat Exchanger Building Slab Roof</v>
      </c>
      <c r="E30" s="41" t="s">
        <v>341</v>
      </c>
      <c r="F30" s="41" t="s">
        <v>351</v>
      </c>
      <c r="G30" s="41" t="s">
        <v>354</v>
      </c>
      <c r="H30" s="45"/>
      <c r="I30" s="46">
        <f>1200 *1.53</f>
        <v>1836</v>
      </c>
      <c r="J30" s="47" t="s">
        <v>79</v>
      </c>
      <c r="K30" s="49" t="s">
        <v>527</v>
      </c>
      <c r="L30" s="48"/>
      <c r="M30" s="47" t="s">
        <v>81</v>
      </c>
      <c r="N30" s="48"/>
      <c r="O30" s="68">
        <v>2024</v>
      </c>
      <c r="P30" s="47" t="s">
        <v>77</v>
      </c>
      <c r="Q30" s="93" t="s">
        <v>82</v>
      </c>
      <c r="R30" s="93" t="s">
        <v>83</v>
      </c>
      <c r="S30" s="94" t="s">
        <v>84</v>
      </c>
      <c r="T30" s="51"/>
      <c r="U30" s="80" t="s">
        <v>471</v>
      </c>
      <c r="V30" s="84">
        <f t="shared" si="4"/>
        <v>0</v>
      </c>
      <c r="W30" s="84">
        <f t="shared" ref="W30:W33" si="14">1.5*H30</f>
        <v>0</v>
      </c>
      <c r="X30" s="80" t="s">
        <v>451</v>
      </c>
      <c r="Y30" s="83">
        <f t="shared" ref="Y30:Y33" si="15">0.9*I30</f>
        <v>1652.4</v>
      </c>
      <c r="Z30" s="83">
        <f t="shared" ref="Z30:Z33" si="16">1.3*I30</f>
        <v>2386.8000000000002</v>
      </c>
      <c r="AA30" s="80" t="s">
        <v>451</v>
      </c>
      <c r="AB30" s="83" t="s">
        <v>475</v>
      </c>
      <c r="AC30" s="83" t="s">
        <v>476</v>
      </c>
      <c r="AD30" s="83" t="s">
        <v>477</v>
      </c>
      <c r="AE30" s="80" t="s">
        <v>452</v>
      </c>
    </row>
    <row r="31" spans="1:31" ht="43" x14ac:dyDescent="0.2">
      <c r="A31" s="55">
        <v>213.32</v>
      </c>
      <c r="B31" s="40">
        <f t="shared" si="0"/>
        <v>4</v>
      </c>
      <c r="C31" s="44" t="s">
        <v>524</v>
      </c>
      <c r="D31" s="41" t="str">
        <f t="shared" si="1"/>
        <v xml:space="preserve">                        Integrated Heat Exchanger Building Basement</v>
      </c>
      <c r="E31" s="41" t="s">
        <v>341</v>
      </c>
      <c r="F31" s="41" t="s">
        <v>351</v>
      </c>
      <c r="G31" s="41" t="s">
        <v>354</v>
      </c>
      <c r="H31" s="45"/>
      <c r="I31" s="46">
        <f>943.9*1.53</f>
        <v>1444.1669999999999</v>
      </c>
      <c r="J31" s="47" t="s">
        <v>79</v>
      </c>
      <c r="K31" s="49" t="s">
        <v>528</v>
      </c>
      <c r="L31" s="48"/>
      <c r="M31" s="47" t="s">
        <v>81</v>
      </c>
      <c r="N31" s="48"/>
      <c r="O31" s="68">
        <v>2024</v>
      </c>
      <c r="P31" s="47" t="s">
        <v>77</v>
      </c>
      <c r="Q31" s="93"/>
      <c r="R31" s="93"/>
      <c r="S31" s="95"/>
      <c r="T31" s="51"/>
      <c r="U31" s="80" t="s">
        <v>471</v>
      </c>
      <c r="V31" s="84">
        <f t="shared" si="4"/>
        <v>0</v>
      </c>
      <c r="W31" s="84">
        <f t="shared" si="14"/>
        <v>0</v>
      </c>
      <c r="X31" s="80" t="s">
        <v>451</v>
      </c>
      <c r="Y31" s="83">
        <f t="shared" si="15"/>
        <v>1299.7502999999999</v>
      </c>
      <c r="Z31" s="83">
        <f t="shared" si="16"/>
        <v>1877.4170999999999</v>
      </c>
      <c r="AA31" s="80" t="s">
        <v>451</v>
      </c>
      <c r="AB31" s="83" t="s">
        <v>475</v>
      </c>
      <c r="AC31" s="83" t="s">
        <v>476</v>
      </c>
      <c r="AD31" s="83" t="s">
        <v>477</v>
      </c>
      <c r="AE31" s="80" t="s">
        <v>452</v>
      </c>
    </row>
    <row r="32" spans="1:31" ht="57" x14ac:dyDescent="0.2">
      <c r="A32" s="55">
        <v>213.33</v>
      </c>
      <c r="B32" s="40">
        <f t="shared" si="0"/>
        <v>4</v>
      </c>
      <c r="C32" s="44" t="s">
        <v>525</v>
      </c>
      <c r="D32" s="41" t="str">
        <f t="shared" si="1"/>
        <v xml:space="preserve">                        Integrated Heat Exchanger Building Walls</v>
      </c>
      <c r="E32" s="41" t="s">
        <v>341</v>
      </c>
      <c r="F32" s="41" t="s">
        <v>351</v>
      </c>
      <c r="G32" s="41" t="s">
        <v>354</v>
      </c>
      <c r="H32" s="45"/>
      <c r="I32" s="46">
        <f>721.21*1.53</f>
        <v>1103.4513000000002</v>
      </c>
      <c r="J32" s="47" t="s">
        <v>79</v>
      </c>
      <c r="K32" s="49" t="s">
        <v>529</v>
      </c>
      <c r="L32" s="48"/>
      <c r="M32" s="47" t="s">
        <v>81</v>
      </c>
      <c r="N32" s="48"/>
      <c r="O32" s="68">
        <v>2024</v>
      </c>
      <c r="P32" s="47" t="s">
        <v>77</v>
      </c>
      <c r="Q32" s="93"/>
      <c r="R32" s="93"/>
      <c r="S32" s="95"/>
      <c r="T32" s="51"/>
      <c r="U32" s="80" t="s">
        <v>471</v>
      </c>
      <c r="V32" s="84">
        <f t="shared" si="4"/>
        <v>0</v>
      </c>
      <c r="W32" s="84">
        <f t="shared" si="14"/>
        <v>0</v>
      </c>
      <c r="X32" s="80" t="s">
        <v>451</v>
      </c>
      <c r="Y32" s="83">
        <f t="shared" si="15"/>
        <v>993.10617000000013</v>
      </c>
      <c r="Z32" s="83">
        <f t="shared" si="16"/>
        <v>1434.4866900000002</v>
      </c>
      <c r="AA32" s="80" t="s">
        <v>451</v>
      </c>
      <c r="AB32" s="83" t="s">
        <v>475</v>
      </c>
      <c r="AC32" s="83" t="s">
        <v>476</v>
      </c>
      <c r="AD32" s="83" t="s">
        <v>477</v>
      </c>
      <c r="AE32" s="80" t="s">
        <v>452</v>
      </c>
    </row>
    <row r="33" spans="1:31" ht="57" x14ac:dyDescent="0.2">
      <c r="A33" s="55">
        <v>213.34</v>
      </c>
      <c r="B33" s="40">
        <f t="shared" si="0"/>
        <v>4</v>
      </c>
      <c r="C33" s="44" t="s">
        <v>526</v>
      </c>
      <c r="D33" s="41" t="str">
        <f t="shared" si="1"/>
        <v xml:space="preserve">                        Integrated Heat Exchanger Building Liner</v>
      </c>
      <c r="E33" s="41" t="s">
        <v>341</v>
      </c>
      <c r="F33" s="41" t="s">
        <v>351</v>
      </c>
      <c r="G33" s="41" t="s">
        <v>354</v>
      </c>
      <c r="H33" s="45"/>
      <c r="I33" s="46">
        <f>60848829/9373</f>
        <v>6491.9267043635973</v>
      </c>
      <c r="J33" s="47" t="s">
        <v>519</v>
      </c>
      <c r="K33" s="49" t="s">
        <v>530</v>
      </c>
      <c r="L33" s="48">
        <v>9373</v>
      </c>
      <c r="M33" s="47" t="s">
        <v>518</v>
      </c>
      <c r="N33" s="48">
        <v>1</v>
      </c>
      <c r="O33" s="68">
        <v>2018</v>
      </c>
      <c r="P33" s="47" t="s">
        <v>77</v>
      </c>
      <c r="Q33" s="49" t="s">
        <v>516</v>
      </c>
      <c r="R33" s="49" t="s">
        <v>516</v>
      </c>
      <c r="S33" s="88" t="s">
        <v>517</v>
      </c>
      <c r="T33" s="51"/>
      <c r="U33" s="80" t="s">
        <v>471</v>
      </c>
      <c r="V33" s="84">
        <f t="shared" si="4"/>
        <v>0</v>
      </c>
      <c r="W33" s="84">
        <f t="shared" si="14"/>
        <v>0</v>
      </c>
      <c r="X33" s="80" t="s">
        <v>451</v>
      </c>
      <c r="Y33" s="83">
        <f t="shared" si="15"/>
        <v>5842.7340339272378</v>
      </c>
      <c r="Z33" s="83">
        <f t="shared" si="16"/>
        <v>8439.504715672676</v>
      </c>
      <c r="AA33" s="80" t="s">
        <v>451</v>
      </c>
      <c r="AB33" s="83" t="s">
        <v>475</v>
      </c>
      <c r="AC33" s="83" t="s">
        <v>476</v>
      </c>
      <c r="AD33" s="83" t="s">
        <v>477</v>
      </c>
      <c r="AE33" s="80" t="s">
        <v>452</v>
      </c>
    </row>
    <row r="34" spans="1:31" ht="15" x14ac:dyDescent="0.2">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ht="15" x14ac:dyDescent="0.2">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ht="15" x14ac:dyDescent="0.2">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8" x14ac:dyDescent="0.1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3" t="s">
        <v>82</v>
      </c>
      <c r="R37" s="93" t="s">
        <v>83</v>
      </c>
      <c r="S37" s="94" t="s">
        <v>84</v>
      </c>
      <c r="T37" s="51"/>
      <c r="U37" s="80" t="s">
        <v>471</v>
      </c>
      <c r="V37" s="84">
        <f t="shared" si="4"/>
        <v>0</v>
      </c>
      <c r="W37" s="84">
        <f t="shared" si="5"/>
        <v>0</v>
      </c>
      <c r="X37" s="80" t="s">
        <v>470</v>
      </c>
      <c r="Y37" s="83">
        <f t="shared" si="6"/>
        <v>1652.4</v>
      </c>
      <c r="Z37" s="83">
        <f t="shared" si="7"/>
        <v>2386.8000000000002</v>
      </c>
      <c r="AA37" s="80" t="s">
        <v>470</v>
      </c>
      <c r="AB37" s="83" t="s">
        <v>470</v>
      </c>
      <c r="AC37" s="83" t="s">
        <v>470</v>
      </c>
      <c r="AD37" s="83" t="s">
        <v>470</v>
      </c>
      <c r="AE37" s="80" t="s">
        <v>470</v>
      </c>
    </row>
    <row r="38" spans="1:31" s="35" customFormat="1" ht="28" x14ac:dyDescent="0.1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3"/>
      <c r="R38" s="93"/>
      <c r="S38" s="95"/>
      <c r="T38" s="51"/>
      <c r="U38" s="80" t="s">
        <v>471</v>
      </c>
      <c r="V38" s="84">
        <f t="shared" si="4"/>
        <v>0</v>
      </c>
      <c r="W38" s="84">
        <f t="shared" si="5"/>
        <v>0</v>
      </c>
      <c r="X38" s="80" t="s">
        <v>451</v>
      </c>
      <c r="Y38" s="83">
        <f t="shared" si="6"/>
        <v>1299.7502999999999</v>
      </c>
      <c r="Z38" s="83">
        <f t="shared" si="7"/>
        <v>1877.4170999999999</v>
      </c>
      <c r="AA38" s="80" t="s">
        <v>451</v>
      </c>
      <c r="AB38" s="83" t="s">
        <v>475</v>
      </c>
      <c r="AC38" s="83" t="s">
        <v>476</v>
      </c>
      <c r="AD38" s="83" t="s">
        <v>477</v>
      </c>
      <c r="AE38" s="80" t="s">
        <v>452</v>
      </c>
    </row>
    <row r="39" spans="1:31" s="35" customFormat="1" ht="42" x14ac:dyDescent="0.1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3"/>
      <c r="R39" s="93"/>
      <c r="S39" s="95"/>
      <c r="T39" s="51"/>
      <c r="U39" s="80" t="s">
        <v>471</v>
      </c>
      <c r="V39" s="84">
        <f t="shared" si="4"/>
        <v>0</v>
      </c>
      <c r="W39" s="84">
        <f t="shared" si="5"/>
        <v>0</v>
      </c>
      <c r="X39" s="80" t="s">
        <v>451</v>
      </c>
      <c r="Y39" s="83">
        <f t="shared" si="6"/>
        <v>993.10617000000013</v>
      </c>
      <c r="Z39" s="83">
        <f t="shared" si="7"/>
        <v>1434.4866900000002</v>
      </c>
      <c r="AA39" s="80" t="s">
        <v>451</v>
      </c>
      <c r="AB39" s="83" t="s">
        <v>475</v>
      </c>
      <c r="AC39" s="83" t="s">
        <v>476</v>
      </c>
      <c r="AD39" s="83" t="s">
        <v>477</v>
      </c>
      <c r="AE39" s="80" t="s">
        <v>452</v>
      </c>
    </row>
    <row r="40" spans="1:31" ht="15" x14ac:dyDescent="0.2">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28" x14ac:dyDescent="0.1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3" t="s">
        <v>82</v>
      </c>
      <c r="R41" s="93" t="s">
        <v>83</v>
      </c>
      <c r="S41" s="94" t="s">
        <v>84</v>
      </c>
      <c r="T41" s="51"/>
      <c r="U41" s="80" t="s">
        <v>471</v>
      </c>
      <c r="V41" s="84">
        <f t="shared" si="4"/>
        <v>0</v>
      </c>
      <c r="W41" s="84">
        <f t="shared" si="5"/>
        <v>0</v>
      </c>
      <c r="X41" s="80" t="s">
        <v>451</v>
      </c>
      <c r="Y41" s="83">
        <f t="shared" si="6"/>
        <v>1652.4</v>
      </c>
      <c r="Z41" s="83">
        <f t="shared" si="7"/>
        <v>2386.8000000000002</v>
      </c>
      <c r="AA41" s="80" t="s">
        <v>451</v>
      </c>
      <c r="AB41" s="83" t="s">
        <v>475</v>
      </c>
      <c r="AC41" s="83" t="s">
        <v>476</v>
      </c>
      <c r="AD41" s="83" t="s">
        <v>477</v>
      </c>
      <c r="AE41" s="80" t="s">
        <v>452</v>
      </c>
    </row>
    <row r="42" spans="1:31" s="35" customFormat="1" ht="28" x14ac:dyDescent="0.1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3"/>
      <c r="R42" s="93"/>
      <c r="S42" s="95"/>
      <c r="T42" s="51"/>
      <c r="U42" s="80" t="s">
        <v>471</v>
      </c>
      <c r="V42" s="84">
        <f t="shared" si="4"/>
        <v>0</v>
      </c>
      <c r="W42" s="84">
        <f t="shared" si="5"/>
        <v>0</v>
      </c>
      <c r="X42" s="80" t="s">
        <v>451</v>
      </c>
      <c r="Y42" s="83">
        <f t="shared" si="6"/>
        <v>1299.7502999999999</v>
      </c>
      <c r="Z42" s="83">
        <f t="shared" si="7"/>
        <v>1877.4170999999999</v>
      </c>
      <c r="AA42" s="80" t="s">
        <v>451</v>
      </c>
      <c r="AB42" s="83" t="s">
        <v>475</v>
      </c>
      <c r="AC42" s="83" t="s">
        <v>476</v>
      </c>
      <c r="AD42" s="83" t="s">
        <v>477</v>
      </c>
      <c r="AE42" s="80" t="s">
        <v>452</v>
      </c>
    </row>
    <row r="43" spans="1:31" s="35" customFormat="1" ht="42" x14ac:dyDescent="0.1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3"/>
      <c r="R43" s="93"/>
      <c r="S43" s="95"/>
      <c r="T43" s="51"/>
      <c r="U43" s="80" t="s">
        <v>471</v>
      </c>
      <c r="V43" s="84">
        <f t="shared" si="4"/>
        <v>0</v>
      </c>
      <c r="W43" s="84">
        <f t="shared" si="5"/>
        <v>0</v>
      </c>
      <c r="X43" s="80" t="s">
        <v>451</v>
      </c>
      <c r="Y43" s="83">
        <f t="shared" si="6"/>
        <v>993.10617000000013</v>
      </c>
      <c r="Z43" s="83">
        <f t="shared" si="7"/>
        <v>1434.4866900000002</v>
      </c>
      <c r="AA43" s="80" t="s">
        <v>451</v>
      </c>
      <c r="AB43" s="83" t="s">
        <v>475</v>
      </c>
      <c r="AC43" s="83" t="s">
        <v>476</v>
      </c>
      <c r="AD43" s="83" t="s">
        <v>477</v>
      </c>
      <c r="AE43" s="80" t="s">
        <v>452</v>
      </c>
    </row>
    <row r="44" spans="1:31" ht="29" x14ac:dyDescent="0.2">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ht="15" x14ac:dyDescent="0.2">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28" x14ac:dyDescent="0.1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3" t="s">
        <v>82</v>
      </c>
      <c r="R46" s="93" t="s">
        <v>83</v>
      </c>
      <c r="S46" s="94" t="s">
        <v>84</v>
      </c>
      <c r="T46" s="51"/>
      <c r="U46" s="80" t="s">
        <v>471</v>
      </c>
      <c r="V46" s="84">
        <f t="shared" si="4"/>
        <v>0</v>
      </c>
      <c r="W46" s="84">
        <f t="shared" si="5"/>
        <v>0</v>
      </c>
      <c r="X46" s="80" t="s">
        <v>451</v>
      </c>
      <c r="Y46" s="83">
        <f t="shared" si="6"/>
        <v>1652.4</v>
      </c>
      <c r="Z46" s="83">
        <f t="shared" si="7"/>
        <v>2386.8000000000002</v>
      </c>
      <c r="AA46" s="80" t="s">
        <v>451</v>
      </c>
      <c r="AB46" s="83" t="s">
        <v>475</v>
      </c>
      <c r="AC46" s="83" t="s">
        <v>476</v>
      </c>
      <c r="AD46" s="83" t="s">
        <v>477</v>
      </c>
      <c r="AE46" s="80" t="s">
        <v>452</v>
      </c>
    </row>
    <row r="47" spans="1:31" s="35" customFormat="1" ht="28" x14ac:dyDescent="0.1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3"/>
      <c r="R47" s="93"/>
      <c r="S47" s="95"/>
      <c r="T47" s="51"/>
      <c r="U47" s="80" t="s">
        <v>471</v>
      </c>
      <c r="V47" s="84">
        <f t="shared" si="4"/>
        <v>0</v>
      </c>
      <c r="W47" s="84">
        <f t="shared" si="5"/>
        <v>0</v>
      </c>
      <c r="X47" s="80" t="s">
        <v>451</v>
      </c>
      <c r="Y47" s="83">
        <f t="shared" si="6"/>
        <v>1299.7502999999999</v>
      </c>
      <c r="Z47" s="83">
        <f t="shared" si="7"/>
        <v>1877.4170999999999</v>
      </c>
      <c r="AA47" s="80" t="s">
        <v>451</v>
      </c>
      <c r="AB47" s="83" t="s">
        <v>475</v>
      </c>
      <c r="AC47" s="83" t="s">
        <v>476</v>
      </c>
      <c r="AD47" s="83" t="s">
        <v>477</v>
      </c>
      <c r="AE47" s="80" t="s">
        <v>452</v>
      </c>
    </row>
    <row r="48" spans="1:31" s="35" customFormat="1" ht="42" x14ac:dyDescent="0.1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3"/>
      <c r="R48" s="93"/>
      <c r="S48" s="95"/>
      <c r="T48" s="51"/>
      <c r="U48" s="80" t="s">
        <v>471</v>
      </c>
      <c r="V48" s="84">
        <f t="shared" si="4"/>
        <v>0</v>
      </c>
      <c r="W48" s="84">
        <f t="shared" si="5"/>
        <v>0</v>
      </c>
      <c r="X48" s="80" t="s">
        <v>451</v>
      </c>
      <c r="Y48" s="83">
        <f t="shared" si="6"/>
        <v>993.10617000000013</v>
      </c>
      <c r="Z48" s="83">
        <f t="shared" si="7"/>
        <v>1434.4866900000002</v>
      </c>
      <c r="AA48" s="80" t="s">
        <v>451</v>
      </c>
      <c r="AB48" s="83" t="s">
        <v>475</v>
      </c>
      <c r="AC48" s="83" t="s">
        <v>476</v>
      </c>
      <c r="AD48" s="83" t="s">
        <v>477</v>
      </c>
      <c r="AE48" s="80" t="s">
        <v>452</v>
      </c>
    </row>
    <row r="49" spans="1:31" ht="104" customHeight="1" x14ac:dyDescent="0.2">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467</v>
      </c>
      <c r="V49" s="84">
        <f t="shared" si="4"/>
        <v>0</v>
      </c>
      <c r="W49" s="84">
        <f t="shared" si="5"/>
        <v>0</v>
      </c>
      <c r="X49" s="80" t="s">
        <v>451</v>
      </c>
      <c r="Y49" s="83">
        <f t="shared" si="6"/>
        <v>2445580.4096385543</v>
      </c>
      <c r="Z49" s="83">
        <f t="shared" si="7"/>
        <v>3532505.0361445784</v>
      </c>
      <c r="AA49" s="80" t="s">
        <v>451</v>
      </c>
      <c r="AB49" s="83" t="s">
        <v>475</v>
      </c>
      <c r="AC49" s="83" t="s">
        <v>476</v>
      </c>
      <c r="AD49" s="83" t="s">
        <v>477</v>
      </c>
      <c r="AE49" s="80" t="s">
        <v>452</v>
      </c>
    </row>
    <row r="50" spans="1:31" ht="12.75" customHeight="1" x14ac:dyDescent="0.2">
      <c r="A50" s="55">
        <v>214.8</v>
      </c>
      <c r="B50" s="40">
        <f t="shared" si="0"/>
        <v>3</v>
      </c>
      <c r="C50" s="58" t="s">
        <v>483</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ht="15" x14ac:dyDescent="0.2">
      <c r="A51" s="55">
        <v>214.81</v>
      </c>
      <c r="B51" s="40">
        <f t="shared" si="0"/>
        <v>4</v>
      </c>
      <c r="C51" s="58" t="s">
        <v>484</v>
      </c>
      <c r="D51" s="41" t="str">
        <f t="shared" si="1"/>
        <v xml:space="preserve">                        Maniplator Building</v>
      </c>
      <c r="E51" s="41"/>
      <c r="F51" s="41"/>
      <c r="G51" s="47"/>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43" x14ac:dyDescent="0.2">
      <c r="A52" s="55">
        <v>214.81100000000001</v>
      </c>
      <c r="B52" s="40">
        <f t="shared" si="0"/>
        <v>5</v>
      </c>
      <c r="C52" s="58" t="s">
        <v>485</v>
      </c>
      <c r="D52" s="41" t="str">
        <f t="shared" si="1"/>
        <v xml:space="preserve">                              Manipulator Building Slab Roof</v>
      </c>
      <c r="E52" s="41"/>
      <c r="F52" s="41"/>
      <c r="G52" s="47"/>
      <c r="H52" s="45"/>
      <c r="I52" s="46">
        <f>1200 *1.53</f>
        <v>1836</v>
      </c>
      <c r="J52" s="47" t="s">
        <v>79</v>
      </c>
      <c r="K52" s="58" t="s">
        <v>488</v>
      </c>
      <c r="L52" s="47"/>
      <c r="M52" s="47" t="s">
        <v>81</v>
      </c>
      <c r="N52" s="48"/>
      <c r="O52" s="68">
        <v>2024</v>
      </c>
      <c r="P52" s="48" t="s">
        <v>77</v>
      </c>
      <c r="Q52" s="103" t="s">
        <v>82</v>
      </c>
      <c r="R52" s="103" t="s">
        <v>83</v>
      </c>
      <c r="S52" s="97" t="s">
        <v>84</v>
      </c>
      <c r="T52" s="89" t="s">
        <v>504</v>
      </c>
      <c r="U52" s="80" t="s">
        <v>471</v>
      </c>
      <c r="V52" s="84">
        <f t="shared" si="4"/>
        <v>0</v>
      </c>
      <c r="W52" s="84">
        <f t="shared" ref="W52:W54" si="17">1.5*H52</f>
        <v>0</v>
      </c>
      <c r="X52" s="80" t="s">
        <v>451</v>
      </c>
      <c r="Y52" s="83">
        <f t="shared" ref="Y52:Y54" si="18">0.9*I52</f>
        <v>1652.4</v>
      </c>
      <c r="Z52" s="83">
        <f t="shared" ref="Z52:Z54" si="19">1.3*I52</f>
        <v>2386.8000000000002</v>
      </c>
      <c r="AA52" s="80" t="s">
        <v>451</v>
      </c>
      <c r="AB52" s="83" t="s">
        <v>475</v>
      </c>
      <c r="AC52" s="83" t="s">
        <v>476</v>
      </c>
      <c r="AD52" s="83" t="s">
        <v>477</v>
      </c>
      <c r="AE52" s="80" t="s">
        <v>452</v>
      </c>
    </row>
    <row r="53" spans="1:31" ht="43" x14ac:dyDescent="0.2">
      <c r="A53" s="55">
        <v>214.81200000000001</v>
      </c>
      <c r="B53" s="40">
        <f t="shared" si="0"/>
        <v>5</v>
      </c>
      <c r="C53" s="58" t="s">
        <v>486</v>
      </c>
      <c r="D53" s="41" t="str">
        <f t="shared" si="1"/>
        <v xml:space="preserve">                              ManipulatorBuilding Basement</v>
      </c>
      <c r="E53" s="41"/>
      <c r="F53" s="41"/>
      <c r="G53" s="47"/>
      <c r="H53" s="45"/>
      <c r="I53" s="46">
        <f>943.9*1.53</f>
        <v>1444.1669999999999</v>
      </c>
      <c r="J53" s="47" t="s">
        <v>79</v>
      </c>
      <c r="K53" s="58" t="s">
        <v>489</v>
      </c>
      <c r="L53" s="47"/>
      <c r="M53" s="47" t="s">
        <v>81</v>
      </c>
      <c r="N53" s="48"/>
      <c r="O53" s="68">
        <v>2024</v>
      </c>
      <c r="P53" s="48" t="s">
        <v>77</v>
      </c>
      <c r="Q53" s="104"/>
      <c r="R53" s="104"/>
      <c r="S53" s="98"/>
      <c r="T53" s="90"/>
      <c r="U53" s="80" t="s">
        <v>471</v>
      </c>
      <c r="V53" s="84">
        <f t="shared" si="4"/>
        <v>0</v>
      </c>
      <c r="W53" s="84">
        <f t="shared" si="17"/>
        <v>0</v>
      </c>
      <c r="X53" s="80" t="s">
        <v>451</v>
      </c>
      <c r="Y53" s="83">
        <f t="shared" si="18"/>
        <v>1299.7502999999999</v>
      </c>
      <c r="Z53" s="83">
        <f t="shared" si="19"/>
        <v>1877.4170999999999</v>
      </c>
      <c r="AA53" s="80" t="s">
        <v>451</v>
      </c>
      <c r="AB53" s="83" t="s">
        <v>475</v>
      </c>
      <c r="AC53" s="83" t="s">
        <v>476</v>
      </c>
      <c r="AD53" s="83" t="s">
        <v>477</v>
      </c>
      <c r="AE53" s="80" t="s">
        <v>452</v>
      </c>
    </row>
    <row r="54" spans="1:31" ht="43" x14ac:dyDescent="0.2">
      <c r="A54" s="55">
        <v>214.81299999999999</v>
      </c>
      <c r="B54" s="40">
        <f t="shared" si="0"/>
        <v>5</v>
      </c>
      <c r="C54" s="58" t="s">
        <v>487</v>
      </c>
      <c r="D54" s="41" t="str">
        <f t="shared" si="1"/>
        <v xml:space="preserve">                              Manipulator Building Exterior Walls</v>
      </c>
      <c r="E54" s="41"/>
      <c r="F54" s="41"/>
      <c r="G54" s="47"/>
      <c r="H54" s="45"/>
      <c r="I54" s="46">
        <f>721.21*1.53</f>
        <v>1103.4513000000002</v>
      </c>
      <c r="J54" s="47" t="s">
        <v>79</v>
      </c>
      <c r="K54" s="58" t="s">
        <v>490</v>
      </c>
      <c r="L54" s="47"/>
      <c r="M54" s="47" t="s">
        <v>81</v>
      </c>
      <c r="N54" s="48"/>
      <c r="O54" s="68">
        <v>2024</v>
      </c>
      <c r="P54" s="47" t="s">
        <v>77</v>
      </c>
      <c r="Q54" s="105"/>
      <c r="R54" s="105"/>
      <c r="S54" s="99"/>
      <c r="T54" s="91"/>
      <c r="U54" s="80" t="s">
        <v>471</v>
      </c>
      <c r="V54" s="84">
        <f t="shared" si="4"/>
        <v>0</v>
      </c>
      <c r="W54" s="84">
        <f t="shared" si="17"/>
        <v>0</v>
      </c>
      <c r="X54" s="80" t="s">
        <v>451</v>
      </c>
      <c r="Y54" s="83">
        <f t="shared" si="18"/>
        <v>993.10617000000013</v>
      </c>
      <c r="Z54" s="83">
        <f t="shared" si="19"/>
        <v>1434.4866900000002</v>
      </c>
      <c r="AA54" s="80" t="s">
        <v>451</v>
      </c>
      <c r="AB54" s="83" t="s">
        <v>475</v>
      </c>
      <c r="AC54" s="83" t="s">
        <v>476</v>
      </c>
      <c r="AD54" s="83" t="s">
        <v>477</v>
      </c>
      <c r="AE54" s="80" t="s">
        <v>452</v>
      </c>
    </row>
    <row r="55" spans="1:31" ht="15" x14ac:dyDescent="0.2">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ht="15" x14ac:dyDescent="0.2">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9" x14ac:dyDescent="0.2">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3" t="s">
        <v>82</v>
      </c>
      <c r="R57" s="93" t="s">
        <v>83</v>
      </c>
      <c r="S57" s="94" t="s">
        <v>84</v>
      </c>
      <c r="T57" s="51"/>
      <c r="U57" s="80" t="s">
        <v>471</v>
      </c>
      <c r="V57" s="84">
        <f t="shared" si="4"/>
        <v>0</v>
      </c>
      <c r="W57" s="84">
        <f t="shared" si="5"/>
        <v>0</v>
      </c>
      <c r="X57" s="80" t="s">
        <v>451</v>
      </c>
      <c r="Y57" s="83">
        <f t="shared" si="6"/>
        <v>1652.4</v>
      </c>
      <c r="Z57" s="83">
        <f t="shared" si="7"/>
        <v>2386.8000000000002</v>
      </c>
      <c r="AA57" s="80" t="s">
        <v>451</v>
      </c>
      <c r="AB57" s="83" t="s">
        <v>475</v>
      </c>
      <c r="AC57" s="83" t="s">
        <v>476</v>
      </c>
      <c r="AD57" s="83" t="s">
        <v>477</v>
      </c>
      <c r="AE57" s="80" t="s">
        <v>452</v>
      </c>
    </row>
    <row r="58" spans="1:31" ht="29" x14ac:dyDescent="0.2">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3"/>
      <c r="R58" s="93"/>
      <c r="S58" s="95"/>
      <c r="T58" s="51"/>
      <c r="U58" s="80" t="s">
        <v>471</v>
      </c>
      <c r="V58" s="84">
        <f t="shared" si="4"/>
        <v>0</v>
      </c>
      <c r="W58" s="84">
        <f t="shared" si="5"/>
        <v>0</v>
      </c>
      <c r="X58" s="80" t="s">
        <v>451</v>
      </c>
      <c r="Y58" s="83">
        <f t="shared" si="6"/>
        <v>1299.7502999999999</v>
      </c>
      <c r="Z58" s="83">
        <f t="shared" si="7"/>
        <v>1877.4170999999999</v>
      </c>
      <c r="AA58" s="80" t="s">
        <v>451</v>
      </c>
      <c r="AB58" s="83" t="s">
        <v>475</v>
      </c>
      <c r="AC58" s="83" t="s">
        <v>476</v>
      </c>
      <c r="AD58" s="83" t="s">
        <v>477</v>
      </c>
      <c r="AE58" s="80" t="s">
        <v>452</v>
      </c>
    </row>
    <row r="59" spans="1:31" ht="43" x14ac:dyDescent="0.2">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3"/>
      <c r="R59" s="93"/>
      <c r="S59" s="95"/>
      <c r="T59" s="51"/>
      <c r="U59" s="80" t="s">
        <v>471</v>
      </c>
      <c r="V59" s="84">
        <f t="shared" si="4"/>
        <v>0</v>
      </c>
      <c r="W59" s="84">
        <f t="shared" si="5"/>
        <v>0</v>
      </c>
      <c r="X59" s="80" t="s">
        <v>451</v>
      </c>
      <c r="Y59" s="83">
        <f t="shared" si="6"/>
        <v>993.10617000000013</v>
      </c>
      <c r="Z59" s="83">
        <f t="shared" si="7"/>
        <v>1434.4866900000002</v>
      </c>
      <c r="AA59" s="80" t="s">
        <v>451</v>
      </c>
      <c r="AB59" s="83" t="s">
        <v>475</v>
      </c>
      <c r="AC59" s="83" t="s">
        <v>476</v>
      </c>
      <c r="AD59" s="83" t="s">
        <v>477</v>
      </c>
      <c r="AE59" s="80" t="s">
        <v>452</v>
      </c>
    </row>
    <row r="60" spans="1:31" ht="15" x14ac:dyDescent="0.2">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9" x14ac:dyDescent="0.2">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3" t="s">
        <v>82</v>
      </c>
      <c r="R61" s="93" t="s">
        <v>83</v>
      </c>
      <c r="S61" s="94" t="s">
        <v>84</v>
      </c>
      <c r="T61" s="51"/>
      <c r="U61" s="80" t="s">
        <v>471</v>
      </c>
      <c r="V61" s="84">
        <f t="shared" si="4"/>
        <v>0</v>
      </c>
      <c r="W61" s="84">
        <f t="shared" si="5"/>
        <v>0</v>
      </c>
      <c r="X61" s="80" t="s">
        <v>451</v>
      </c>
      <c r="Y61" s="83">
        <f t="shared" si="6"/>
        <v>1652.4</v>
      </c>
      <c r="Z61" s="83">
        <f t="shared" si="7"/>
        <v>2386.8000000000002</v>
      </c>
      <c r="AA61" s="80" t="s">
        <v>451</v>
      </c>
      <c r="AB61" s="83" t="s">
        <v>475</v>
      </c>
      <c r="AC61" s="83" t="s">
        <v>476</v>
      </c>
      <c r="AD61" s="83" t="s">
        <v>477</v>
      </c>
      <c r="AE61" s="80" t="s">
        <v>452</v>
      </c>
    </row>
    <row r="62" spans="1:31" ht="29" x14ac:dyDescent="0.2">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3"/>
      <c r="R62" s="93"/>
      <c r="S62" s="95"/>
      <c r="T62" s="51"/>
      <c r="U62" s="80" t="s">
        <v>471</v>
      </c>
      <c r="V62" s="84">
        <f t="shared" si="4"/>
        <v>0</v>
      </c>
      <c r="W62" s="84">
        <f t="shared" si="5"/>
        <v>0</v>
      </c>
      <c r="X62" s="80" t="s">
        <v>451</v>
      </c>
      <c r="Y62" s="83">
        <f t="shared" si="6"/>
        <v>1299.7502999999999</v>
      </c>
      <c r="Z62" s="83">
        <f t="shared" si="7"/>
        <v>1877.4170999999999</v>
      </c>
      <c r="AA62" s="80" t="s">
        <v>451</v>
      </c>
      <c r="AB62" s="83" t="s">
        <v>475</v>
      </c>
      <c r="AC62" s="83" t="s">
        <v>476</v>
      </c>
      <c r="AD62" s="83" t="s">
        <v>477</v>
      </c>
      <c r="AE62" s="80" t="s">
        <v>452</v>
      </c>
    </row>
    <row r="63" spans="1:31" ht="43" x14ac:dyDescent="0.2">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3"/>
      <c r="R63" s="93"/>
      <c r="S63" s="95"/>
      <c r="T63" s="51"/>
      <c r="U63" s="80" t="s">
        <v>471</v>
      </c>
      <c r="V63" s="84">
        <f t="shared" si="4"/>
        <v>0</v>
      </c>
      <c r="W63" s="84">
        <f t="shared" si="5"/>
        <v>0</v>
      </c>
      <c r="X63" s="80" t="s">
        <v>451</v>
      </c>
      <c r="Y63" s="83">
        <f t="shared" si="6"/>
        <v>993.10617000000013</v>
      </c>
      <c r="Z63" s="83">
        <f t="shared" si="7"/>
        <v>1434.4866900000002</v>
      </c>
      <c r="AA63" s="80" t="s">
        <v>451</v>
      </c>
      <c r="AB63" s="83" t="s">
        <v>475</v>
      </c>
      <c r="AC63" s="83" t="s">
        <v>476</v>
      </c>
      <c r="AD63" s="83" t="s">
        <v>477</v>
      </c>
      <c r="AE63" s="80" t="s">
        <v>452</v>
      </c>
    </row>
    <row r="64" spans="1:31" ht="15" x14ac:dyDescent="0.2">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ht="15" x14ac:dyDescent="0.2">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x14ac:dyDescent="0.2">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x14ac:dyDescent="0.2">
      <c r="A67" s="55">
        <v>221.11</v>
      </c>
      <c r="B67" s="40">
        <f t="shared" si="0"/>
        <v>4</v>
      </c>
      <c r="C67" s="58" t="s">
        <v>128</v>
      </c>
      <c r="D67" s="41" t="str">
        <f t="shared" si="1"/>
        <v xml:space="preserve">                        Reactor Support</v>
      </c>
      <c r="E67" s="41" t="s">
        <v>341</v>
      </c>
      <c r="F67" s="41"/>
      <c r="G67" s="41"/>
      <c r="H67" s="45"/>
      <c r="I67" s="63">
        <f>3171011/L67</f>
        <v>8.1938268733850137</v>
      </c>
      <c r="J67" s="51" t="s">
        <v>174</v>
      </c>
      <c r="K67" s="61" t="s">
        <v>329</v>
      </c>
      <c r="L67" s="51">
        <v>387000</v>
      </c>
      <c r="M67" s="51" t="s">
        <v>173</v>
      </c>
      <c r="N67" s="51">
        <v>0.85</v>
      </c>
      <c r="O67" s="68">
        <v>2018</v>
      </c>
      <c r="P67" s="51" t="s">
        <v>77</v>
      </c>
      <c r="Q67" s="61" t="s">
        <v>398</v>
      </c>
      <c r="R67" s="61"/>
      <c r="S67" s="58"/>
      <c r="T67" s="61" t="s">
        <v>178</v>
      </c>
      <c r="U67" s="80" t="s">
        <v>472</v>
      </c>
      <c r="V67" s="84">
        <f t="shared" si="4"/>
        <v>0</v>
      </c>
      <c r="W67" s="84">
        <f t="shared" si="5"/>
        <v>0</v>
      </c>
      <c r="X67" s="80" t="s">
        <v>451</v>
      </c>
      <c r="Y67" s="83">
        <f t="shared" si="6"/>
        <v>7.3744441860465129</v>
      </c>
      <c r="Z67" s="83">
        <f t="shared" si="7"/>
        <v>10.651974935400519</v>
      </c>
      <c r="AA67" s="80" t="s">
        <v>451</v>
      </c>
      <c r="AB67" s="83" t="s">
        <v>475</v>
      </c>
      <c r="AC67" s="83" t="s">
        <v>476</v>
      </c>
      <c r="AD67" s="83" t="s">
        <v>477</v>
      </c>
      <c r="AE67" s="80" t="s">
        <v>452</v>
      </c>
    </row>
    <row r="68" spans="1:31" ht="30" customHeight="1" x14ac:dyDescent="0.2">
      <c r="A68" s="55">
        <v>221.12</v>
      </c>
      <c r="B68" s="40">
        <f t="shared" si="0"/>
        <v>4</v>
      </c>
      <c r="C68" s="58" t="s">
        <v>129</v>
      </c>
      <c r="D68" s="41" t="str">
        <f t="shared" si="1"/>
        <v xml:space="preserve">                        Outer Vessel Structure</v>
      </c>
      <c r="E68" s="41" t="s">
        <v>341</v>
      </c>
      <c r="F68" s="41" t="s">
        <v>498</v>
      </c>
      <c r="G68" s="41" t="s">
        <v>439</v>
      </c>
      <c r="H68" s="45"/>
      <c r="I68" s="63">
        <v>324.08</v>
      </c>
      <c r="J68" s="51" t="s">
        <v>174</v>
      </c>
      <c r="K68" s="61" t="s">
        <v>180</v>
      </c>
      <c r="L68" s="64"/>
      <c r="M68" s="51"/>
      <c r="N68" s="51"/>
      <c r="O68" s="68">
        <v>2017</v>
      </c>
      <c r="P68" s="51" t="s">
        <v>77</v>
      </c>
      <c r="Q68" s="61" t="s">
        <v>399</v>
      </c>
      <c r="R68" s="92" t="s">
        <v>350</v>
      </c>
      <c r="S68" s="58"/>
      <c r="T68" s="51"/>
      <c r="U68" s="80" t="s">
        <v>472</v>
      </c>
      <c r="V68" s="84">
        <f t="shared" si="4"/>
        <v>0</v>
      </c>
      <c r="W68" s="84">
        <f t="shared" si="5"/>
        <v>0</v>
      </c>
      <c r="X68" s="80" t="s">
        <v>451</v>
      </c>
      <c r="Y68" s="83">
        <f t="shared" si="6"/>
        <v>291.67199999999997</v>
      </c>
      <c r="Z68" s="83">
        <f t="shared" si="7"/>
        <v>421.30399999999997</v>
      </c>
      <c r="AA68" s="80" t="s">
        <v>451</v>
      </c>
      <c r="AB68" s="83" t="s">
        <v>475</v>
      </c>
      <c r="AC68" s="83" t="s">
        <v>476</v>
      </c>
      <c r="AD68" s="83" t="s">
        <v>477</v>
      </c>
      <c r="AE68" s="80" t="s">
        <v>452</v>
      </c>
    </row>
    <row r="69" spans="1:31" ht="30" customHeight="1" x14ac:dyDescent="0.2">
      <c r="A69" s="55">
        <v>221.12</v>
      </c>
      <c r="B69" s="40">
        <f t="shared" si="0"/>
        <v>4</v>
      </c>
      <c r="C69" s="58" t="s">
        <v>129</v>
      </c>
      <c r="D69" s="41" t="str">
        <f t="shared" si="1"/>
        <v xml:space="preserve">                        Outer Vessel Structure</v>
      </c>
      <c r="E69" s="41" t="s">
        <v>341</v>
      </c>
      <c r="F69" s="41" t="s">
        <v>498</v>
      </c>
      <c r="G69" s="41" t="s">
        <v>440</v>
      </c>
      <c r="H69" s="45"/>
      <c r="I69" s="63">
        <v>154.08000000000001</v>
      </c>
      <c r="J69" s="51" t="s">
        <v>174</v>
      </c>
      <c r="K69" s="61" t="s">
        <v>180</v>
      </c>
      <c r="L69" s="64"/>
      <c r="M69" s="51"/>
      <c r="N69" s="51"/>
      <c r="O69" s="68">
        <v>2017</v>
      </c>
      <c r="P69" s="51" t="s">
        <v>77</v>
      </c>
      <c r="Q69" s="61" t="s">
        <v>399</v>
      </c>
      <c r="R69" s="92"/>
      <c r="S69" s="58"/>
      <c r="T69" s="51"/>
      <c r="U69" s="80" t="s">
        <v>472</v>
      </c>
      <c r="V69" s="84">
        <f t="shared" si="4"/>
        <v>0</v>
      </c>
      <c r="W69" s="84">
        <f t="shared" si="5"/>
        <v>0</v>
      </c>
      <c r="X69" s="80" t="s">
        <v>451</v>
      </c>
      <c r="Y69" s="83">
        <f t="shared" si="6"/>
        <v>138.67200000000003</v>
      </c>
      <c r="Z69" s="83">
        <f t="shared" si="7"/>
        <v>200.30400000000003</v>
      </c>
      <c r="AA69" s="80" t="s">
        <v>451</v>
      </c>
      <c r="AB69" s="83" t="s">
        <v>475</v>
      </c>
      <c r="AC69" s="83" t="s">
        <v>476</v>
      </c>
      <c r="AD69" s="83" t="s">
        <v>477</v>
      </c>
      <c r="AE69" s="80" t="s">
        <v>452</v>
      </c>
    </row>
    <row r="70" spans="1:31" ht="30" customHeight="1" x14ac:dyDescent="0.2">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498</v>
      </c>
      <c r="G70" s="41" t="s">
        <v>441</v>
      </c>
      <c r="H70" s="45"/>
      <c r="I70" s="63">
        <v>444.08</v>
      </c>
      <c r="J70" s="51" t="s">
        <v>174</v>
      </c>
      <c r="K70" s="61" t="s">
        <v>180</v>
      </c>
      <c r="L70" s="64"/>
      <c r="M70" s="51"/>
      <c r="N70" s="51"/>
      <c r="O70" s="68">
        <v>2017</v>
      </c>
      <c r="P70" s="51" t="s">
        <v>77</v>
      </c>
      <c r="Q70" s="61" t="s">
        <v>399</v>
      </c>
      <c r="R70" s="92"/>
      <c r="S70" s="58"/>
      <c r="T70" s="51"/>
      <c r="U70" s="80" t="s">
        <v>472</v>
      </c>
      <c r="V70" s="84">
        <f t="shared" si="4"/>
        <v>0</v>
      </c>
      <c r="W70" s="84">
        <f t="shared" si="5"/>
        <v>0</v>
      </c>
      <c r="X70" s="80" t="s">
        <v>451</v>
      </c>
      <c r="Y70" s="83">
        <f t="shared" si="6"/>
        <v>399.67199999999997</v>
      </c>
      <c r="Z70" s="83">
        <f t="shared" si="7"/>
        <v>577.30399999999997</v>
      </c>
      <c r="AA70" s="80" t="s">
        <v>451</v>
      </c>
      <c r="AB70" s="83" t="s">
        <v>475</v>
      </c>
      <c r="AC70" s="83" t="s">
        <v>476</v>
      </c>
      <c r="AD70" s="83" t="s">
        <v>477</v>
      </c>
      <c r="AE70" s="80" t="s">
        <v>452</v>
      </c>
    </row>
    <row r="71" spans="1:31" ht="30" customHeight="1" x14ac:dyDescent="0.2">
      <c r="A71" s="55">
        <v>221.13</v>
      </c>
      <c r="B71" s="40">
        <f t="shared" si="0"/>
        <v>4</v>
      </c>
      <c r="C71" s="58" t="s">
        <v>130</v>
      </c>
      <c r="D71" s="41" t="str">
        <f t="shared" si="1"/>
        <v xml:space="preserve">                        Inner Vessel Structure</v>
      </c>
      <c r="E71" s="41" t="s">
        <v>341</v>
      </c>
      <c r="F71" s="41" t="s">
        <v>499</v>
      </c>
      <c r="G71" s="41" t="s">
        <v>439</v>
      </c>
      <c r="H71" s="45"/>
      <c r="I71" s="63">
        <v>324.08</v>
      </c>
      <c r="J71" s="51" t="s">
        <v>174</v>
      </c>
      <c r="K71" s="61" t="s">
        <v>177</v>
      </c>
      <c r="L71" s="51"/>
      <c r="M71" s="51"/>
      <c r="N71" s="51"/>
      <c r="O71" s="68">
        <v>2017</v>
      </c>
      <c r="P71" s="51" t="s">
        <v>77</v>
      </c>
      <c r="Q71" s="61" t="s">
        <v>399</v>
      </c>
      <c r="R71" s="92"/>
      <c r="S71" s="58"/>
      <c r="T71" s="61" t="s">
        <v>179</v>
      </c>
      <c r="U71" s="80" t="s">
        <v>472</v>
      </c>
      <c r="V71" s="84">
        <f t="shared" si="4"/>
        <v>0</v>
      </c>
      <c r="W71" s="84">
        <f t="shared" si="5"/>
        <v>0</v>
      </c>
      <c r="X71" s="80" t="s">
        <v>451</v>
      </c>
      <c r="Y71" s="83">
        <f t="shared" si="6"/>
        <v>291.67199999999997</v>
      </c>
      <c r="Z71" s="83">
        <f t="shared" si="7"/>
        <v>421.30399999999997</v>
      </c>
      <c r="AA71" s="80" t="s">
        <v>451</v>
      </c>
      <c r="AB71" s="83" t="s">
        <v>475</v>
      </c>
      <c r="AC71" s="83" t="s">
        <v>476</v>
      </c>
      <c r="AD71" s="83" t="s">
        <v>477</v>
      </c>
      <c r="AE71" s="80" t="s">
        <v>452</v>
      </c>
    </row>
    <row r="72" spans="1:31" ht="30" customHeight="1" x14ac:dyDescent="0.2">
      <c r="A72" s="55">
        <v>221.13</v>
      </c>
      <c r="B72" s="40">
        <f t="shared" si="0"/>
        <v>4</v>
      </c>
      <c r="C72" s="58" t="s">
        <v>130</v>
      </c>
      <c r="D72" s="41" t="str">
        <f t="shared" si="1"/>
        <v xml:space="preserve">                        Inner Vessel Structure</v>
      </c>
      <c r="E72" s="41" t="s">
        <v>341</v>
      </c>
      <c r="F72" s="41" t="s">
        <v>499</v>
      </c>
      <c r="G72" s="41" t="s">
        <v>440</v>
      </c>
      <c r="H72" s="45"/>
      <c r="I72" s="63">
        <v>154.08000000000001</v>
      </c>
      <c r="J72" s="51" t="s">
        <v>174</v>
      </c>
      <c r="K72" s="61" t="s">
        <v>177</v>
      </c>
      <c r="L72" s="51"/>
      <c r="M72" s="51"/>
      <c r="N72" s="51"/>
      <c r="O72" s="68">
        <v>2017</v>
      </c>
      <c r="P72" s="51" t="s">
        <v>77</v>
      </c>
      <c r="Q72" s="61" t="s">
        <v>399</v>
      </c>
      <c r="R72" s="92"/>
      <c r="S72" s="58"/>
      <c r="T72" s="61"/>
      <c r="U72" s="80" t="s">
        <v>472</v>
      </c>
      <c r="V72" s="84">
        <f t="shared" si="4"/>
        <v>0</v>
      </c>
      <c r="W72" s="84">
        <f t="shared" si="5"/>
        <v>0</v>
      </c>
      <c r="X72" s="80" t="s">
        <v>451</v>
      </c>
      <c r="Y72" s="83">
        <f t="shared" si="6"/>
        <v>138.67200000000003</v>
      </c>
      <c r="Z72" s="83">
        <f t="shared" si="7"/>
        <v>200.30400000000003</v>
      </c>
      <c r="AA72" s="80" t="s">
        <v>451</v>
      </c>
      <c r="AB72" s="83" t="s">
        <v>475</v>
      </c>
      <c r="AC72" s="83" t="s">
        <v>476</v>
      </c>
      <c r="AD72" s="83" t="s">
        <v>477</v>
      </c>
      <c r="AE72" s="80" t="s">
        <v>452</v>
      </c>
    </row>
    <row r="73" spans="1:31" ht="30" customHeight="1" x14ac:dyDescent="0.2">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499</v>
      </c>
      <c r="G73" s="41" t="s">
        <v>441</v>
      </c>
      <c r="H73" s="45"/>
      <c r="I73" s="63">
        <v>444.08</v>
      </c>
      <c r="J73" s="51" t="s">
        <v>174</v>
      </c>
      <c r="K73" s="61" t="s">
        <v>177</v>
      </c>
      <c r="L73" s="51"/>
      <c r="M73" s="51"/>
      <c r="N73" s="51"/>
      <c r="O73" s="68">
        <v>2017</v>
      </c>
      <c r="P73" s="51" t="s">
        <v>77</v>
      </c>
      <c r="Q73" s="61" t="s">
        <v>399</v>
      </c>
      <c r="R73" s="92"/>
      <c r="S73" s="58"/>
      <c r="T73" s="61"/>
      <c r="U73" s="80" t="s">
        <v>472</v>
      </c>
      <c r="V73" s="84">
        <f t="shared" si="4"/>
        <v>0</v>
      </c>
      <c r="W73" s="84">
        <f t="shared" si="5"/>
        <v>0</v>
      </c>
      <c r="X73" s="80" t="s">
        <v>451</v>
      </c>
      <c r="Y73" s="83">
        <f t="shared" si="6"/>
        <v>399.67199999999997</v>
      </c>
      <c r="Z73" s="83">
        <f t="shared" si="7"/>
        <v>577.30399999999997</v>
      </c>
      <c r="AA73" s="80" t="s">
        <v>451</v>
      </c>
      <c r="AB73" s="83" t="s">
        <v>475</v>
      </c>
      <c r="AC73" s="83" t="s">
        <v>476</v>
      </c>
      <c r="AD73" s="83" t="s">
        <v>477</v>
      </c>
      <c r="AE73" s="80" t="s">
        <v>452</v>
      </c>
    </row>
    <row r="74" spans="1:31" ht="30" customHeight="1" x14ac:dyDescent="0.2">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x14ac:dyDescent="0.2">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42" x14ac:dyDescent="0.15">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478</v>
      </c>
      <c r="L76" s="51"/>
      <c r="M76" s="51"/>
      <c r="N76" s="51"/>
      <c r="O76" s="68">
        <v>2024</v>
      </c>
      <c r="P76" s="51" t="s">
        <v>77</v>
      </c>
      <c r="Q76" s="61" t="s">
        <v>175</v>
      </c>
      <c r="R76" s="92" t="s">
        <v>176</v>
      </c>
      <c r="S76" s="96" t="s">
        <v>447</v>
      </c>
      <c r="T76" s="61" t="s">
        <v>184</v>
      </c>
      <c r="U76" s="80" t="s">
        <v>450</v>
      </c>
      <c r="V76" s="84">
        <f t="shared" si="4"/>
        <v>0</v>
      </c>
      <c r="W76" s="84">
        <f t="shared" si="5"/>
        <v>0</v>
      </c>
      <c r="X76" s="80" t="s">
        <v>451</v>
      </c>
      <c r="Y76" s="83">
        <f t="shared" si="6"/>
        <v>313101</v>
      </c>
      <c r="Z76" s="83">
        <f t="shared" si="7"/>
        <v>452257</v>
      </c>
      <c r="AA76" s="80" t="s">
        <v>451</v>
      </c>
      <c r="AB76" s="83" t="s">
        <v>475</v>
      </c>
      <c r="AC76" s="83" t="s">
        <v>476</v>
      </c>
      <c r="AD76" s="83" t="s">
        <v>477</v>
      </c>
      <c r="AE76" s="80" t="s">
        <v>452</v>
      </c>
    </row>
    <row r="77" spans="1:31" s="35" customFormat="1" x14ac:dyDescent="0.15">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478</v>
      </c>
      <c r="L77" s="51"/>
      <c r="M77" s="51"/>
      <c r="N77" s="51"/>
      <c r="O77" s="68">
        <v>2024</v>
      </c>
      <c r="P77" s="76" t="s">
        <v>85</v>
      </c>
      <c r="Q77" s="61" t="s">
        <v>175</v>
      </c>
      <c r="R77" s="92"/>
      <c r="S77" s="96"/>
      <c r="T77" s="51"/>
      <c r="U77" s="80" t="s">
        <v>450</v>
      </c>
      <c r="V77" s="84">
        <f t="shared" si="4"/>
        <v>0</v>
      </c>
      <c r="W77" s="84">
        <f t="shared" si="5"/>
        <v>0</v>
      </c>
      <c r="X77" s="80" t="s">
        <v>451</v>
      </c>
      <c r="Y77" s="83">
        <f t="shared" si="6"/>
        <v>72599.175000000003</v>
      </c>
      <c r="Z77" s="83">
        <f t="shared" si="7"/>
        <v>104865.47500000001</v>
      </c>
      <c r="AA77" s="80" t="s">
        <v>451</v>
      </c>
      <c r="AB77" s="83" t="s">
        <v>475</v>
      </c>
      <c r="AC77" s="83" t="s">
        <v>476</v>
      </c>
      <c r="AD77" s="83" t="s">
        <v>477</v>
      </c>
      <c r="AE77" s="80" t="s">
        <v>452</v>
      </c>
    </row>
    <row r="78" spans="1:31" s="35" customFormat="1" ht="30" customHeight="1" x14ac:dyDescent="0.15">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2"/>
      <c r="S78" s="96"/>
      <c r="T78" s="51"/>
      <c r="U78" s="80" t="s">
        <v>467</v>
      </c>
      <c r="V78" s="84">
        <f t="shared" si="4"/>
        <v>0</v>
      </c>
      <c r="W78" s="84">
        <f t="shared" si="5"/>
        <v>0</v>
      </c>
      <c r="X78" s="80" t="s">
        <v>451</v>
      </c>
      <c r="Y78" s="83">
        <f t="shared" si="6"/>
        <v>12857.142857142859</v>
      </c>
      <c r="Z78" s="83">
        <f t="shared" si="7"/>
        <v>18571.428571428572</v>
      </c>
      <c r="AA78" s="80" t="s">
        <v>451</v>
      </c>
      <c r="AB78" s="83" t="s">
        <v>475</v>
      </c>
      <c r="AC78" s="83" t="s">
        <v>476</v>
      </c>
      <c r="AD78" s="83" t="s">
        <v>477</v>
      </c>
      <c r="AE78" s="80" t="s">
        <v>452</v>
      </c>
    </row>
    <row r="79" spans="1:31" s="35" customFormat="1" ht="30" customHeight="1" x14ac:dyDescent="0.15">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435</v>
      </c>
      <c r="H79" s="45"/>
      <c r="I79" s="63">
        <v>10064</v>
      </c>
      <c r="J79" s="51" t="s">
        <v>174</v>
      </c>
      <c r="K79" s="61" t="s">
        <v>185</v>
      </c>
      <c r="L79" s="51"/>
      <c r="M79" s="51"/>
      <c r="N79" s="51"/>
      <c r="O79" s="68">
        <v>2023</v>
      </c>
      <c r="P79" s="51" t="s">
        <v>73</v>
      </c>
      <c r="Q79" s="61" t="s">
        <v>436</v>
      </c>
      <c r="R79" s="92"/>
      <c r="S79" s="96"/>
      <c r="T79" s="51"/>
      <c r="U79" s="80" t="s">
        <v>467</v>
      </c>
      <c r="V79" s="84">
        <f t="shared" si="4"/>
        <v>0</v>
      </c>
      <c r="W79" s="84">
        <f t="shared" si="5"/>
        <v>0</v>
      </c>
      <c r="X79" s="80" t="s">
        <v>451</v>
      </c>
      <c r="Y79" s="83">
        <f t="shared" si="6"/>
        <v>9057.6</v>
      </c>
      <c r="Z79" s="83">
        <f t="shared" si="7"/>
        <v>13083.2</v>
      </c>
      <c r="AA79" s="80" t="s">
        <v>451</v>
      </c>
      <c r="AB79" s="83" t="s">
        <v>475</v>
      </c>
      <c r="AC79" s="83" t="s">
        <v>476</v>
      </c>
      <c r="AD79" s="83" t="s">
        <v>477</v>
      </c>
      <c r="AE79" s="80" t="s">
        <v>452</v>
      </c>
    </row>
    <row r="80" spans="1:31" s="35" customFormat="1" ht="30" customHeight="1" x14ac:dyDescent="0.15">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2"/>
      <c r="S80" s="96"/>
      <c r="T80" s="51"/>
      <c r="U80" s="80" t="s">
        <v>540</v>
      </c>
      <c r="V80" s="84">
        <f t="shared" ref="V80:V143" si="25">0.9*$H80</f>
        <v>0</v>
      </c>
      <c r="W80" s="84">
        <f t="shared" ref="W80:W143" si="26">1.5*H80</f>
        <v>0</v>
      </c>
      <c r="X80" s="80" t="s">
        <v>451</v>
      </c>
      <c r="Y80" s="83">
        <f t="shared" ref="Y80:Y143" si="27">0.9*I80</f>
        <v>9056.6037735849059</v>
      </c>
      <c r="Z80" s="83">
        <f t="shared" ref="Z80:Z143" si="28">1.3*I80</f>
        <v>13081.761006289309</v>
      </c>
      <c r="AA80" s="80" t="s">
        <v>451</v>
      </c>
      <c r="AB80" s="83" t="s">
        <v>475</v>
      </c>
      <c r="AC80" s="83" t="s">
        <v>476</v>
      </c>
      <c r="AD80" s="83" t="s">
        <v>477</v>
      </c>
      <c r="AE80" s="80" t="s">
        <v>452</v>
      </c>
    </row>
    <row r="81" spans="1:34" s="35" customFormat="1" ht="30" customHeight="1" x14ac:dyDescent="0.15">
      <c r="A81" s="55">
        <v>221.214</v>
      </c>
      <c r="B81" s="40">
        <f t="shared" si="0"/>
        <v>5</v>
      </c>
      <c r="C81" s="77" t="s">
        <v>182</v>
      </c>
      <c r="D81" s="41" t="str">
        <f t="shared" si="1"/>
        <v xml:space="preserve">                              Control Drums Materials (Reflector)</v>
      </c>
      <c r="E81" s="41" t="s">
        <v>341</v>
      </c>
      <c r="F81" s="41" t="s">
        <v>327</v>
      </c>
      <c r="G81" s="41" t="s">
        <v>449</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539</v>
      </c>
      <c r="V81" s="84">
        <f t="shared" si="25"/>
        <v>0</v>
      </c>
      <c r="W81" s="84">
        <f t="shared" si="26"/>
        <v>0</v>
      </c>
      <c r="X81" s="80" t="s">
        <v>451</v>
      </c>
      <c r="Y81" s="83">
        <f t="shared" si="27"/>
        <v>40263.157894736847</v>
      </c>
      <c r="Z81" s="83">
        <f t="shared" si="28"/>
        <v>58157.894736842107</v>
      </c>
      <c r="AA81" s="80" t="s">
        <v>451</v>
      </c>
      <c r="AB81" s="83" t="s">
        <v>475</v>
      </c>
      <c r="AC81" s="83" t="s">
        <v>476</v>
      </c>
      <c r="AD81" s="83" t="s">
        <v>477</v>
      </c>
      <c r="AE81" s="80" t="s">
        <v>452</v>
      </c>
      <c r="AH81" s="38"/>
    </row>
    <row r="82" spans="1:34" s="35" customFormat="1" ht="30" customHeight="1" x14ac:dyDescent="0.15">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467</v>
      </c>
      <c r="V82" s="84">
        <f t="shared" si="25"/>
        <v>0</v>
      </c>
      <c r="W82" s="84">
        <f t="shared" si="26"/>
        <v>0</v>
      </c>
      <c r="X82" s="80" t="s">
        <v>451</v>
      </c>
      <c r="Y82" s="83">
        <f t="shared" si="27"/>
        <v>72</v>
      </c>
      <c r="Z82" s="83">
        <f t="shared" si="28"/>
        <v>104</v>
      </c>
      <c r="AA82" s="80" t="s">
        <v>451</v>
      </c>
      <c r="AB82" s="83" t="s">
        <v>475</v>
      </c>
      <c r="AC82" s="83" t="s">
        <v>476</v>
      </c>
      <c r="AD82" s="83" t="s">
        <v>477</v>
      </c>
      <c r="AE82" s="80" t="s">
        <v>452</v>
      </c>
    </row>
    <row r="83" spans="1:34" s="35" customFormat="1" ht="30" customHeight="1" x14ac:dyDescent="0.15">
      <c r="A83" s="55">
        <v>221.215</v>
      </c>
      <c r="B83" s="40">
        <f t="shared" si="0"/>
        <v>5</v>
      </c>
      <c r="C83" s="58" t="s">
        <v>403</v>
      </c>
      <c r="D83" s="41" t="str">
        <f t="shared" si="1"/>
        <v xml:space="preserve">                              Control System Drive Mechanism</v>
      </c>
      <c r="E83" s="41" t="s">
        <v>341</v>
      </c>
      <c r="F83" s="41"/>
      <c r="G83" s="41"/>
      <c r="H83" s="45"/>
      <c r="I83" s="63">
        <v>74759</v>
      </c>
      <c r="J83" s="51" t="s">
        <v>400</v>
      </c>
      <c r="K83" s="61" t="s">
        <v>478</v>
      </c>
      <c r="L83" s="51"/>
      <c r="M83" s="51"/>
      <c r="N83" s="51"/>
      <c r="O83" s="68">
        <v>2023</v>
      </c>
      <c r="P83" s="51" t="s">
        <v>77</v>
      </c>
      <c r="Q83" s="61" t="s">
        <v>436</v>
      </c>
      <c r="R83" s="65" t="s">
        <v>401</v>
      </c>
      <c r="S83" s="67"/>
      <c r="T83" s="51" t="s">
        <v>402</v>
      </c>
      <c r="U83" s="80" t="s">
        <v>450</v>
      </c>
      <c r="V83" s="84">
        <f t="shared" si="25"/>
        <v>0</v>
      </c>
      <c r="W83" s="84">
        <f t="shared" si="26"/>
        <v>0</v>
      </c>
      <c r="X83" s="80" t="s">
        <v>451</v>
      </c>
      <c r="Y83" s="83">
        <f t="shared" si="27"/>
        <v>67283.100000000006</v>
      </c>
      <c r="Z83" s="83">
        <f t="shared" si="28"/>
        <v>97186.7</v>
      </c>
      <c r="AA83" s="80" t="s">
        <v>451</v>
      </c>
      <c r="AB83" s="83" t="s">
        <v>475</v>
      </c>
      <c r="AC83" s="83" t="s">
        <v>476</v>
      </c>
      <c r="AD83" s="83" t="s">
        <v>477</v>
      </c>
      <c r="AE83" s="80" t="s">
        <v>452</v>
      </c>
    </row>
    <row r="84" spans="1:34" ht="15" x14ac:dyDescent="0.2">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5" customHeight="1" x14ac:dyDescent="0.2">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96" t="s">
        <v>447</v>
      </c>
      <c r="T85" s="51"/>
      <c r="U85" s="80" t="s">
        <v>540</v>
      </c>
      <c r="V85" s="84">
        <f t="shared" si="25"/>
        <v>108207.90000000001</v>
      </c>
      <c r="W85" s="84">
        <f t="shared" si="26"/>
        <v>180346.5</v>
      </c>
      <c r="X85" s="80" t="s">
        <v>451</v>
      </c>
      <c r="Y85" s="83">
        <f t="shared" si="27"/>
        <v>9056.6037735849059</v>
      </c>
      <c r="Z85" s="83">
        <f t="shared" si="28"/>
        <v>13081.761006289309</v>
      </c>
      <c r="AA85" s="80" t="s">
        <v>451</v>
      </c>
      <c r="AB85" s="83" t="s">
        <v>475</v>
      </c>
      <c r="AC85" s="83" t="s">
        <v>476</v>
      </c>
      <c r="AD85" s="83" t="s">
        <v>477</v>
      </c>
      <c r="AE85" s="80" t="s">
        <v>452</v>
      </c>
    </row>
    <row r="86" spans="1:34" ht="14.5" customHeight="1" x14ac:dyDescent="0.2">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449</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96"/>
      <c r="T86" s="51"/>
      <c r="U86" s="80" t="s">
        <v>539</v>
      </c>
      <c r="V86" s="84">
        <f t="shared" si="25"/>
        <v>0</v>
      </c>
      <c r="W86" s="84">
        <f t="shared" si="26"/>
        <v>0</v>
      </c>
      <c r="X86" s="80" t="s">
        <v>451</v>
      </c>
      <c r="Y86" s="83">
        <f t="shared" si="27"/>
        <v>40263.157894736847</v>
      </c>
      <c r="Z86" s="83">
        <f t="shared" si="28"/>
        <v>58157.894736842107</v>
      </c>
      <c r="AA86" s="80" t="s">
        <v>451</v>
      </c>
      <c r="AB86" s="83" t="s">
        <v>475</v>
      </c>
      <c r="AC86" s="83" t="s">
        <v>476</v>
      </c>
      <c r="AD86" s="83" t="s">
        <v>477</v>
      </c>
      <c r="AE86" s="80" t="s">
        <v>452</v>
      </c>
    </row>
    <row r="87" spans="1:34" ht="57" x14ac:dyDescent="0.2">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96"/>
      <c r="T87" s="51"/>
      <c r="U87" s="80" t="s">
        <v>467</v>
      </c>
      <c r="V87" s="84">
        <f t="shared" si="25"/>
        <v>0</v>
      </c>
      <c r="W87" s="84">
        <f t="shared" si="26"/>
        <v>0</v>
      </c>
      <c r="X87" s="80" t="s">
        <v>451</v>
      </c>
      <c r="Y87" s="83">
        <f t="shared" si="27"/>
        <v>72</v>
      </c>
      <c r="Z87" s="83">
        <f t="shared" si="28"/>
        <v>104</v>
      </c>
      <c r="AA87" s="80" t="s">
        <v>451</v>
      </c>
      <c r="AB87" s="83" t="s">
        <v>475</v>
      </c>
      <c r="AC87" s="83" t="s">
        <v>476</v>
      </c>
      <c r="AD87" s="83" t="s">
        <v>477</v>
      </c>
      <c r="AE87" s="80" t="s">
        <v>452</v>
      </c>
    </row>
    <row r="88" spans="1:34" ht="15" x14ac:dyDescent="0.2">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96"/>
      <c r="T88" s="51"/>
      <c r="U88" s="80" t="s">
        <v>467</v>
      </c>
      <c r="V88" s="84">
        <f t="shared" si="25"/>
        <v>0</v>
      </c>
      <c r="W88" s="84">
        <f t="shared" si="26"/>
        <v>0</v>
      </c>
      <c r="X88" s="80" t="s">
        <v>451</v>
      </c>
      <c r="Y88" s="83">
        <f t="shared" si="27"/>
        <v>120.69</v>
      </c>
      <c r="Z88" s="83">
        <f t="shared" si="28"/>
        <v>174.33</v>
      </c>
      <c r="AA88" s="80" t="s">
        <v>451</v>
      </c>
      <c r="AB88" s="83" t="s">
        <v>475</v>
      </c>
      <c r="AC88" s="83" t="s">
        <v>476</v>
      </c>
      <c r="AD88" s="83" t="s">
        <v>477</v>
      </c>
      <c r="AE88" s="80" t="s">
        <v>452</v>
      </c>
    </row>
    <row r="89" spans="1:34" ht="15" x14ac:dyDescent="0.2">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96"/>
      <c r="T89" s="51"/>
      <c r="U89" s="80"/>
      <c r="V89" s="84"/>
      <c r="W89" s="84"/>
      <c r="X89" s="80"/>
      <c r="Y89" s="83"/>
      <c r="Z89" s="83"/>
      <c r="AA89" s="80"/>
      <c r="AB89" s="83"/>
      <c r="AC89" s="83"/>
      <c r="AD89" s="83"/>
      <c r="AE89" s="80"/>
    </row>
    <row r="90" spans="1:34" s="35" customFormat="1" ht="30" customHeight="1" x14ac:dyDescent="0.15">
      <c r="A90" s="55">
        <v>221.321</v>
      </c>
      <c r="B90" s="40">
        <f t="shared" si="0"/>
        <v>5</v>
      </c>
      <c r="C90" s="58" t="s">
        <v>135</v>
      </c>
      <c r="D90" s="41" t="str">
        <f t="shared" si="1"/>
        <v xml:space="preserve">                              In Vessel Shield Materials</v>
      </c>
      <c r="E90" s="41" t="s">
        <v>341</v>
      </c>
      <c r="F90" s="41" t="s">
        <v>479</v>
      </c>
      <c r="G90" s="41" t="s">
        <v>186</v>
      </c>
      <c r="H90" s="45">
        <f>MARVEL_Cost!C30</f>
        <v>647990.6</v>
      </c>
      <c r="I90" s="63">
        <f>I78</f>
        <v>14285.714285714286</v>
      </c>
      <c r="J90" s="51" t="s">
        <v>174</v>
      </c>
      <c r="K90" s="61" t="s">
        <v>481</v>
      </c>
      <c r="L90" s="51">
        <f>L78</f>
        <v>28</v>
      </c>
      <c r="M90" s="51" t="s">
        <v>173</v>
      </c>
      <c r="N90" s="51">
        <v>1</v>
      </c>
      <c r="O90" s="68">
        <v>2024</v>
      </c>
      <c r="P90" s="51" t="s">
        <v>73</v>
      </c>
      <c r="Q90" s="61" t="s">
        <v>175</v>
      </c>
      <c r="R90" s="61"/>
      <c r="S90" s="96"/>
      <c r="T90" s="51"/>
      <c r="U90" s="80" t="s">
        <v>467</v>
      </c>
      <c r="V90" s="84">
        <f t="shared" si="25"/>
        <v>583191.54</v>
      </c>
      <c r="W90" s="84">
        <f t="shared" si="26"/>
        <v>971985.89999999991</v>
      </c>
      <c r="X90" s="80" t="s">
        <v>451</v>
      </c>
      <c r="Y90" s="83">
        <f t="shared" si="27"/>
        <v>12857.142857142859</v>
      </c>
      <c r="Z90" s="83">
        <f t="shared" si="28"/>
        <v>18571.428571428572</v>
      </c>
      <c r="AA90" s="80" t="s">
        <v>451</v>
      </c>
      <c r="AB90" s="83" t="s">
        <v>475</v>
      </c>
      <c r="AC90" s="83" t="s">
        <v>476</v>
      </c>
      <c r="AD90" s="83" t="s">
        <v>477</v>
      </c>
      <c r="AE90" s="80" t="s">
        <v>452</v>
      </c>
    </row>
    <row r="91" spans="1:34" s="35" customFormat="1" ht="30" customHeight="1" x14ac:dyDescent="0.15">
      <c r="A91" s="55">
        <v>221.322</v>
      </c>
      <c r="B91" s="40">
        <f t="shared" si="0"/>
        <v>5</v>
      </c>
      <c r="C91" s="58" t="s">
        <v>136</v>
      </c>
      <c r="D91" s="41" t="str">
        <f t="shared" si="1"/>
        <v xml:space="preserve">                              Out The Vessel Shield Materials</v>
      </c>
      <c r="E91" s="41" t="s">
        <v>341</v>
      </c>
      <c r="F91" s="41" t="s">
        <v>480</v>
      </c>
      <c r="G91" s="41" t="s">
        <v>331</v>
      </c>
      <c r="H91" s="45"/>
      <c r="I91" s="63">
        <v>20</v>
      </c>
      <c r="J91" s="51" t="s">
        <v>174</v>
      </c>
      <c r="K91" s="61" t="s">
        <v>482</v>
      </c>
      <c r="L91" s="51">
        <f>'Design Variables'!B43</f>
        <v>925.3</v>
      </c>
      <c r="M91" s="51" t="s">
        <v>173</v>
      </c>
      <c r="N91" s="51">
        <v>1</v>
      </c>
      <c r="O91" s="68">
        <v>2024</v>
      </c>
      <c r="P91" s="51" t="s">
        <v>73</v>
      </c>
      <c r="Q91" s="61" t="s">
        <v>175</v>
      </c>
      <c r="R91" s="61"/>
      <c r="S91" s="96"/>
      <c r="T91" s="51"/>
      <c r="U91" s="80" t="s">
        <v>467</v>
      </c>
      <c r="V91" s="84">
        <f>0.9*$H91</f>
        <v>0</v>
      </c>
      <c r="W91" s="84">
        <f>1.5*H91</f>
        <v>0</v>
      </c>
      <c r="X91" s="80" t="s">
        <v>451</v>
      </c>
      <c r="Y91" s="83">
        <f>0.9*I91</f>
        <v>18</v>
      </c>
      <c r="Z91" s="83">
        <f>1.3*I91</f>
        <v>26</v>
      </c>
      <c r="AA91" s="80" t="s">
        <v>451</v>
      </c>
      <c r="AB91" s="83" t="s">
        <v>475</v>
      </c>
      <c r="AC91" s="83" t="s">
        <v>476</v>
      </c>
      <c r="AD91" s="83" t="s">
        <v>477</v>
      </c>
      <c r="AE91" s="80" t="s">
        <v>452</v>
      </c>
    </row>
    <row r="92" spans="1:34" ht="69" customHeight="1" x14ac:dyDescent="0.2">
      <c r="A92" s="55">
        <v>221.33</v>
      </c>
      <c r="B92" s="40">
        <f t="shared" si="0"/>
        <v>4</v>
      </c>
      <c r="C92" s="58" t="s">
        <v>444</v>
      </c>
      <c r="D92" s="41" t="str">
        <f>REPT("   ", B93*2) &amp; C92</f>
        <v xml:space="preserve">                        Moderator (Booster)</v>
      </c>
      <c r="E92" s="41" t="s">
        <v>341</v>
      </c>
      <c r="F92" s="41" t="s">
        <v>453</v>
      </c>
      <c r="G92" s="41" t="s">
        <v>332</v>
      </c>
      <c r="H92" s="45"/>
      <c r="I92" s="63">
        <v>1520</v>
      </c>
      <c r="J92" s="51" t="s">
        <v>174</v>
      </c>
      <c r="K92" s="61" t="s">
        <v>442</v>
      </c>
      <c r="L92" s="51"/>
      <c r="M92" s="51" t="s">
        <v>173</v>
      </c>
      <c r="N92" s="51"/>
      <c r="O92" s="68">
        <v>2017</v>
      </c>
      <c r="P92" s="51" t="s">
        <v>73</v>
      </c>
      <c r="Q92" s="61" t="s">
        <v>335</v>
      </c>
      <c r="R92" s="65" t="s">
        <v>336</v>
      </c>
      <c r="S92" s="67"/>
      <c r="T92" s="51"/>
      <c r="U92" s="80" t="s">
        <v>467</v>
      </c>
      <c r="V92" s="84">
        <f t="shared" si="25"/>
        <v>0</v>
      </c>
      <c r="W92" s="84">
        <f t="shared" si="26"/>
        <v>0</v>
      </c>
      <c r="X92" s="80" t="s">
        <v>451</v>
      </c>
      <c r="Y92" s="83">
        <f t="shared" si="27"/>
        <v>1368</v>
      </c>
      <c r="Z92" s="83">
        <f t="shared" si="28"/>
        <v>1976</v>
      </c>
      <c r="AA92" s="80" t="s">
        <v>451</v>
      </c>
      <c r="AB92" s="83" t="s">
        <v>475</v>
      </c>
      <c r="AC92" s="83" t="s">
        <v>476</v>
      </c>
      <c r="AD92" s="83" t="s">
        <v>477</v>
      </c>
      <c r="AE92" s="80" t="s">
        <v>452</v>
      </c>
    </row>
    <row r="93" spans="1:34" ht="30" customHeight="1" x14ac:dyDescent="0.2">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467</v>
      </c>
      <c r="V93" s="84">
        <f t="shared" si="25"/>
        <v>0</v>
      </c>
      <c r="W93" s="84">
        <f t="shared" si="26"/>
        <v>0</v>
      </c>
      <c r="X93" s="80" t="s">
        <v>451</v>
      </c>
      <c r="Y93" s="83">
        <f t="shared" si="27"/>
        <v>72</v>
      </c>
      <c r="Z93" s="83">
        <f t="shared" si="28"/>
        <v>104</v>
      </c>
      <c r="AA93" s="80" t="s">
        <v>451</v>
      </c>
      <c r="AB93" s="83" t="s">
        <v>475</v>
      </c>
      <c r="AC93" s="83" t="s">
        <v>476</v>
      </c>
      <c r="AD93" s="83" t="s">
        <v>477</v>
      </c>
      <c r="AE93" s="80" t="s">
        <v>452</v>
      </c>
    </row>
    <row r="94" spans="1:34" ht="30" customHeight="1" x14ac:dyDescent="0.2">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ht="15" x14ac:dyDescent="0.2">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25" customHeight="1" x14ac:dyDescent="0.2">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2" t="s">
        <v>448</v>
      </c>
      <c r="S96" s="100" t="s">
        <v>344</v>
      </c>
      <c r="T96" s="92"/>
      <c r="U96" s="80" t="s">
        <v>467</v>
      </c>
      <c r="V96" s="84">
        <f t="shared" si="25"/>
        <v>0</v>
      </c>
      <c r="W96" s="84">
        <f t="shared" si="26"/>
        <v>0</v>
      </c>
      <c r="X96" s="80" t="s">
        <v>451</v>
      </c>
      <c r="Y96" s="83">
        <f t="shared" si="27"/>
        <v>7936.6500000000005</v>
      </c>
      <c r="Z96" s="83">
        <f t="shared" si="28"/>
        <v>11464.050000000001</v>
      </c>
      <c r="AA96" s="80" t="s">
        <v>451</v>
      </c>
      <c r="AB96" s="83" t="s">
        <v>475</v>
      </c>
      <c r="AC96" s="83" t="s">
        <v>476</v>
      </c>
      <c r="AD96" s="83" t="s">
        <v>477</v>
      </c>
      <c r="AE96" s="80" t="s">
        <v>452</v>
      </c>
    </row>
    <row r="97" spans="1:31" ht="29" x14ac:dyDescent="0.2">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2"/>
      <c r="S97" s="101"/>
      <c r="T97" s="92"/>
      <c r="U97" s="80" t="s">
        <v>467</v>
      </c>
      <c r="V97" s="84">
        <f t="shared" si="25"/>
        <v>0</v>
      </c>
      <c r="W97" s="84">
        <f t="shared" si="26"/>
        <v>0</v>
      </c>
      <c r="X97" s="80" t="s">
        <v>451</v>
      </c>
      <c r="Y97" s="83">
        <f t="shared" si="27"/>
        <v>634.93200000000002</v>
      </c>
      <c r="Z97" s="83">
        <f t="shared" si="28"/>
        <v>917.12400000000002</v>
      </c>
      <c r="AA97" s="80" t="s">
        <v>451</v>
      </c>
      <c r="AB97" s="83" t="s">
        <v>475</v>
      </c>
      <c r="AC97" s="83" t="s">
        <v>476</v>
      </c>
      <c r="AD97" s="83" t="s">
        <v>477</v>
      </c>
      <c r="AE97" s="80" t="s">
        <v>452</v>
      </c>
    </row>
    <row r="98" spans="1:31" ht="99" x14ac:dyDescent="0.2">
      <c r="A98" s="44">
        <v>222.13</v>
      </c>
      <c r="B98" s="40">
        <f t="shared" si="36"/>
        <v>4</v>
      </c>
      <c r="C98" s="58" t="s">
        <v>353</v>
      </c>
      <c r="D98" s="41" t="str">
        <f t="shared" ref="D98" si="37">REPT("   ", B98*2) &amp; C98</f>
        <v xml:space="preserve">                        Compressor</v>
      </c>
      <c r="E98" s="41" t="s">
        <v>342</v>
      </c>
      <c r="F98" s="41" t="s">
        <v>351</v>
      </c>
      <c r="G98" s="41" t="s">
        <v>354</v>
      </c>
      <c r="H98" s="45"/>
      <c r="I98" s="63">
        <v>7100000</v>
      </c>
      <c r="J98" s="51" t="s">
        <v>413</v>
      </c>
      <c r="K98" s="61"/>
      <c r="L98" s="51"/>
      <c r="M98" s="51"/>
      <c r="N98" s="51"/>
      <c r="O98" s="68">
        <v>2020</v>
      </c>
      <c r="P98" s="51" t="s">
        <v>77</v>
      </c>
      <c r="Q98" s="61" t="s">
        <v>407</v>
      </c>
      <c r="R98" s="65" t="s">
        <v>409</v>
      </c>
      <c r="S98" s="69"/>
      <c r="T98" s="65" t="s">
        <v>503</v>
      </c>
      <c r="U98" s="80" t="s">
        <v>467</v>
      </c>
      <c r="V98" s="84">
        <f t="shared" si="25"/>
        <v>0</v>
      </c>
      <c r="W98" s="84">
        <f t="shared" si="26"/>
        <v>0</v>
      </c>
      <c r="X98" s="80" t="s">
        <v>451</v>
      </c>
      <c r="Y98" s="83">
        <f t="shared" si="27"/>
        <v>6390000</v>
      </c>
      <c r="Z98" s="83">
        <f t="shared" si="28"/>
        <v>9230000</v>
      </c>
      <c r="AA98" s="80" t="s">
        <v>451</v>
      </c>
      <c r="AB98" s="83" t="s">
        <v>475</v>
      </c>
      <c r="AC98" s="83" t="s">
        <v>476</v>
      </c>
      <c r="AD98" s="83" t="s">
        <v>477</v>
      </c>
      <c r="AE98" s="80" t="s">
        <v>452</v>
      </c>
    </row>
    <row r="99" spans="1:31" ht="30" customHeight="1" x14ac:dyDescent="0.2">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467</v>
      </c>
      <c r="V99" s="84">
        <f t="shared" si="25"/>
        <v>0</v>
      </c>
      <c r="W99" s="84">
        <f t="shared" ref="W99" si="38">1.5*H99</f>
        <v>0</v>
      </c>
      <c r="X99" s="80" t="s">
        <v>451</v>
      </c>
      <c r="Y99" s="83">
        <f t="shared" ref="Y99" si="39">0.9*I99</f>
        <v>18000</v>
      </c>
      <c r="Z99" s="83">
        <f t="shared" ref="Z99" si="40">1.3*I99</f>
        <v>26000</v>
      </c>
      <c r="AA99" s="80" t="s">
        <v>451</v>
      </c>
      <c r="AB99" s="83" t="s">
        <v>475</v>
      </c>
      <c r="AC99" s="83" t="s">
        <v>476</v>
      </c>
      <c r="AD99" s="83" t="s">
        <v>477</v>
      </c>
      <c r="AE99" s="80" t="s">
        <v>452</v>
      </c>
    </row>
    <row r="100" spans="1:31" ht="15" x14ac:dyDescent="0.2">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x14ac:dyDescent="0.2">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467</v>
      </c>
      <c r="V101" s="84">
        <f t="shared" si="25"/>
        <v>0</v>
      </c>
      <c r="W101" s="84">
        <f t="shared" si="26"/>
        <v>0</v>
      </c>
      <c r="X101" s="80" t="s">
        <v>451</v>
      </c>
      <c r="Y101" s="83">
        <f t="shared" si="27"/>
        <v>45</v>
      </c>
      <c r="Z101" s="83">
        <f t="shared" si="28"/>
        <v>65</v>
      </c>
      <c r="AA101" s="80" t="s">
        <v>451</v>
      </c>
      <c r="AB101" s="83" t="s">
        <v>475</v>
      </c>
      <c r="AC101" s="83" t="s">
        <v>476</v>
      </c>
      <c r="AD101" s="83" t="s">
        <v>477</v>
      </c>
      <c r="AE101" s="80" t="s">
        <v>452</v>
      </c>
    </row>
    <row r="102" spans="1:31" ht="30" customHeight="1" x14ac:dyDescent="0.2">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467</v>
      </c>
      <c r="V102" s="84">
        <f t="shared" si="25"/>
        <v>0</v>
      </c>
      <c r="W102" s="84">
        <f t="shared" si="26"/>
        <v>0</v>
      </c>
      <c r="X102" s="80" t="s">
        <v>451</v>
      </c>
      <c r="Y102" s="83">
        <f t="shared" si="27"/>
        <v>108</v>
      </c>
      <c r="Z102" s="83">
        <f t="shared" si="28"/>
        <v>156</v>
      </c>
      <c r="AA102" s="80" t="s">
        <v>451</v>
      </c>
      <c r="AB102" s="83" t="s">
        <v>475</v>
      </c>
      <c r="AC102" s="83" t="s">
        <v>476</v>
      </c>
      <c r="AD102" s="83" t="s">
        <v>477</v>
      </c>
      <c r="AE102" s="80" t="s">
        <v>452</v>
      </c>
    </row>
    <row r="103" spans="1:31" ht="30" customHeight="1" x14ac:dyDescent="0.2">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467</v>
      </c>
      <c r="V103" s="84">
        <f t="shared" si="25"/>
        <v>0</v>
      </c>
      <c r="W103" s="84">
        <f t="shared" si="26"/>
        <v>0</v>
      </c>
      <c r="X103" s="80" t="s">
        <v>451</v>
      </c>
      <c r="Y103" s="83">
        <f t="shared" si="27"/>
        <v>45</v>
      </c>
      <c r="Z103" s="83">
        <f t="shared" si="28"/>
        <v>65</v>
      </c>
      <c r="AA103" s="80" t="s">
        <v>451</v>
      </c>
      <c r="AB103" s="83" t="s">
        <v>475</v>
      </c>
      <c r="AC103" s="83" t="s">
        <v>476</v>
      </c>
      <c r="AD103" s="83" t="s">
        <v>477</v>
      </c>
      <c r="AE103" s="80" t="s">
        <v>452</v>
      </c>
    </row>
    <row r="104" spans="1:31" ht="30" customHeight="1" x14ac:dyDescent="0.2">
      <c r="A104" s="55">
        <v>222.32</v>
      </c>
      <c r="B104" s="40">
        <f t="shared" ref="B104:B108" si="47">IF(ISNUMBER(A104),
    IF(AND(A104=INT(A104), MOD(A104, 10) = 0), 0,
        IF(AND(A104=INT(A104), LEN(A104)=2), 1,
            IF(AND(A104=INT(A104), LEN(A104)=3), 2,
                LEN(A104) - FIND(".", A104) + 2)
        )
    ),
"")</f>
        <v>4</v>
      </c>
      <c r="C104" s="58" t="s">
        <v>18</v>
      </c>
      <c r="D104" s="41" t="str">
        <f t="shared" ref="D104:D108"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467</v>
      </c>
      <c r="V104" s="84">
        <f t="shared" si="25"/>
        <v>0</v>
      </c>
      <c r="W104" s="84">
        <f t="shared" si="26"/>
        <v>0</v>
      </c>
      <c r="X104" s="80" t="s">
        <v>451</v>
      </c>
      <c r="Y104" s="83">
        <f t="shared" si="27"/>
        <v>108</v>
      </c>
      <c r="Z104" s="83">
        <f t="shared" si="28"/>
        <v>156</v>
      </c>
      <c r="AA104" s="80" t="s">
        <v>451</v>
      </c>
      <c r="AB104" s="83" t="s">
        <v>475</v>
      </c>
      <c r="AC104" s="83" t="s">
        <v>476</v>
      </c>
      <c r="AD104" s="83" t="s">
        <v>477</v>
      </c>
      <c r="AE104" s="80" t="s">
        <v>452</v>
      </c>
    </row>
    <row r="105" spans="1:31" ht="30" customHeight="1" x14ac:dyDescent="0.2">
      <c r="A105" s="55">
        <v>222.5</v>
      </c>
      <c r="B105" s="40">
        <f t="shared" si="47"/>
        <v>3</v>
      </c>
      <c r="C105" s="58" t="s">
        <v>491</v>
      </c>
      <c r="D105" s="41" t="str">
        <f t="shared" si="48"/>
        <v xml:space="preserve">                  Initial Coolant Inventory</v>
      </c>
      <c r="E105" s="41" t="s">
        <v>341</v>
      </c>
      <c r="F105" s="41" t="s">
        <v>492</v>
      </c>
      <c r="G105" s="41" t="s">
        <v>493</v>
      </c>
      <c r="H105" s="45"/>
      <c r="I105" s="63">
        <v>170</v>
      </c>
      <c r="J105" s="51" t="s">
        <v>174</v>
      </c>
      <c r="K105" s="61" t="s">
        <v>497</v>
      </c>
      <c r="L105" s="51"/>
      <c r="M105" s="51" t="s">
        <v>173</v>
      </c>
      <c r="N105" s="51"/>
      <c r="O105" s="68">
        <v>2024</v>
      </c>
      <c r="P105" s="51" t="s">
        <v>74</v>
      </c>
      <c r="Q105" s="61" t="s">
        <v>495</v>
      </c>
      <c r="R105" s="65" t="s">
        <v>495</v>
      </c>
      <c r="S105" s="87" t="s">
        <v>494</v>
      </c>
      <c r="T105" s="51" t="s">
        <v>496</v>
      </c>
      <c r="U105" s="80" t="s">
        <v>468</v>
      </c>
      <c r="V105" s="84">
        <f t="shared" si="25"/>
        <v>0</v>
      </c>
      <c r="W105" s="84">
        <f t="shared" ref="W105" si="49">1.5*H105</f>
        <v>0</v>
      </c>
      <c r="X105" s="80" t="s">
        <v>451</v>
      </c>
      <c r="Y105" s="83">
        <f t="shared" si="27"/>
        <v>153</v>
      </c>
      <c r="Z105" s="83">
        <f t="shared" si="28"/>
        <v>221</v>
      </c>
      <c r="AA105" s="80" t="s">
        <v>451</v>
      </c>
      <c r="AB105" s="83" t="s">
        <v>475</v>
      </c>
      <c r="AC105" s="83" t="s">
        <v>476</v>
      </c>
      <c r="AD105" s="83" t="s">
        <v>477</v>
      </c>
      <c r="AE105" s="80" t="s">
        <v>452</v>
      </c>
    </row>
    <row r="106" spans="1:31" ht="30" customHeight="1" x14ac:dyDescent="0.2">
      <c r="A106" s="55">
        <v>222.6</v>
      </c>
      <c r="B106" s="40">
        <f t="shared" si="47"/>
        <v>3</v>
      </c>
      <c r="C106" s="58" t="s">
        <v>506</v>
      </c>
      <c r="D106" s="41" t="str">
        <f t="shared" si="48"/>
        <v xml:space="preserve">                  Integrated Heat Transfer Vessel</v>
      </c>
      <c r="E106" s="41"/>
      <c r="F106" s="41" t="s">
        <v>351</v>
      </c>
      <c r="G106" s="41" t="s">
        <v>354</v>
      </c>
      <c r="H106" s="45"/>
      <c r="I106" s="63"/>
      <c r="J106" s="51"/>
      <c r="K106" s="61"/>
      <c r="L106" s="51"/>
      <c r="M106" s="51"/>
      <c r="N106" s="51"/>
      <c r="O106" s="68"/>
      <c r="P106" s="51"/>
      <c r="Q106" s="61"/>
      <c r="R106" s="65"/>
      <c r="S106" s="87"/>
      <c r="T106" s="51"/>
      <c r="U106" s="80"/>
      <c r="V106" s="84"/>
      <c r="W106" s="84"/>
      <c r="X106" s="80"/>
      <c r="Y106" s="83"/>
      <c r="Z106" s="83"/>
      <c r="AA106" s="80"/>
      <c r="AB106" s="83"/>
      <c r="AC106" s="83"/>
      <c r="AD106" s="83"/>
      <c r="AE106" s="80"/>
    </row>
    <row r="107" spans="1:31" ht="30" customHeight="1" x14ac:dyDescent="0.2">
      <c r="A107" s="55">
        <v>222.61</v>
      </c>
      <c r="B107" s="40">
        <f t="shared" si="47"/>
        <v>4</v>
      </c>
      <c r="C107" s="58" t="s">
        <v>506</v>
      </c>
      <c r="D107" s="41" t="str">
        <f t="shared" si="48"/>
        <v xml:space="preserve">                        Integrated Heat Transfer Vessel</v>
      </c>
      <c r="E107" s="41" t="s">
        <v>341</v>
      </c>
      <c r="F107" s="41" t="s">
        <v>351</v>
      </c>
      <c r="G107" s="41" t="s">
        <v>354</v>
      </c>
      <c r="H107" s="45"/>
      <c r="I107" s="63">
        <v>50</v>
      </c>
      <c r="J107" s="51" t="s">
        <v>174</v>
      </c>
      <c r="K107" s="61" t="s">
        <v>508</v>
      </c>
      <c r="L107" s="51"/>
      <c r="M107" s="51" t="s">
        <v>173</v>
      </c>
      <c r="N107" s="51"/>
      <c r="O107" s="68">
        <v>2004</v>
      </c>
      <c r="P107" s="51" t="s">
        <v>77</v>
      </c>
      <c r="Q107" s="61" t="s">
        <v>359</v>
      </c>
      <c r="R107" s="65" t="s">
        <v>360</v>
      </c>
      <c r="S107" s="87"/>
      <c r="T107" s="106" t="s">
        <v>507</v>
      </c>
      <c r="U107" s="80" t="s">
        <v>467</v>
      </c>
      <c r="V107" s="84">
        <f t="shared" si="25"/>
        <v>0</v>
      </c>
      <c r="W107" s="84">
        <f t="shared" ref="W107:W108" si="50">1.5*H107</f>
        <v>0</v>
      </c>
      <c r="X107" s="80" t="s">
        <v>451</v>
      </c>
      <c r="Y107" s="83">
        <f t="shared" ref="Y107:Y108" si="51">0.9*I107</f>
        <v>45</v>
      </c>
      <c r="Z107" s="83">
        <f t="shared" ref="Z107:Z108" si="52">1.3*I107</f>
        <v>65</v>
      </c>
      <c r="AA107" s="80" t="s">
        <v>451</v>
      </c>
      <c r="AB107" s="83" t="s">
        <v>475</v>
      </c>
      <c r="AC107" s="83" t="s">
        <v>476</v>
      </c>
      <c r="AD107" s="83" t="s">
        <v>477</v>
      </c>
      <c r="AE107" s="80" t="s">
        <v>452</v>
      </c>
    </row>
    <row r="108" spans="1:31" ht="30" customHeight="1" x14ac:dyDescent="0.2">
      <c r="A108" s="55">
        <v>222.62</v>
      </c>
      <c r="B108" s="40">
        <f t="shared" si="47"/>
        <v>4</v>
      </c>
      <c r="C108" s="58" t="s">
        <v>505</v>
      </c>
      <c r="D108" s="41" t="str">
        <f t="shared" si="48"/>
        <v xml:space="preserve">                        Integrated Heat Transfer System Support</v>
      </c>
      <c r="E108" s="41" t="s">
        <v>341</v>
      </c>
      <c r="F108" s="41" t="s">
        <v>351</v>
      </c>
      <c r="G108" s="41" t="s">
        <v>354</v>
      </c>
      <c r="H108" s="45"/>
      <c r="I108" s="63">
        <f>3171011/L108</f>
        <v>8.1938268733850137</v>
      </c>
      <c r="J108" s="51" t="s">
        <v>174</v>
      </c>
      <c r="K108" s="61" t="s">
        <v>508</v>
      </c>
      <c r="L108" s="51">
        <v>387000</v>
      </c>
      <c r="M108" s="51" t="s">
        <v>173</v>
      </c>
      <c r="N108" s="51">
        <v>0.85</v>
      </c>
      <c r="O108" s="68">
        <v>2018</v>
      </c>
      <c r="P108" s="51" t="s">
        <v>77</v>
      </c>
      <c r="Q108" s="61" t="s">
        <v>398</v>
      </c>
      <c r="R108" s="65" t="s">
        <v>360</v>
      </c>
      <c r="S108" s="87"/>
      <c r="T108" s="107"/>
      <c r="U108" s="80" t="s">
        <v>467</v>
      </c>
      <c r="V108" s="84">
        <f t="shared" si="25"/>
        <v>0</v>
      </c>
      <c r="W108" s="84">
        <f t="shared" si="50"/>
        <v>0</v>
      </c>
      <c r="X108" s="80" t="s">
        <v>451</v>
      </c>
      <c r="Y108" s="83">
        <f t="shared" si="51"/>
        <v>7.3744441860465129</v>
      </c>
      <c r="Z108" s="83">
        <f t="shared" si="52"/>
        <v>10.651974935400519</v>
      </c>
      <c r="AA108" s="80" t="s">
        <v>451</v>
      </c>
      <c r="AB108" s="83" t="s">
        <v>475</v>
      </c>
      <c r="AC108" s="83" t="s">
        <v>476</v>
      </c>
      <c r="AD108" s="83" t="s">
        <v>477</v>
      </c>
      <c r="AE108" s="80" t="s">
        <v>452</v>
      </c>
    </row>
    <row r="109" spans="1:31" ht="15" x14ac:dyDescent="0.2">
      <c r="A109" s="55">
        <v>223</v>
      </c>
      <c r="B109" s="40">
        <f t="shared" si="0"/>
        <v>2</v>
      </c>
      <c r="C109" s="58" t="s">
        <v>19</v>
      </c>
      <c r="D109" s="41" t="str">
        <f t="shared" si="1"/>
        <v xml:space="preserve">            Safety Systems</v>
      </c>
      <c r="E109" s="41"/>
      <c r="F109" s="41"/>
      <c r="G109" s="41"/>
      <c r="H109" s="45"/>
      <c r="I109" s="63"/>
      <c r="J109" s="51"/>
      <c r="K109" s="61"/>
      <c r="L109" s="51"/>
      <c r="M109" s="51"/>
      <c r="N109" s="51"/>
      <c r="O109" s="68"/>
      <c r="P109" s="51"/>
      <c r="Q109" s="61"/>
      <c r="R109" s="51"/>
      <c r="S109" s="51"/>
      <c r="T109" s="51"/>
      <c r="U109" s="80"/>
      <c r="V109" s="84"/>
      <c r="W109" s="84"/>
      <c r="X109" s="80"/>
      <c r="Y109" s="83"/>
      <c r="Z109" s="83"/>
      <c r="AA109" s="80"/>
      <c r="AB109" s="83"/>
      <c r="AC109" s="83"/>
      <c r="AD109" s="83"/>
      <c r="AE109" s="80"/>
    </row>
    <row r="110" spans="1:31" ht="15" x14ac:dyDescent="0.2">
      <c r="A110" s="55">
        <v>223.2</v>
      </c>
      <c r="B110" s="40">
        <f t="shared" si="0"/>
        <v>3</v>
      </c>
      <c r="C110" s="58" t="s">
        <v>137</v>
      </c>
      <c r="D110" s="41" t="str">
        <f t="shared" si="1"/>
        <v xml:space="preserve">                  Reactor Cavity Cooling System (Rvacs)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30" customHeight="1" x14ac:dyDescent="0.2">
      <c r="A111" s="55">
        <v>223.21</v>
      </c>
      <c r="B111" s="40">
        <f t="shared" si="0"/>
        <v>4</v>
      </c>
      <c r="C111" s="58" t="s">
        <v>138</v>
      </c>
      <c r="D111" s="41" t="str">
        <f t="shared" si="1"/>
        <v xml:space="preserve">                        Rvacs (Cooling Vessel)</v>
      </c>
      <c r="E111" s="41" t="s">
        <v>341</v>
      </c>
      <c r="F111" s="41"/>
      <c r="G111" s="47"/>
      <c r="H111" s="68"/>
      <c r="I111" s="63">
        <f>I68</f>
        <v>324.08</v>
      </c>
      <c r="J111" s="51" t="s">
        <v>174</v>
      </c>
      <c r="K111" s="61" t="s">
        <v>362</v>
      </c>
      <c r="L111" s="51"/>
      <c r="M111" s="51"/>
      <c r="N111" s="51"/>
      <c r="O111" s="68">
        <v>2017</v>
      </c>
      <c r="P111" s="51" t="s">
        <v>77</v>
      </c>
      <c r="Q111" s="61" t="s">
        <v>399</v>
      </c>
      <c r="R111" s="65" t="s">
        <v>350</v>
      </c>
      <c r="S111" s="51"/>
      <c r="T111" s="51"/>
      <c r="U111" s="80" t="s">
        <v>467</v>
      </c>
      <c r="V111" s="84">
        <f t="shared" si="25"/>
        <v>0</v>
      </c>
      <c r="W111" s="84">
        <f t="shared" si="26"/>
        <v>0</v>
      </c>
      <c r="X111" s="80" t="s">
        <v>451</v>
      </c>
      <c r="Y111" s="83">
        <f t="shared" si="27"/>
        <v>291.67199999999997</v>
      </c>
      <c r="Z111" s="83">
        <f t="shared" si="28"/>
        <v>421.30399999999997</v>
      </c>
      <c r="AA111" s="80" t="s">
        <v>451</v>
      </c>
      <c r="AB111" s="83" t="s">
        <v>475</v>
      </c>
      <c r="AC111" s="83" t="s">
        <v>476</v>
      </c>
      <c r="AD111" s="83" t="s">
        <v>477</v>
      </c>
      <c r="AE111" s="80" t="s">
        <v>452</v>
      </c>
    </row>
    <row r="112" spans="1:31" ht="30" customHeight="1" x14ac:dyDescent="0.2">
      <c r="A112" s="55">
        <v>223.22</v>
      </c>
      <c r="B112" s="40">
        <f t="shared" si="0"/>
        <v>4</v>
      </c>
      <c r="C112" s="58" t="s">
        <v>139</v>
      </c>
      <c r="D112" s="41" t="str">
        <f>REPT("   ", B112*2) &amp; C112</f>
        <v xml:space="preserve">                        Rvacs (Intake Vessel)</v>
      </c>
      <c r="E112" s="41" t="s">
        <v>341</v>
      </c>
      <c r="F112" s="41"/>
      <c r="G112" s="47"/>
      <c r="H112" s="68"/>
      <c r="I112" s="63">
        <f>I111</f>
        <v>324.08</v>
      </c>
      <c r="J112" s="51" t="s">
        <v>174</v>
      </c>
      <c r="K112" s="61" t="s">
        <v>363</v>
      </c>
      <c r="L112" s="51"/>
      <c r="M112" s="51"/>
      <c r="N112" s="51"/>
      <c r="O112" s="68">
        <v>2017</v>
      </c>
      <c r="P112" s="51" t="s">
        <v>77</v>
      </c>
      <c r="Q112" s="61" t="s">
        <v>399</v>
      </c>
      <c r="R112" s="65" t="s">
        <v>350</v>
      </c>
      <c r="S112" s="51"/>
      <c r="T112" s="51"/>
      <c r="U112" s="80" t="s">
        <v>467</v>
      </c>
      <c r="V112" s="84">
        <f t="shared" si="25"/>
        <v>0</v>
      </c>
      <c r="W112" s="84">
        <f t="shared" si="26"/>
        <v>0</v>
      </c>
      <c r="X112" s="80" t="s">
        <v>451</v>
      </c>
      <c r="Y112" s="83">
        <f t="shared" si="27"/>
        <v>291.67199999999997</v>
      </c>
      <c r="Z112" s="83">
        <f t="shared" si="28"/>
        <v>421.30399999999997</v>
      </c>
      <c r="AA112" s="80" t="s">
        <v>451</v>
      </c>
      <c r="AB112" s="83" t="s">
        <v>475</v>
      </c>
      <c r="AC112" s="83" t="s">
        <v>476</v>
      </c>
      <c r="AD112" s="83" t="s">
        <v>477</v>
      </c>
      <c r="AE112" s="80" t="s">
        <v>452</v>
      </c>
    </row>
    <row r="113" spans="1:31" ht="30" customHeight="1" x14ac:dyDescent="0.2">
      <c r="A113" s="55">
        <v>226</v>
      </c>
      <c r="B113" s="40">
        <f t="shared" si="0"/>
        <v>2</v>
      </c>
      <c r="C113" s="58" t="s">
        <v>208</v>
      </c>
      <c r="D113" s="41" t="str">
        <f>REPT("   ", B113*2) &amp; C113</f>
        <v xml:space="preserve">            Other Reactor Plant Equipment</v>
      </c>
      <c r="E113" s="41" t="s">
        <v>341</v>
      </c>
      <c r="F113" s="41" t="s">
        <v>351</v>
      </c>
      <c r="G113" s="47" t="s">
        <v>414</v>
      </c>
      <c r="H113" s="63">
        <f>MARVEL_Cost!C42</f>
        <v>456297</v>
      </c>
      <c r="I113" s="63"/>
      <c r="J113" s="51"/>
      <c r="K113" s="61"/>
      <c r="L113" s="51"/>
      <c r="M113" s="51"/>
      <c r="N113" s="51"/>
      <c r="O113" s="68">
        <v>2024</v>
      </c>
      <c r="P113" s="51" t="s">
        <v>74</v>
      </c>
      <c r="Q113" s="61" t="s">
        <v>364</v>
      </c>
      <c r="R113" s="51"/>
      <c r="S113" s="51"/>
      <c r="T113" s="51"/>
      <c r="U113" s="80" t="s">
        <v>467</v>
      </c>
      <c r="V113" s="84">
        <f t="shared" si="25"/>
        <v>410667.3</v>
      </c>
      <c r="W113" s="84">
        <f t="shared" si="26"/>
        <v>684445.5</v>
      </c>
      <c r="X113" s="80" t="s">
        <v>451</v>
      </c>
      <c r="Y113" s="83">
        <f t="shared" si="27"/>
        <v>0</v>
      </c>
      <c r="Z113" s="83">
        <f t="shared" si="28"/>
        <v>0</v>
      </c>
      <c r="AA113" s="80" t="s">
        <v>451</v>
      </c>
      <c r="AB113" s="83" t="s">
        <v>475</v>
      </c>
      <c r="AC113" s="83" t="s">
        <v>476</v>
      </c>
      <c r="AD113" s="83" t="s">
        <v>477</v>
      </c>
      <c r="AE113" s="80" t="s">
        <v>452</v>
      </c>
    </row>
    <row r="114" spans="1:31" ht="30" customHeight="1" x14ac:dyDescent="0.2">
      <c r="A114" s="55">
        <v>226</v>
      </c>
      <c r="B114" s="40">
        <v>2</v>
      </c>
      <c r="C114" s="58" t="s">
        <v>208</v>
      </c>
      <c r="D114" s="41" t="str">
        <f>REPT("   ", B114*2) &amp; C114</f>
        <v xml:space="preserve">            Other Reactor Plant Equipment</v>
      </c>
      <c r="E114" s="41" t="s">
        <v>341</v>
      </c>
      <c r="F114" s="41" t="s">
        <v>351</v>
      </c>
      <c r="G114" s="47" t="s">
        <v>354</v>
      </c>
      <c r="H114" s="63"/>
      <c r="I114" s="63">
        <f>8844770/L114*8.15527886031535</f>
        <v>118207.77405377067</v>
      </c>
      <c r="J114" s="51" t="s">
        <v>413</v>
      </c>
      <c r="K114" s="61" t="s">
        <v>438</v>
      </c>
      <c r="L114" s="51">
        <v>610.21</v>
      </c>
      <c r="M114" s="51" t="s">
        <v>415</v>
      </c>
      <c r="N114" s="51">
        <v>0.6</v>
      </c>
      <c r="O114" s="68">
        <v>2023</v>
      </c>
      <c r="P114" s="51" t="s">
        <v>77</v>
      </c>
      <c r="Q114" s="61" t="s">
        <v>416</v>
      </c>
      <c r="R114" s="51" t="s">
        <v>417</v>
      </c>
      <c r="S114" s="78" t="s">
        <v>418</v>
      </c>
      <c r="T114" s="51" t="s">
        <v>419</v>
      </c>
      <c r="U114" s="80" t="s">
        <v>467</v>
      </c>
      <c r="V114" s="84">
        <f t="shared" si="25"/>
        <v>0</v>
      </c>
      <c r="W114" s="84">
        <f t="shared" si="26"/>
        <v>0</v>
      </c>
      <c r="X114" s="80" t="s">
        <v>451</v>
      </c>
      <c r="Y114" s="83">
        <f t="shared" si="27"/>
        <v>106386.9966483936</v>
      </c>
      <c r="Z114" s="83">
        <f t="shared" si="28"/>
        <v>153670.10626990188</v>
      </c>
      <c r="AA114" s="80" t="s">
        <v>451</v>
      </c>
      <c r="AB114" s="83" t="s">
        <v>475</v>
      </c>
      <c r="AC114" s="83" t="s">
        <v>476</v>
      </c>
      <c r="AD114" s="83" t="s">
        <v>477</v>
      </c>
      <c r="AE114" s="80" t="s">
        <v>452</v>
      </c>
    </row>
    <row r="115" spans="1:31" ht="43" x14ac:dyDescent="0.2">
      <c r="A115" s="55">
        <v>227</v>
      </c>
      <c r="B115" s="40">
        <f t="shared" ref="B115:B165" si="53">IF(ISNUMBER(A115),
    IF(AND(A115=INT(A115), MOD(A115, 10) = 0), 0,
        IF(AND(A115=INT(A115), LEN(A115)=2), 1,
            IF(AND(A115=INT(A115), LEN(A115)=3), 2,
                LEN(A115) - FIND(".", A115) + 2)
        )
    ),
"")</f>
        <v>2</v>
      </c>
      <c r="C115" s="58" t="s">
        <v>20</v>
      </c>
      <c r="D115" s="41" t="str">
        <f t="shared" ref="D115:D165" si="54">REPT("   ", B115*2) &amp; C115</f>
        <v xml:space="preserve">            Reactor Instrumentation and Control (I&amp;C)</v>
      </c>
      <c r="E115" s="41" t="s">
        <v>341</v>
      </c>
      <c r="F115" s="41"/>
      <c r="G115" s="47"/>
      <c r="H115" s="63">
        <v>8500000</v>
      </c>
      <c r="I115" s="63"/>
      <c r="J115" s="51"/>
      <c r="K115" s="61"/>
      <c r="L115" s="51"/>
      <c r="M115" s="51"/>
      <c r="N115" s="51"/>
      <c r="O115" s="68">
        <v>2023</v>
      </c>
      <c r="P115" s="51" t="s">
        <v>85</v>
      </c>
      <c r="Q115" s="61" t="s">
        <v>420</v>
      </c>
      <c r="R115" s="61" t="s">
        <v>426</v>
      </c>
      <c r="S115" s="78" t="s">
        <v>421</v>
      </c>
      <c r="T115" s="51" t="s">
        <v>437</v>
      </c>
      <c r="U115" s="80" t="s">
        <v>467</v>
      </c>
      <c r="V115" s="84">
        <f t="shared" si="25"/>
        <v>7650000</v>
      </c>
      <c r="W115" s="84">
        <f t="shared" si="26"/>
        <v>12750000</v>
      </c>
      <c r="X115" s="80" t="s">
        <v>451</v>
      </c>
      <c r="Y115" s="83">
        <f t="shared" si="27"/>
        <v>0</v>
      </c>
      <c r="Z115" s="83">
        <f t="shared" si="28"/>
        <v>0</v>
      </c>
      <c r="AA115" s="80" t="s">
        <v>451</v>
      </c>
      <c r="AB115" s="83" t="s">
        <v>475</v>
      </c>
      <c r="AC115" s="83" t="s">
        <v>476</v>
      </c>
      <c r="AD115" s="83" t="s">
        <v>477</v>
      </c>
      <c r="AE115" s="80" t="s">
        <v>452</v>
      </c>
    </row>
    <row r="116" spans="1:31" ht="15" x14ac:dyDescent="0.2">
      <c r="A116" s="55">
        <v>228</v>
      </c>
      <c r="B116" s="40">
        <f t="shared" si="53"/>
        <v>2</v>
      </c>
      <c r="C116" s="58" t="s">
        <v>211</v>
      </c>
      <c r="D116" s="41" t="str">
        <f t="shared" si="54"/>
        <v xml:space="preserve">            Reactor Plant Miscellaneous Items</v>
      </c>
      <c r="E116" s="41" t="s">
        <v>341</v>
      </c>
      <c r="F116" s="41"/>
      <c r="G116" s="47"/>
      <c r="H116" s="63">
        <f>MARVEL_Cost!C44</f>
        <v>30960</v>
      </c>
      <c r="I116" s="63"/>
      <c r="J116" s="51"/>
      <c r="K116" s="61"/>
      <c r="L116" s="51"/>
      <c r="M116" s="51"/>
      <c r="N116" s="51"/>
      <c r="O116" s="68">
        <v>2024</v>
      </c>
      <c r="P116" s="51" t="s">
        <v>77</v>
      </c>
      <c r="Q116" s="61" t="s">
        <v>364</v>
      </c>
      <c r="R116" s="51"/>
      <c r="S116" s="51"/>
      <c r="T116" s="51"/>
      <c r="U116" s="80" t="s">
        <v>467</v>
      </c>
      <c r="V116" s="84">
        <f t="shared" si="25"/>
        <v>27864</v>
      </c>
      <c r="W116" s="84">
        <f t="shared" si="26"/>
        <v>46440</v>
      </c>
      <c r="X116" s="80" t="s">
        <v>451</v>
      </c>
      <c r="Y116" s="83">
        <f t="shared" si="27"/>
        <v>0</v>
      </c>
      <c r="Z116" s="83">
        <f t="shared" si="28"/>
        <v>0</v>
      </c>
      <c r="AA116" s="80" t="s">
        <v>451</v>
      </c>
      <c r="AB116" s="83" t="s">
        <v>475</v>
      </c>
      <c r="AC116" s="83" t="s">
        <v>476</v>
      </c>
      <c r="AD116" s="83" t="s">
        <v>477</v>
      </c>
      <c r="AE116" s="80" t="s">
        <v>452</v>
      </c>
    </row>
    <row r="117" spans="1:31" ht="15" x14ac:dyDescent="0.2">
      <c r="A117" s="39">
        <v>23</v>
      </c>
      <c r="B117" s="40">
        <f t="shared" si="53"/>
        <v>1</v>
      </c>
      <c r="C117" s="58" t="s">
        <v>21</v>
      </c>
      <c r="D117" s="41" t="str">
        <f t="shared" si="54"/>
        <v xml:space="preserve">      Energy Conversion System </v>
      </c>
      <c r="E117" s="41"/>
      <c r="F117" s="41"/>
      <c r="G117" s="47"/>
      <c r="H117" s="68"/>
      <c r="I117" s="63"/>
      <c r="J117" s="51"/>
      <c r="K117" s="61"/>
      <c r="L117" s="51"/>
      <c r="M117" s="51"/>
      <c r="N117" s="51"/>
      <c r="O117" s="68"/>
      <c r="P117" s="51"/>
      <c r="Q117" s="61"/>
      <c r="R117" s="51"/>
      <c r="S117" s="51"/>
      <c r="T117" s="51"/>
      <c r="U117" s="80"/>
      <c r="V117" s="84"/>
      <c r="W117" s="84"/>
      <c r="X117" s="80"/>
      <c r="Y117" s="83"/>
      <c r="Z117" s="83"/>
      <c r="AA117" s="80"/>
      <c r="AB117" s="83"/>
      <c r="AC117" s="83"/>
      <c r="AD117" s="83"/>
      <c r="AE117" s="80"/>
    </row>
    <row r="118" spans="1:31" ht="15" x14ac:dyDescent="0.2">
      <c r="A118" s="55">
        <v>232</v>
      </c>
      <c r="B118" s="40">
        <f t="shared" si="53"/>
        <v>2</v>
      </c>
      <c r="C118" s="58" t="s">
        <v>22</v>
      </c>
      <c r="D118" s="41" t="str">
        <f t="shared" si="54"/>
        <v xml:space="preserve">            Energy Applications</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5" x14ac:dyDescent="0.2">
      <c r="A119" s="55">
        <v>232.1</v>
      </c>
      <c r="B119" s="40">
        <f t="shared" si="53"/>
        <v>3</v>
      </c>
      <c r="C119" s="58" t="s">
        <v>213</v>
      </c>
      <c r="D119" s="41" t="str">
        <f>REPT("   ", B119*2) &amp; C119</f>
        <v xml:space="preserve">                  Electricity Generation Systems</v>
      </c>
      <c r="E119" s="41" t="s">
        <v>341</v>
      </c>
      <c r="F119" s="41"/>
      <c r="G119" s="47"/>
      <c r="H119" s="68"/>
      <c r="I119" s="70">
        <v>12504</v>
      </c>
      <c r="J119" s="51" t="s">
        <v>422</v>
      </c>
      <c r="K119" s="47" t="s">
        <v>443</v>
      </c>
      <c r="L119" s="51">
        <v>1</v>
      </c>
      <c r="M119" s="51"/>
      <c r="N119" s="47">
        <v>0.77700000000000002</v>
      </c>
      <c r="O119" s="68">
        <v>2023</v>
      </c>
      <c r="P119" s="51" t="s">
        <v>77</v>
      </c>
      <c r="Q119" s="61" t="s">
        <v>423</v>
      </c>
      <c r="R119" s="61" t="s">
        <v>423</v>
      </c>
      <c r="S119" s="78" t="s">
        <v>424</v>
      </c>
      <c r="T119" s="51"/>
      <c r="U119" s="80" t="s">
        <v>541</v>
      </c>
      <c r="V119" s="84">
        <f t="shared" si="25"/>
        <v>0</v>
      </c>
      <c r="W119" s="84">
        <f t="shared" si="26"/>
        <v>0</v>
      </c>
      <c r="X119" s="80" t="s">
        <v>451</v>
      </c>
      <c r="Y119" s="83">
        <f t="shared" si="27"/>
        <v>11253.6</v>
      </c>
      <c r="Z119" s="83">
        <f t="shared" si="28"/>
        <v>16255.2</v>
      </c>
      <c r="AA119" s="80" t="s">
        <v>451</v>
      </c>
      <c r="AB119" s="83" t="s">
        <v>475</v>
      </c>
      <c r="AC119" s="83" t="s">
        <v>476</v>
      </c>
      <c r="AD119" s="83" t="s">
        <v>477</v>
      </c>
      <c r="AE119" s="80" t="s">
        <v>452</v>
      </c>
    </row>
    <row r="120" spans="1:31" ht="43" x14ac:dyDescent="0.2">
      <c r="A120" s="55">
        <v>236</v>
      </c>
      <c r="B120" s="40">
        <f t="shared" si="53"/>
        <v>2</v>
      </c>
      <c r="C120" s="58" t="s">
        <v>425</v>
      </c>
      <c r="D120" s="41" t="str">
        <f>REPT("   ", B120*2) &amp; C120</f>
        <v xml:space="preserve">            Common Instrumentation &amp; Controls</v>
      </c>
      <c r="E120" s="41" t="s">
        <v>341</v>
      </c>
      <c r="F120" s="41"/>
      <c r="G120" s="47"/>
      <c r="H120" s="70">
        <v>1000000</v>
      </c>
      <c r="I120" s="70"/>
      <c r="J120" s="51"/>
      <c r="K120" s="47"/>
      <c r="L120" s="51"/>
      <c r="M120" s="51"/>
      <c r="N120" s="47"/>
      <c r="O120" s="68">
        <v>2023</v>
      </c>
      <c r="P120" s="51" t="s">
        <v>77</v>
      </c>
      <c r="Q120" s="61" t="s">
        <v>420</v>
      </c>
      <c r="R120" s="61" t="s">
        <v>426</v>
      </c>
      <c r="S120" s="78" t="s">
        <v>421</v>
      </c>
      <c r="T120" s="51"/>
      <c r="U120" s="80" t="s">
        <v>467</v>
      </c>
      <c r="V120" s="84">
        <f t="shared" si="25"/>
        <v>900000</v>
      </c>
      <c r="W120" s="84">
        <f t="shared" si="26"/>
        <v>1500000</v>
      </c>
      <c r="X120" s="80" t="s">
        <v>470</v>
      </c>
      <c r="Y120" s="83">
        <f t="shared" si="27"/>
        <v>0</v>
      </c>
      <c r="Z120" s="83">
        <f t="shared" si="28"/>
        <v>0</v>
      </c>
      <c r="AA120" s="80" t="s">
        <v>470</v>
      </c>
      <c r="AB120" s="83" t="s">
        <v>470</v>
      </c>
      <c r="AC120" s="83" t="s">
        <v>470</v>
      </c>
      <c r="AD120" s="83" t="s">
        <v>470</v>
      </c>
      <c r="AE120" s="80" t="s">
        <v>470</v>
      </c>
    </row>
    <row r="121" spans="1:31" ht="15" x14ac:dyDescent="0.2">
      <c r="A121" s="39">
        <v>24</v>
      </c>
      <c r="B121" s="40">
        <f t="shared" si="53"/>
        <v>1</v>
      </c>
      <c r="C121" s="58" t="s">
        <v>23</v>
      </c>
      <c r="D121" s="41" t="str">
        <f t="shared" si="54"/>
        <v xml:space="preserve">      Electrical Equipment</v>
      </c>
      <c r="E121" s="41"/>
      <c r="F121" s="41"/>
      <c r="G121" s="47"/>
      <c r="H121" s="68"/>
      <c r="I121" s="63"/>
      <c r="J121" s="51"/>
      <c r="K121" s="61"/>
      <c r="L121" s="51"/>
      <c r="M121" s="51"/>
      <c r="N121" s="51"/>
      <c r="O121" s="68"/>
      <c r="P121" s="51"/>
      <c r="Q121" s="61"/>
      <c r="R121" s="51"/>
      <c r="S121" s="51"/>
      <c r="T121" s="51"/>
      <c r="U121" s="80"/>
      <c r="V121" s="84"/>
      <c r="W121" s="84"/>
      <c r="X121" s="80"/>
      <c r="Y121" s="83"/>
      <c r="Z121" s="83"/>
      <c r="AA121" s="80"/>
      <c r="AB121" s="83"/>
      <c r="AC121" s="83"/>
      <c r="AD121" s="83"/>
      <c r="AE121" s="80"/>
    </row>
    <row r="122" spans="1:31" ht="15" x14ac:dyDescent="0.2">
      <c r="A122" s="39">
        <v>241</v>
      </c>
      <c r="B122" s="40">
        <f t="shared" si="53"/>
        <v>2</v>
      </c>
      <c r="C122" s="79" t="s">
        <v>428</v>
      </c>
      <c r="D122" s="41" t="str">
        <f t="shared" si="54"/>
        <v xml:space="preserve">            Switchgear</v>
      </c>
      <c r="E122" s="41" t="s">
        <v>341</v>
      </c>
      <c r="F122" s="41"/>
      <c r="G122" s="47"/>
      <c r="H122" s="68"/>
      <c r="I122" s="63">
        <f>14424707.2061682/L122</f>
        <v>12609.009795601574</v>
      </c>
      <c r="J122" s="51" t="s">
        <v>67</v>
      </c>
      <c r="K122" s="47" t="s">
        <v>71</v>
      </c>
      <c r="L122" s="51">
        <v>1144</v>
      </c>
      <c r="M122" s="51" t="s">
        <v>69</v>
      </c>
      <c r="N122" s="47">
        <v>0.6</v>
      </c>
      <c r="O122" s="68">
        <v>2018</v>
      </c>
      <c r="P122" s="51" t="s">
        <v>77</v>
      </c>
      <c r="Q122" s="102" t="s">
        <v>427</v>
      </c>
      <c r="R122" s="102" t="s">
        <v>365</v>
      </c>
      <c r="S122" s="51"/>
      <c r="T122" s="51"/>
      <c r="U122" s="80" t="s">
        <v>541</v>
      </c>
      <c r="V122" s="84">
        <f t="shared" si="25"/>
        <v>0</v>
      </c>
      <c r="W122" s="84">
        <f t="shared" si="26"/>
        <v>0</v>
      </c>
      <c r="X122" s="80" t="s">
        <v>470</v>
      </c>
      <c r="Y122" s="83">
        <f t="shared" si="27"/>
        <v>11348.108816041417</v>
      </c>
      <c r="Z122" s="83">
        <f t="shared" si="28"/>
        <v>16391.712734282046</v>
      </c>
      <c r="AA122" s="80" t="s">
        <v>470</v>
      </c>
      <c r="AB122" s="83" t="s">
        <v>470</v>
      </c>
      <c r="AC122" s="83" t="s">
        <v>470</v>
      </c>
      <c r="AD122" s="83" t="s">
        <v>470</v>
      </c>
      <c r="AE122" s="80" t="s">
        <v>470</v>
      </c>
    </row>
    <row r="123" spans="1:31" ht="15" x14ac:dyDescent="0.2">
      <c r="A123" s="39">
        <v>242</v>
      </c>
      <c r="B123" s="40">
        <f t="shared" si="53"/>
        <v>2</v>
      </c>
      <c r="C123" s="79" t="s">
        <v>429</v>
      </c>
      <c r="D123" s="41" t="str">
        <f t="shared" si="54"/>
        <v xml:space="preserve">            Station Service Equipment</v>
      </c>
      <c r="E123" s="41" t="s">
        <v>341</v>
      </c>
      <c r="F123" s="41"/>
      <c r="G123" s="47"/>
      <c r="H123" s="68"/>
      <c r="I123" s="63">
        <f>11992641.3775456/L122</f>
        <v>10483.078127225175</v>
      </c>
      <c r="J123" s="51" t="s">
        <v>67</v>
      </c>
      <c r="K123" s="47" t="s">
        <v>71</v>
      </c>
      <c r="L123" s="51">
        <v>1144</v>
      </c>
      <c r="M123" s="51" t="s">
        <v>69</v>
      </c>
      <c r="N123" s="47">
        <v>0.6</v>
      </c>
      <c r="O123" s="68">
        <v>2018</v>
      </c>
      <c r="P123" s="51" t="s">
        <v>77</v>
      </c>
      <c r="Q123" s="102"/>
      <c r="R123" s="102"/>
      <c r="S123" s="51"/>
      <c r="T123" s="51"/>
      <c r="U123" s="80" t="s">
        <v>541</v>
      </c>
      <c r="V123" s="84">
        <f t="shared" si="25"/>
        <v>0</v>
      </c>
      <c r="W123" s="84">
        <f t="shared" si="26"/>
        <v>0</v>
      </c>
      <c r="X123" s="80" t="s">
        <v>470</v>
      </c>
      <c r="Y123" s="83">
        <f t="shared" si="27"/>
        <v>9434.7703145026571</v>
      </c>
      <c r="Z123" s="83">
        <f t="shared" si="28"/>
        <v>13628.001565392728</v>
      </c>
      <c r="AA123" s="80" t="s">
        <v>470</v>
      </c>
      <c r="AB123" s="83" t="s">
        <v>470</v>
      </c>
      <c r="AC123" s="83" t="s">
        <v>470</v>
      </c>
      <c r="AD123" s="83" t="s">
        <v>470</v>
      </c>
      <c r="AE123" s="80" t="s">
        <v>470</v>
      </c>
    </row>
    <row r="124" spans="1:31" ht="15" x14ac:dyDescent="0.2">
      <c r="A124" s="39">
        <v>243</v>
      </c>
      <c r="B124" s="40">
        <f t="shared" si="53"/>
        <v>2</v>
      </c>
      <c r="C124" s="79" t="s">
        <v>430</v>
      </c>
      <c r="D124" s="41" t="str">
        <f t="shared" si="54"/>
        <v xml:space="preserve">            Switchboards</v>
      </c>
      <c r="E124" s="41" t="s">
        <v>341</v>
      </c>
      <c r="F124" s="41"/>
      <c r="G124" s="47"/>
      <c r="H124" s="68"/>
      <c r="I124" s="63">
        <f>3894246.37400843/L122</f>
        <v>3404.0615157416346</v>
      </c>
      <c r="J124" s="51" t="s">
        <v>67</v>
      </c>
      <c r="K124" s="47" t="s">
        <v>71</v>
      </c>
      <c r="L124" s="51">
        <v>1144</v>
      </c>
      <c r="M124" s="51" t="s">
        <v>69</v>
      </c>
      <c r="N124" s="47">
        <v>0.6</v>
      </c>
      <c r="O124" s="68">
        <v>2018</v>
      </c>
      <c r="P124" s="51" t="s">
        <v>77</v>
      </c>
      <c r="Q124" s="102"/>
      <c r="R124" s="102"/>
      <c r="S124" s="51"/>
      <c r="T124" s="51"/>
      <c r="U124" s="80" t="s">
        <v>541</v>
      </c>
      <c r="V124" s="84">
        <f t="shared" si="25"/>
        <v>0</v>
      </c>
      <c r="W124" s="84">
        <f t="shared" si="26"/>
        <v>0</v>
      </c>
      <c r="X124" s="80" t="s">
        <v>470</v>
      </c>
      <c r="Y124" s="83">
        <f t="shared" si="27"/>
        <v>3063.6553641674714</v>
      </c>
      <c r="Z124" s="83">
        <f t="shared" si="28"/>
        <v>4425.2799704641247</v>
      </c>
      <c r="AA124" s="80" t="s">
        <v>470</v>
      </c>
      <c r="AB124" s="83" t="s">
        <v>470</v>
      </c>
      <c r="AC124" s="83" t="s">
        <v>470</v>
      </c>
      <c r="AD124" s="83" t="s">
        <v>470</v>
      </c>
      <c r="AE124" s="80" t="s">
        <v>470</v>
      </c>
    </row>
    <row r="125" spans="1:31" ht="15" x14ac:dyDescent="0.2">
      <c r="A125" s="39">
        <v>244</v>
      </c>
      <c r="B125" s="40">
        <f t="shared" si="53"/>
        <v>2</v>
      </c>
      <c r="C125" s="79" t="s">
        <v>431</v>
      </c>
      <c r="D125" s="41" t="str">
        <f t="shared" si="54"/>
        <v xml:space="preserve">            Protective Equipment</v>
      </c>
      <c r="E125" s="41" t="s">
        <v>341</v>
      </c>
      <c r="F125" s="41"/>
      <c r="G125" s="47"/>
      <c r="H125" s="68"/>
      <c r="I125" s="63">
        <f>11183911.9256997/L122</f>
        <v>9776.1467881990375</v>
      </c>
      <c r="J125" s="51" t="s">
        <v>67</v>
      </c>
      <c r="K125" s="47" t="s">
        <v>71</v>
      </c>
      <c r="L125" s="51">
        <v>1144</v>
      </c>
      <c r="M125" s="51" t="s">
        <v>69</v>
      </c>
      <c r="N125" s="47">
        <v>0.6</v>
      </c>
      <c r="O125" s="68">
        <v>2018</v>
      </c>
      <c r="P125" s="51" t="s">
        <v>77</v>
      </c>
      <c r="Q125" s="102"/>
      <c r="R125" s="102"/>
      <c r="S125" s="51"/>
      <c r="T125" s="51"/>
      <c r="U125" s="80" t="s">
        <v>541</v>
      </c>
      <c r="V125" s="84">
        <f t="shared" si="25"/>
        <v>0</v>
      </c>
      <c r="W125" s="84">
        <f t="shared" si="26"/>
        <v>0</v>
      </c>
      <c r="X125" s="80" t="s">
        <v>470</v>
      </c>
      <c r="Y125" s="83">
        <f t="shared" si="27"/>
        <v>8798.5321093791335</v>
      </c>
      <c r="Z125" s="83">
        <f t="shared" si="28"/>
        <v>12708.990824658749</v>
      </c>
      <c r="AA125" s="80" t="s">
        <v>470</v>
      </c>
      <c r="AB125" s="83" t="s">
        <v>470</v>
      </c>
      <c r="AC125" s="83" t="s">
        <v>470</v>
      </c>
      <c r="AD125" s="83" t="s">
        <v>470</v>
      </c>
      <c r="AE125" s="80" t="s">
        <v>470</v>
      </c>
    </row>
    <row r="126" spans="1:31" ht="15" x14ac:dyDescent="0.2">
      <c r="A126" s="39">
        <v>245</v>
      </c>
      <c r="B126" s="40">
        <f t="shared" si="53"/>
        <v>2</v>
      </c>
      <c r="C126" s="79" t="s">
        <v>432</v>
      </c>
      <c r="D126" s="41" t="str">
        <f t="shared" si="54"/>
        <v xml:space="preserve">            Electrical Structure &amp; Wiring Container</v>
      </c>
      <c r="E126" s="41" t="s">
        <v>341</v>
      </c>
      <c r="F126" s="41"/>
      <c r="G126" s="47"/>
      <c r="H126" s="68"/>
      <c r="I126" s="63">
        <f>60312483.673456/L122</f>
        <v>52720.70251176224</v>
      </c>
      <c r="J126" s="51" t="s">
        <v>67</v>
      </c>
      <c r="K126" s="47" t="s">
        <v>71</v>
      </c>
      <c r="L126" s="51">
        <v>1144</v>
      </c>
      <c r="M126" s="51" t="s">
        <v>69</v>
      </c>
      <c r="N126" s="47">
        <v>0.6</v>
      </c>
      <c r="O126" s="68">
        <v>2018</v>
      </c>
      <c r="P126" s="51" t="s">
        <v>77</v>
      </c>
      <c r="Q126" s="102"/>
      <c r="R126" s="102"/>
      <c r="S126" s="51"/>
      <c r="T126" s="51"/>
      <c r="U126" s="80" t="s">
        <v>541</v>
      </c>
      <c r="V126" s="84">
        <f t="shared" si="25"/>
        <v>0</v>
      </c>
      <c r="W126" s="84">
        <f t="shared" si="26"/>
        <v>0</v>
      </c>
      <c r="X126" s="80" t="s">
        <v>470</v>
      </c>
      <c r="Y126" s="83">
        <f t="shared" si="27"/>
        <v>47448.632260586019</v>
      </c>
      <c r="Z126" s="83">
        <f t="shared" si="28"/>
        <v>68536.913265290917</v>
      </c>
      <c r="AA126" s="80" t="s">
        <v>470</v>
      </c>
      <c r="AB126" s="83" t="s">
        <v>470</v>
      </c>
      <c r="AC126" s="83" t="s">
        <v>470</v>
      </c>
      <c r="AD126" s="83" t="s">
        <v>470</v>
      </c>
      <c r="AE126" s="80" t="s">
        <v>470</v>
      </c>
    </row>
    <row r="127" spans="1:31" ht="15" x14ac:dyDescent="0.2">
      <c r="A127" s="39">
        <v>246</v>
      </c>
      <c r="B127" s="40">
        <f t="shared" si="53"/>
        <v>2</v>
      </c>
      <c r="C127" s="79" t="s">
        <v>433</v>
      </c>
      <c r="D127" s="41" t="str">
        <f t="shared" si="54"/>
        <v xml:space="preserve">            Power &amp; Control Wiring</v>
      </c>
      <c r="E127" s="41" t="s">
        <v>341</v>
      </c>
      <c r="F127" s="41"/>
      <c r="G127" s="47"/>
      <c r="H127" s="68"/>
      <c r="I127" s="63">
        <f>45613077.4753702/L122</f>
        <v>39871.571219729194</v>
      </c>
      <c r="J127" s="51" t="s">
        <v>67</v>
      </c>
      <c r="K127" s="47" t="s">
        <v>71</v>
      </c>
      <c r="L127" s="51">
        <v>1144</v>
      </c>
      <c r="M127" s="51" t="s">
        <v>69</v>
      </c>
      <c r="N127" s="47">
        <v>0.6</v>
      </c>
      <c r="O127" s="68">
        <v>2018</v>
      </c>
      <c r="P127" s="51" t="s">
        <v>77</v>
      </c>
      <c r="Q127" s="102"/>
      <c r="R127" s="102"/>
      <c r="S127" s="51"/>
      <c r="T127" s="51"/>
      <c r="U127" s="80" t="s">
        <v>541</v>
      </c>
      <c r="V127" s="84">
        <f t="shared" si="25"/>
        <v>0</v>
      </c>
      <c r="W127" s="84">
        <f t="shared" si="26"/>
        <v>0</v>
      </c>
      <c r="X127" s="80" t="s">
        <v>470</v>
      </c>
      <c r="Y127" s="83">
        <f t="shared" si="27"/>
        <v>35884.414097756278</v>
      </c>
      <c r="Z127" s="83">
        <f t="shared" si="28"/>
        <v>51833.042585647956</v>
      </c>
      <c r="AA127" s="80" t="s">
        <v>470</v>
      </c>
      <c r="AB127" s="83" t="s">
        <v>470</v>
      </c>
      <c r="AC127" s="83" t="s">
        <v>470</v>
      </c>
      <c r="AD127" s="83" t="s">
        <v>470</v>
      </c>
      <c r="AE127" s="80" t="s">
        <v>470</v>
      </c>
    </row>
    <row r="128" spans="1:31" ht="15" x14ac:dyDescent="0.2">
      <c r="A128" s="39">
        <v>25</v>
      </c>
      <c r="B128" s="40">
        <f t="shared" si="53"/>
        <v>1</v>
      </c>
      <c r="C128" s="58" t="s">
        <v>24</v>
      </c>
      <c r="D128" s="41" t="str">
        <f t="shared" si="54"/>
        <v xml:space="preserve">      Initial Fuel Inventory</v>
      </c>
      <c r="E128" s="41"/>
      <c r="F128" s="41"/>
      <c r="G128" s="47"/>
      <c r="H128" s="68"/>
      <c r="I128" s="63"/>
      <c r="J128" s="51"/>
      <c r="K128" s="61"/>
      <c r="L128" s="51"/>
      <c r="M128" s="51"/>
      <c r="N128" s="51"/>
      <c r="O128" s="68"/>
      <c r="P128" s="51"/>
      <c r="Q128" s="61"/>
      <c r="R128" s="51"/>
      <c r="S128" s="51"/>
      <c r="T128" s="51"/>
      <c r="U128" s="80"/>
      <c r="V128" s="84"/>
      <c r="W128" s="84"/>
      <c r="X128" s="80"/>
      <c r="Y128" s="83"/>
      <c r="Z128" s="83"/>
      <c r="AA128" s="80"/>
      <c r="AB128" s="83"/>
      <c r="AC128" s="83"/>
      <c r="AD128" s="83"/>
      <c r="AE128" s="80"/>
    </row>
    <row r="129" spans="1:31" ht="16.25" customHeight="1" x14ac:dyDescent="0.2">
      <c r="A129" s="55">
        <v>251</v>
      </c>
      <c r="B129" s="40">
        <f t="shared" si="53"/>
        <v>2</v>
      </c>
      <c r="C129" s="58" t="s">
        <v>25</v>
      </c>
      <c r="D129" s="41" t="str">
        <f t="shared" si="54"/>
        <v xml:space="preserve">            First Core Mining</v>
      </c>
      <c r="E129" s="41" t="s">
        <v>341</v>
      </c>
      <c r="F129" s="41"/>
      <c r="G129" s="47"/>
      <c r="H129" s="68"/>
      <c r="I129" s="68">
        <v>184</v>
      </c>
      <c r="J129" s="51" t="s">
        <v>174</v>
      </c>
      <c r="K129" s="47" t="s">
        <v>367</v>
      </c>
      <c r="L129" s="51"/>
      <c r="M129" s="51"/>
      <c r="N129" s="51"/>
      <c r="O129" s="68">
        <v>2022</v>
      </c>
      <c r="P129" s="51" t="s">
        <v>73</v>
      </c>
      <c r="Q129" s="92" t="s">
        <v>369</v>
      </c>
      <c r="R129" s="92" t="s">
        <v>370</v>
      </c>
      <c r="S129" s="51"/>
      <c r="T129" s="51"/>
      <c r="U129" s="80" t="s">
        <v>468</v>
      </c>
      <c r="V129" s="84">
        <f t="shared" si="25"/>
        <v>0</v>
      </c>
      <c r="W129" s="84">
        <f t="shared" si="26"/>
        <v>0</v>
      </c>
      <c r="X129" s="80" t="s">
        <v>451</v>
      </c>
      <c r="Y129" s="83">
        <f t="shared" si="27"/>
        <v>165.6</v>
      </c>
      <c r="Z129" s="83">
        <f t="shared" si="28"/>
        <v>239.20000000000002</v>
      </c>
      <c r="AA129" s="80" t="s">
        <v>451</v>
      </c>
      <c r="AB129" s="83" t="s">
        <v>475</v>
      </c>
      <c r="AC129" s="83" t="s">
        <v>476</v>
      </c>
      <c r="AD129" s="83" t="s">
        <v>477</v>
      </c>
      <c r="AE129" s="80" t="s">
        <v>452</v>
      </c>
    </row>
    <row r="130" spans="1:31" ht="15" x14ac:dyDescent="0.2">
      <c r="A130" s="55">
        <v>252</v>
      </c>
      <c r="B130" s="40">
        <f t="shared" si="53"/>
        <v>2</v>
      </c>
      <c r="C130" s="58" t="s">
        <v>26</v>
      </c>
      <c r="D130" s="41" t="str">
        <f t="shared" si="54"/>
        <v xml:space="preserve">            First Core Conversion </v>
      </c>
      <c r="E130" s="41" t="s">
        <v>341</v>
      </c>
      <c r="F130" s="41"/>
      <c r="G130" s="47"/>
      <c r="H130" s="68"/>
      <c r="I130" s="68">
        <v>15.1</v>
      </c>
      <c r="J130" s="51" t="s">
        <v>174</v>
      </c>
      <c r="K130" s="47" t="s">
        <v>367</v>
      </c>
      <c r="L130" s="51"/>
      <c r="M130" s="51"/>
      <c r="N130" s="51"/>
      <c r="O130" s="68">
        <v>2022</v>
      </c>
      <c r="P130" s="51" t="s">
        <v>73</v>
      </c>
      <c r="Q130" s="92"/>
      <c r="R130" s="92"/>
      <c r="S130" s="51"/>
      <c r="T130" s="51"/>
      <c r="U130" s="80" t="s">
        <v>468</v>
      </c>
      <c r="V130" s="84">
        <f t="shared" si="25"/>
        <v>0</v>
      </c>
      <c r="W130" s="84">
        <f t="shared" si="26"/>
        <v>0</v>
      </c>
      <c r="X130" s="80" t="s">
        <v>451</v>
      </c>
      <c r="Y130" s="83">
        <f t="shared" si="27"/>
        <v>13.59</v>
      </c>
      <c r="Z130" s="83">
        <f t="shared" si="28"/>
        <v>19.63</v>
      </c>
      <c r="AA130" s="80" t="s">
        <v>451</v>
      </c>
      <c r="AB130" s="83" t="s">
        <v>475</v>
      </c>
      <c r="AC130" s="83" t="s">
        <v>476</v>
      </c>
      <c r="AD130" s="83" t="s">
        <v>477</v>
      </c>
      <c r="AE130" s="80" t="s">
        <v>452</v>
      </c>
    </row>
    <row r="131" spans="1:31" ht="15" x14ac:dyDescent="0.2">
      <c r="A131" s="55">
        <v>253</v>
      </c>
      <c r="B131" s="40">
        <f t="shared" si="53"/>
        <v>2</v>
      </c>
      <c r="C131" s="58" t="s">
        <v>27</v>
      </c>
      <c r="D131" s="41" t="str">
        <f t="shared" si="54"/>
        <v xml:space="preserve">            First Core Enrichment </v>
      </c>
      <c r="E131" s="41" t="s">
        <v>342</v>
      </c>
      <c r="F131" s="41"/>
      <c r="G131" s="47"/>
      <c r="H131" s="68"/>
      <c r="I131" s="68">
        <v>184.2</v>
      </c>
      <c r="J131" s="51" t="s">
        <v>366</v>
      </c>
      <c r="K131" s="61" t="s">
        <v>368</v>
      </c>
      <c r="L131" s="51"/>
      <c r="M131" s="51"/>
      <c r="N131" s="51">
        <v>1</v>
      </c>
      <c r="O131" s="68">
        <v>2022</v>
      </c>
      <c r="P131" s="51" t="s">
        <v>73</v>
      </c>
      <c r="Q131" s="92"/>
      <c r="R131" s="92"/>
      <c r="S131" s="51"/>
      <c r="T131" s="51"/>
      <c r="U131" s="80" t="s">
        <v>468</v>
      </c>
      <c r="V131" s="84">
        <f t="shared" si="25"/>
        <v>0</v>
      </c>
      <c r="W131" s="84">
        <f t="shared" si="26"/>
        <v>0</v>
      </c>
      <c r="X131" s="80" t="s">
        <v>451</v>
      </c>
      <c r="Y131" s="83">
        <f t="shared" si="27"/>
        <v>165.78</v>
      </c>
      <c r="Z131" s="83">
        <f t="shared" si="28"/>
        <v>239.45999999999998</v>
      </c>
      <c r="AA131" s="80" t="s">
        <v>451</v>
      </c>
      <c r="AB131" s="83" t="s">
        <v>475</v>
      </c>
      <c r="AC131" s="83" t="s">
        <v>476</v>
      </c>
      <c r="AD131" s="83" t="s">
        <v>477</v>
      </c>
      <c r="AE131" s="80" t="s">
        <v>452</v>
      </c>
    </row>
    <row r="132" spans="1:31" ht="15" x14ac:dyDescent="0.2">
      <c r="A132" s="55">
        <v>254</v>
      </c>
      <c r="B132" s="40">
        <f t="shared" si="53"/>
        <v>2</v>
      </c>
      <c r="C132" s="58" t="s">
        <v>28</v>
      </c>
      <c r="D132" s="41" t="str">
        <f t="shared" si="54"/>
        <v xml:space="preserve">            First Core Fuel Assembly Fabrication </v>
      </c>
      <c r="E132" s="41" t="s">
        <v>341</v>
      </c>
      <c r="F132" s="41" t="s">
        <v>372</v>
      </c>
      <c r="G132" s="47" t="s">
        <v>373</v>
      </c>
      <c r="H132" s="68"/>
      <c r="I132" s="68">
        <v>1520</v>
      </c>
      <c r="J132" s="51" t="s">
        <v>174</v>
      </c>
      <c r="K132" s="61" t="s">
        <v>371</v>
      </c>
      <c r="L132" s="51"/>
      <c r="M132" s="51"/>
      <c r="N132" s="51"/>
      <c r="O132" s="68">
        <v>2023</v>
      </c>
      <c r="P132" s="51" t="s">
        <v>73</v>
      </c>
      <c r="Q132" s="92"/>
      <c r="R132" s="92"/>
      <c r="S132" s="51"/>
      <c r="T132" s="51"/>
      <c r="U132" s="80" t="s">
        <v>467</v>
      </c>
      <c r="V132" s="84">
        <f t="shared" si="25"/>
        <v>0</v>
      </c>
      <c r="W132" s="84">
        <f t="shared" si="26"/>
        <v>0</v>
      </c>
      <c r="X132" s="80" t="s">
        <v>451</v>
      </c>
      <c r="Y132" s="83">
        <f t="shared" si="27"/>
        <v>1368</v>
      </c>
      <c r="Z132" s="83">
        <f t="shared" si="28"/>
        <v>1976</v>
      </c>
      <c r="AA132" s="80" t="s">
        <v>451</v>
      </c>
      <c r="AB132" s="83" t="s">
        <v>475</v>
      </c>
      <c r="AC132" s="83" t="s">
        <v>476</v>
      </c>
      <c r="AD132" s="83" t="s">
        <v>477</v>
      </c>
      <c r="AE132" s="80" t="s">
        <v>452</v>
      </c>
    </row>
    <row r="133" spans="1:31" ht="15" x14ac:dyDescent="0.2">
      <c r="A133" s="55">
        <v>254</v>
      </c>
      <c r="B133" s="40">
        <f t="shared" ref="B133" si="55">IF(ISNUMBER(A133),
    IF(AND(A133=INT(A133), MOD(A133, 10) = 0), 0,
        IF(AND(A133=INT(A133), LEN(A133)=2), 1,
            IF(AND(A133=INT(A133), LEN(A133)=3), 2,
                LEN(A133) - FIND(".", A133) + 2)
        )
    ),
"")</f>
        <v>2</v>
      </c>
      <c r="C133" s="58" t="s">
        <v>28</v>
      </c>
      <c r="D133" s="41" t="str">
        <f t="shared" ref="D133" si="56">REPT("   ", B133*2) &amp; C133</f>
        <v xml:space="preserve">            First Core Fuel Assembly Fabrication </v>
      </c>
      <c r="E133" s="41" t="s">
        <v>341</v>
      </c>
      <c r="F133" s="41" t="s">
        <v>372</v>
      </c>
      <c r="G133" s="47" t="s">
        <v>355</v>
      </c>
      <c r="H133" s="68"/>
      <c r="I133" s="68">
        <v>10000</v>
      </c>
      <c r="J133" s="51" t="s">
        <v>174</v>
      </c>
      <c r="K133" s="61" t="s">
        <v>371</v>
      </c>
      <c r="L133" s="51"/>
      <c r="M133" s="51"/>
      <c r="N133" s="51"/>
      <c r="O133" s="68">
        <v>2009</v>
      </c>
      <c r="P133" s="51" t="s">
        <v>73</v>
      </c>
      <c r="Q133" s="92"/>
      <c r="R133" s="92"/>
      <c r="S133" s="51"/>
      <c r="T133" s="51"/>
      <c r="U133" s="80" t="s">
        <v>467</v>
      </c>
      <c r="V133" s="84">
        <f t="shared" si="25"/>
        <v>0</v>
      </c>
      <c r="W133" s="84">
        <f t="shared" si="26"/>
        <v>0</v>
      </c>
      <c r="X133" s="80" t="s">
        <v>451</v>
      </c>
      <c r="Y133" s="83">
        <f t="shared" si="27"/>
        <v>9000</v>
      </c>
      <c r="Z133" s="83">
        <f t="shared" si="28"/>
        <v>13000</v>
      </c>
      <c r="AA133" s="80" t="s">
        <v>451</v>
      </c>
      <c r="AB133" s="83" t="s">
        <v>475</v>
      </c>
      <c r="AC133" s="83" t="s">
        <v>476</v>
      </c>
      <c r="AD133" s="83" t="s">
        <v>477</v>
      </c>
      <c r="AE133" s="80" t="s">
        <v>452</v>
      </c>
    </row>
    <row r="134" spans="1:31" ht="30" customHeight="1" x14ac:dyDescent="0.2">
      <c r="A134" s="39">
        <v>26</v>
      </c>
      <c r="B134" s="40">
        <f t="shared" si="53"/>
        <v>1</v>
      </c>
      <c r="C134" s="58" t="s">
        <v>140</v>
      </c>
      <c r="D134" s="41" t="str">
        <f t="shared" si="54"/>
        <v xml:space="preserve">      Miscellaneous Equipment (Cranes)</v>
      </c>
      <c r="E134" s="41" t="s">
        <v>341</v>
      </c>
      <c r="F134" s="41"/>
      <c r="G134" s="41"/>
      <c r="H134" s="63">
        <v>1000000</v>
      </c>
      <c r="I134" s="68"/>
      <c r="J134" s="51"/>
      <c r="K134" s="61"/>
      <c r="L134" s="51"/>
      <c r="M134" s="51"/>
      <c r="N134" s="51"/>
      <c r="O134" s="68">
        <v>2021</v>
      </c>
      <c r="P134" s="51" t="s">
        <v>74</v>
      </c>
      <c r="Q134" s="61" t="s">
        <v>374</v>
      </c>
      <c r="R134" s="61" t="s">
        <v>375</v>
      </c>
      <c r="S134" s="51"/>
      <c r="T134" s="51"/>
      <c r="U134" s="80" t="s">
        <v>467</v>
      </c>
      <c r="V134" s="84">
        <f t="shared" si="25"/>
        <v>900000</v>
      </c>
      <c r="W134" s="84">
        <f t="shared" si="26"/>
        <v>1500000</v>
      </c>
      <c r="X134" s="80" t="s">
        <v>451</v>
      </c>
      <c r="Y134" s="83">
        <f t="shared" si="27"/>
        <v>0</v>
      </c>
      <c r="Z134" s="83">
        <f t="shared" si="28"/>
        <v>0</v>
      </c>
      <c r="AA134" s="80" t="s">
        <v>451</v>
      </c>
      <c r="AB134" s="83" t="s">
        <v>475</v>
      </c>
      <c r="AC134" s="83" t="s">
        <v>476</v>
      </c>
      <c r="AD134" s="83" t="s">
        <v>477</v>
      </c>
      <c r="AE134" s="80" t="s">
        <v>452</v>
      </c>
    </row>
    <row r="135" spans="1:31" ht="15" x14ac:dyDescent="0.2">
      <c r="A135" s="52">
        <v>30</v>
      </c>
      <c r="B135" s="40">
        <f>IF(ISNUMBER(A135),
    IF(AND(A135=INT(A135), MOD(A135, 10) = 0), 0,
        IF(AND(A135=INT(A135), LEN(A135)=2), 1,
            IF(AND(A135=INT(A135), LEN(A135)=3), 2,
                LEN(A135) - FIND(".", A135) + 2)
        )
    ),
"")</f>
        <v>0</v>
      </c>
      <c r="C135" s="58" t="s">
        <v>29</v>
      </c>
      <c r="D135" s="41" t="str">
        <f t="shared" si="54"/>
        <v>Capitalized Indirect Services Cost</v>
      </c>
      <c r="E135" s="41"/>
      <c r="F135" s="41"/>
      <c r="G135" s="41"/>
      <c r="H135" s="71"/>
      <c r="I135" s="53"/>
      <c r="J135" s="52"/>
      <c r="K135" s="52"/>
      <c r="L135" s="52"/>
      <c r="M135" s="52"/>
      <c r="N135" s="52"/>
      <c r="O135" s="71"/>
      <c r="P135" s="52"/>
      <c r="Q135" s="52"/>
      <c r="R135" s="52"/>
      <c r="S135" s="52"/>
      <c r="T135" s="52"/>
      <c r="U135" s="80"/>
      <c r="V135" s="84"/>
      <c r="W135" s="84"/>
      <c r="X135" s="80"/>
      <c r="Y135" s="83"/>
      <c r="Z135" s="83"/>
      <c r="AA135" s="80"/>
      <c r="AB135" s="83"/>
      <c r="AC135" s="83"/>
      <c r="AD135" s="83"/>
      <c r="AE135" s="80"/>
    </row>
    <row r="136" spans="1:31" ht="29" customHeight="1" x14ac:dyDescent="0.2">
      <c r="A136" s="52">
        <v>31</v>
      </c>
      <c r="B136" s="40">
        <v>1</v>
      </c>
      <c r="C136" s="58" t="s">
        <v>376</v>
      </c>
      <c r="D136" s="41" t="str">
        <f t="shared" si="54"/>
        <v xml:space="preserve">      Factory &amp; field indirect costs</v>
      </c>
      <c r="E136" s="41"/>
      <c r="F136" s="41"/>
      <c r="G136" s="41"/>
      <c r="H136" s="71"/>
      <c r="I136" s="72"/>
      <c r="J136" s="51"/>
      <c r="K136" s="61"/>
      <c r="L136" s="52"/>
      <c r="M136" s="52"/>
      <c r="N136" s="52"/>
      <c r="O136" s="68"/>
      <c r="P136" s="51"/>
      <c r="Q136" s="52"/>
      <c r="R136" s="52"/>
      <c r="S136" s="52"/>
      <c r="T136" s="52"/>
      <c r="U136" s="80"/>
      <c r="V136" s="84"/>
      <c r="W136" s="84"/>
      <c r="X136" s="80"/>
      <c r="Y136" s="83"/>
      <c r="Z136" s="83"/>
      <c r="AA136" s="80"/>
      <c r="AB136" s="83"/>
      <c r="AC136" s="83"/>
      <c r="AD136" s="83"/>
      <c r="AE136" s="80"/>
    </row>
    <row r="137" spans="1:31" ht="15" x14ac:dyDescent="0.2">
      <c r="A137" s="52">
        <v>32</v>
      </c>
      <c r="B137" s="40">
        <v>1</v>
      </c>
      <c r="C137" s="58" t="s">
        <v>377</v>
      </c>
      <c r="D137" s="41" t="str">
        <f t="shared" si="54"/>
        <v xml:space="preserve">      Factory and construction supervision</v>
      </c>
      <c r="E137" s="41"/>
      <c r="F137" s="41"/>
      <c r="G137" s="41"/>
      <c r="H137" s="71"/>
      <c r="I137" s="53"/>
      <c r="J137" s="52"/>
      <c r="K137" s="52"/>
      <c r="L137" s="52"/>
      <c r="M137" s="52"/>
      <c r="N137" s="52"/>
      <c r="O137" s="68"/>
      <c r="P137" s="51"/>
      <c r="Q137" s="52"/>
      <c r="R137" s="52"/>
      <c r="S137" s="52"/>
      <c r="T137" s="52"/>
      <c r="U137" s="80"/>
      <c r="V137" s="84"/>
      <c r="W137" s="84"/>
      <c r="X137" s="80"/>
      <c r="Y137" s="83"/>
      <c r="Z137" s="83"/>
      <c r="AA137" s="80"/>
      <c r="AB137" s="83"/>
      <c r="AC137" s="83"/>
      <c r="AD137" s="83"/>
      <c r="AE137" s="80"/>
    </row>
    <row r="138" spans="1:31" ht="15" x14ac:dyDescent="0.2">
      <c r="A138" s="39">
        <v>33</v>
      </c>
      <c r="B138" s="40">
        <f t="shared" si="53"/>
        <v>1</v>
      </c>
      <c r="C138" s="58" t="s">
        <v>31</v>
      </c>
      <c r="D138" s="41" t="str">
        <f t="shared" si="54"/>
        <v xml:space="preserve">      Startup Costs</v>
      </c>
      <c r="E138" s="41" t="s">
        <v>341</v>
      </c>
      <c r="F138" s="41"/>
      <c r="G138" s="41"/>
      <c r="H138" s="45">
        <f>MARVEL_Cost!C58</f>
        <v>2407166.4000000004</v>
      </c>
      <c r="I138" s="46"/>
      <c r="J138" s="48"/>
      <c r="K138" s="54"/>
      <c r="L138" s="48"/>
      <c r="M138" s="48"/>
      <c r="N138" s="48"/>
      <c r="O138" s="68">
        <v>2024</v>
      </c>
      <c r="P138" s="73" t="s">
        <v>85</v>
      </c>
      <c r="Q138" s="93" t="s">
        <v>364</v>
      </c>
      <c r="R138" s="48"/>
      <c r="S138" s="48"/>
      <c r="T138" s="48"/>
      <c r="U138" s="80" t="s">
        <v>471</v>
      </c>
      <c r="V138" s="84">
        <f t="shared" si="25"/>
        <v>2166449.7600000002</v>
      </c>
      <c r="W138" s="84">
        <f t="shared" si="26"/>
        <v>3610749.6000000006</v>
      </c>
      <c r="X138" s="80" t="s">
        <v>451</v>
      </c>
      <c r="Y138" s="83">
        <f t="shared" si="27"/>
        <v>0</v>
      </c>
      <c r="Z138" s="83">
        <f t="shared" si="28"/>
        <v>0</v>
      </c>
      <c r="AA138" s="80" t="s">
        <v>451</v>
      </c>
      <c r="AB138" s="83" t="s">
        <v>475</v>
      </c>
      <c r="AC138" s="83" t="s">
        <v>476</v>
      </c>
      <c r="AD138" s="83" t="s">
        <v>477</v>
      </c>
      <c r="AE138" s="80" t="s">
        <v>452</v>
      </c>
    </row>
    <row r="139" spans="1:31" ht="30" customHeight="1" x14ac:dyDescent="0.2">
      <c r="A139" s="39">
        <v>34</v>
      </c>
      <c r="B139" s="40">
        <f t="shared" si="53"/>
        <v>1</v>
      </c>
      <c r="C139" s="58" t="s">
        <v>32</v>
      </c>
      <c r="D139" s="41" t="str">
        <f t="shared" si="54"/>
        <v xml:space="preserve">      Shipping and Transportation Costs</v>
      </c>
      <c r="E139" s="41" t="s">
        <v>341</v>
      </c>
      <c r="F139" s="41"/>
      <c r="G139" s="41"/>
      <c r="H139" s="45">
        <f>0.5*MARVEL_Cost!C62</f>
        <v>832641.39999999991</v>
      </c>
      <c r="I139" s="46"/>
      <c r="J139" s="48"/>
      <c r="K139" s="54"/>
      <c r="L139" s="48"/>
      <c r="M139" s="48"/>
      <c r="N139" s="48"/>
      <c r="O139" s="68">
        <v>2024</v>
      </c>
      <c r="P139" s="73" t="s">
        <v>85</v>
      </c>
      <c r="Q139" s="93"/>
      <c r="R139" s="48"/>
      <c r="S139" s="48"/>
      <c r="T139" s="48"/>
      <c r="U139" s="80" t="s">
        <v>471</v>
      </c>
      <c r="V139" s="84">
        <f t="shared" si="25"/>
        <v>749377.25999999989</v>
      </c>
      <c r="W139" s="84">
        <f t="shared" si="26"/>
        <v>1248962.0999999999</v>
      </c>
      <c r="X139" s="80" t="s">
        <v>451</v>
      </c>
      <c r="Y139" s="83">
        <f t="shared" si="27"/>
        <v>0</v>
      </c>
      <c r="Z139" s="83">
        <f t="shared" si="28"/>
        <v>0</v>
      </c>
      <c r="AA139" s="80" t="s">
        <v>451</v>
      </c>
      <c r="AB139" s="83" t="s">
        <v>475</v>
      </c>
      <c r="AC139" s="83" t="s">
        <v>476</v>
      </c>
      <c r="AD139" s="83" t="s">
        <v>477</v>
      </c>
      <c r="AE139" s="80" t="s">
        <v>452</v>
      </c>
    </row>
    <row r="140" spans="1:31" ht="15" x14ac:dyDescent="0.2">
      <c r="A140" s="39">
        <v>35</v>
      </c>
      <c r="B140" s="40">
        <f t="shared" si="53"/>
        <v>1</v>
      </c>
      <c r="C140" s="58" t="s">
        <v>33</v>
      </c>
      <c r="D140" s="41" t="str">
        <f t="shared" si="54"/>
        <v xml:space="preserve">      Engineering Services</v>
      </c>
      <c r="E140" s="41" t="s">
        <v>341</v>
      </c>
      <c r="F140" s="41"/>
      <c r="G140" s="41"/>
      <c r="H140" s="45">
        <f>MARVEL_Cost!C65</f>
        <v>620313.58773783164</v>
      </c>
      <c r="I140" s="63"/>
      <c r="J140" s="51"/>
      <c r="K140" s="61"/>
      <c r="L140" s="51"/>
      <c r="M140" s="51"/>
      <c r="N140" s="51"/>
      <c r="O140" s="68">
        <v>2024</v>
      </c>
      <c r="P140" s="51" t="s">
        <v>72</v>
      </c>
      <c r="Q140" s="93"/>
      <c r="R140" s="51"/>
      <c r="S140" s="51"/>
      <c r="T140" s="51"/>
      <c r="U140" s="80" t="s">
        <v>471</v>
      </c>
      <c r="V140" s="84">
        <f t="shared" si="25"/>
        <v>558282.22896404844</v>
      </c>
      <c r="W140" s="84">
        <f t="shared" si="26"/>
        <v>930470.3816067474</v>
      </c>
      <c r="X140" s="80" t="s">
        <v>451</v>
      </c>
      <c r="Y140" s="83">
        <f t="shared" si="27"/>
        <v>0</v>
      </c>
      <c r="Z140" s="83">
        <f t="shared" si="28"/>
        <v>0</v>
      </c>
      <c r="AA140" s="80" t="s">
        <v>451</v>
      </c>
      <c r="AB140" s="83" t="s">
        <v>475</v>
      </c>
      <c r="AC140" s="83" t="s">
        <v>476</v>
      </c>
      <c r="AD140" s="83" t="s">
        <v>477</v>
      </c>
      <c r="AE140" s="80" t="s">
        <v>452</v>
      </c>
    </row>
    <row r="141" spans="1:31" ht="15" x14ac:dyDescent="0.2">
      <c r="A141" s="39">
        <v>36</v>
      </c>
      <c r="B141" s="40">
        <f t="shared" si="53"/>
        <v>1</v>
      </c>
      <c r="C141" s="58" t="s">
        <v>230</v>
      </c>
      <c r="D141" s="41" t="str">
        <f t="shared" si="54"/>
        <v xml:space="preserve">      PM/CM Services</v>
      </c>
      <c r="E141" s="41" t="s">
        <v>341</v>
      </c>
      <c r="F141" s="41"/>
      <c r="G141" s="41"/>
      <c r="H141" s="45">
        <f>MARVEL_Cost!C68</f>
        <v>416958.9359999997</v>
      </c>
      <c r="I141" s="63"/>
      <c r="J141" s="51"/>
      <c r="K141" s="61"/>
      <c r="L141" s="51"/>
      <c r="M141" s="51"/>
      <c r="N141" s="51"/>
      <c r="O141" s="68">
        <v>2024</v>
      </c>
      <c r="P141" s="51" t="s">
        <v>72</v>
      </c>
      <c r="Q141" s="93"/>
      <c r="R141" s="51"/>
      <c r="S141" s="51"/>
      <c r="T141" s="51"/>
      <c r="U141" s="80" t="s">
        <v>471</v>
      </c>
      <c r="V141" s="84">
        <f t="shared" si="25"/>
        <v>375263.04239999974</v>
      </c>
      <c r="W141" s="84">
        <f t="shared" si="26"/>
        <v>625438.40399999951</v>
      </c>
      <c r="X141" s="80" t="s">
        <v>451</v>
      </c>
      <c r="Y141" s="83">
        <f t="shared" si="27"/>
        <v>0</v>
      </c>
      <c r="Z141" s="83">
        <f t="shared" si="28"/>
        <v>0</v>
      </c>
      <c r="AA141" s="80" t="s">
        <v>451</v>
      </c>
      <c r="AB141" s="83" t="s">
        <v>475</v>
      </c>
      <c r="AC141" s="83" t="s">
        <v>476</v>
      </c>
      <c r="AD141" s="83" t="s">
        <v>477</v>
      </c>
      <c r="AE141" s="80" t="s">
        <v>452</v>
      </c>
    </row>
    <row r="142" spans="1:31" ht="15" x14ac:dyDescent="0.2">
      <c r="A142" s="39">
        <v>40</v>
      </c>
      <c r="B142" s="40">
        <f t="shared" si="53"/>
        <v>0</v>
      </c>
      <c r="C142" s="58" t="s">
        <v>378</v>
      </c>
      <c r="D142" s="41" t="str">
        <f t="shared" si="54"/>
        <v>Capitalized training costs</v>
      </c>
      <c r="E142" s="41"/>
      <c r="F142" s="41"/>
      <c r="G142" s="41"/>
      <c r="H142" s="45"/>
      <c r="I142" s="63"/>
      <c r="J142" s="51"/>
      <c r="K142" s="61"/>
      <c r="L142" s="51"/>
      <c r="M142" s="51"/>
      <c r="N142" s="51"/>
      <c r="O142" s="68"/>
      <c r="P142" s="51"/>
      <c r="Q142" s="52"/>
      <c r="R142" s="51"/>
      <c r="S142" s="51"/>
      <c r="T142" s="51"/>
      <c r="U142" s="80"/>
      <c r="V142" s="84"/>
      <c r="W142" s="84"/>
      <c r="X142" s="80"/>
      <c r="Y142" s="83"/>
      <c r="Z142" s="83"/>
      <c r="AA142" s="80"/>
      <c r="AB142" s="83"/>
      <c r="AC142" s="83"/>
      <c r="AD142" s="83"/>
      <c r="AE142" s="80"/>
    </row>
    <row r="143" spans="1:31" ht="15" x14ac:dyDescent="0.2">
      <c r="A143" s="39">
        <v>41</v>
      </c>
      <c r="B143" s="40">
        <f t="shared" si="53"/>
        <v>1</v>
      </c>
      <c r="C143" s="58" t="s">
        <v>379</v>
      </c>
      <c r="D143" s="41" t="str">
        <f t="shared" si="54"/>
        <v xml:space="preserve">      staff recruitment and training</v>
      </c>
      <c r="E143" s="41" t="s">
        <v>341</v>
      </c>
      <c r="F143" s="41"/>
      <c r="G143" s="41"/>
      <c r="H143" s="45">
        <v>300000</v>
      </c>
      <c r="I143" s="63"/>
      <c r="J143" s="51"/>
      <c r="K143" s="61"/>
      <c r="L143" s="51"/>
      <c r="M143" s="51"/>
      <c r="N143" s="51"/>
      <c r="O143" s="68">
        <v>2024</v>
      </c>
      <c r="P143" s="51" t="s">
        <v>72</v>
      </c>
      <c r="Q143" s="44"/>
      <c r="R143" s="51" t="s">
        <v>454</v>
      </c>
      <c r="S143" s="51" t="s">
        <v>455</v>
      </c>
      <c r="T143" s="51"/>
      <c r="U143" s="80" t="s">
        <v>468</v>
      </c>
      <c r="V143" s="84">
        <f t="shared" si="25"/>
        <v>270000</v>
      </c>
      <c r="W143" s="84">
        <f t="shared" si="26"/>
        <v>450000</v>
      </c>
      <c r="X143" s="80" t="s">
        <v>451</v>
      </c>
      <c r="Y143" s="83">
        <f t="shared" si="27"/>
        <v>0</v>
      </c>
      <c r="Z143" s="83">
        <f t="shared" si="28"/>
        <v>0</v>
      </c>
      <c r="AA143" s="80" t="s">
        <v>451</v>
      </c>
      <c r="AB143" s="83" t="s">
        <v>475</v>
      </c>
      <c r="AC143" s="83" t="s">
        <v>476</v>
      </c>
      <c r="AD143" s="83" t="s">
        <v>477</v>
      </c>
      <c r="AE143" s="80" t="s">
        <v>452</v>
      </c>
    </row>
    <row r="144" spans="1:31" ht="15" x14ac:dyDescent="0.2">
      <c r="A144" s="52">
        <v>60</v>
      </c>
      <c r="B144" s="40">
        <f t="shared" si="53"/>
        <v>0</v>
      </c>
      <c r="C144" s="58" t="s">
        <v>34</v>
      </c>
      <c r="D144" s="41" t="str">
        <f t="shared" si="54"/>
        <v xml:space="preserve">Capitalized Financial Costs </v>
      </c>
      <c r="E144" s="41"/>
      <c r="F144" s="41"/>
      <c r="G144" s="41"/>
      <c r="H144" s="71"/>
      <c r="I144" s="53"/>
      <c r="J144" s="52"/>
      <c r="K144" s="52"/>
      <c r="L144" s="52"/>
      <c r="M144" s="52"/>
      <c r="N144" s="52"/>
      <c r="O144" s="71"/>
      <c r="P144" s="52"/>
      <c r="Q144" s="52"/>
      <c r="R144" s="52"/>
      <c r="S144" s="52"/>
      <c r="T144" s="52"/>
      <c r="U144" s="80"/>
      <c r="V144" s="84"/>
      <c r="W144" s="84"/>
      <c r="X144" s="80"/>
      <c r="Y144" s="83"/>
      <c r="Z144" s="83"/>
      <c r="AA144" s="80"/>
      <c r="AB144" s="83"/>
      <c r="AC144" s="83"/>
      <c r="AD144" s="83"/>
      <c r="AE144" s="80"/>
    </row>
    <row r="145" spans="1:31" ht="15" x14ac:dyDescent="0.2">
      <c r="A145" s="39">
        <v>62</v>
      </c>
      <c r="B145" s="40">
        <f t="shared" si="53"/>
        <v>1</v>
      </c>
      <c r="C145" s="58" t="s">
        <v>35</v>
      </c>
      <c r="D145" s="41" t="str">
        <f t="shared" si="54"/>
        <v xml:space="preserve">      Interest</v>
      </c>
      <c r="E145" s="41"/>
      <c r="F145" s="41"/>
      <c r="G145" s="41"/>
      <c r="H145" s="45"/>
      <c r="I145" s="63"/>
      <c r="J145" s="51"/>
      <c r="K145" s="61"/>
      <c r="L145" s="51"/>
      <c r="M145" s="51"/>
      <c r="N145" s="51"/>
      <c r="O145" s="68"/>
      <c r="P145" s="51"/>
      <c r="Q145" s="61"/>
      <c r="R145" s="51"/>
      <c r="S145" s="51"/>
      <c r="T145" s="51"/>
      <c r="U145" s="80"/>
      <c r="V145" s="84"/>
      <c r="W145" s="84"/>
      <c r="X145" s="80"/>
      <c r="Y145" s="83"/>
      <c r="Z145" s="83"/>
      <c r="AA145" s="80"/>
      <c r="AB145" s="83"/>
      <c r="AC145" s="83"/>
      <c r="AD145" s="83"/>
      <c r="AE145" s="80"/>
    </row>
    <row r="146" spans="1:31" ht="15" x14ac:dyDescent="0.2">
      <c r="A146" s="39">
        <v>70</v>
      </c>
      <c r="B146" s="40">
        <f t="shared" si="53"/>
        <v>0</v>
      </c>
      <c r="C146" s="74" t="s">
        <v>36</v>
      </c>
      <c r="D146" s="41" t="str">
        <f t="shared" si="54"/>
        <v xml:space="preserve">Annualized O&amp;M Cost </v>
      </c>
      <c r="E146" s="41"/>
      <c r="F146" s="41"/>
      <c r="G146" s="41"/>
      <c r="H146" s="42"/>
      <c r="I146" s="42"/>
      <c r="J146" s="40"/>
      <c r="K146" s="43"/>
      <c r="L146" s="40"/>
      <c r="M146" s="40"/>
      <c r="N146" s="40"/>
      <c r="O146" s="42"/>
      <c r="P146" s="40"/>
      <c r="Q146" s="43"/>
      <c r="R146" s="40"/>
      <c r="S146" s="40"/>
      <c r="T146" s="40"/>
      <c r="U146" s="80"/>
      <c r="V146" s="84"/>
      <c r="W146" s="84"/>
      <c r="X146" s="80"/>
      <c r="Y146" s="83"/>
      <c r="Z146" s="83"/>
      <c r="AA146" s="80"/>
      <c r="AB146" s="83"/>
      <c r="AC146" s="83"/>
      <c r="AD146" s="83"/>
      <c r="AE146" s="80"/>
    </row>
    <row r="147" spans="1:31" ht="15" x14ac:dyDescent="0.2">
      <c r="A147" s="39">
        <v>71</v>
      </c>
      <c r="B147" s="40">
        <f t="shared" si="53"/>
        <v>1</v>
      </c>
      <c r="C147" s="58" t="s">
        <v>37</v>
      </c>
      <c r="D147" s="41" t="str">
        <f t="shared" si="54"/>
        <v xml:space="preserve">      O&amp;M Staff</v>
      </c>
      <c r="E147" s="41"/>
      <c r="F147" s="41"/>
      <c r="G147" s="41"/>
      <c r="H147" s="45"/>
      <c r="I147" s="63"/>
      <c r="J147" s="51"/>
      <c r="K147" s="61"/>
      <c r="L147" s="51"/>
      <c r="M147" s="51"/>
      <c r="N147" s="51"/>
      <c r="O147" s="68"/>
      <c r="P147" s="51"/>
      <c r="Q147" s="61"/>
      <c r="R147" s="51"/>
      <c r="S147" s="51"/>
      <c r="T147" s="51"/>
      <c r="U147" s="80"/>
      <c r="V147" s="84"/>
      <c r="W147" s="84"/>
      <c r="X147" s="80"/>
      <c r="Y147" s="83"/>
      <c r="Z147" s="83"/>
      <c r="AA147" s="80"/>
      <c r="AB147" s="83"/>
      <c r="AC147" s="83"/>
      <c r="AD147" s="83"/>
      <c r="AE147" s="80"/>
    </row>
    <row r="148" spans="1:31" ht="71" customHeight="1" x14ac:dyDescent="0.2">
      <c r="A148" s="55">
        <v>711</v>
      </c>
      <c r="B148" s="40">
        <f t="shared" si="53"/>
        <v>2</v>
      </c>
      <c r="C148" s="58" t="s">
        <v>38</v>
      </c>
      <c r="D148" s="41" t="str">
        <f t="shared" si="54"/>
        <v xml:space="preserve">            Operators </v>
      </c>
      <c r="E148" s="41" t="s">
        <v>342</v>
      </c>
      <c r="F148" s="41"/>
      <c r="G148" s="41"/>
      <c r="H148" s="45"/>
      <c r="I148" s="63">
        <v>178500</v>
      </c>
      <c r="J148" s="51" t="s">
        <v>383</v>
      </c>
      <c r="K148" s="61" t="s">
        <v>384</v>
      </c>
      <c r="L148" s="51"/>
      <c r="M148" s="51"/>
      <c r="N148" s="51">
        <v>1</v>
      </c>
      <c r="O148" s="68">
        <v>2024</v>
      </c>
      <c r="P148" s="51" t="s">
        <v>72</v>
      </c>
      <c r="Q148" s="61"/>
      <c r="R148" s="61" t="s">
        <v>385</v>
      </c>
      <c r="S148" s="51"/>
      <c r="T148" s="51"/>
      <c r="U148" s="80" t="s">
        <v>468</v>
      </c>
      <c r="V148" s="84">
        <f t="shared" ref="V148:V165" si="57">0.9*$H148</f>
        <v>0</v>
      </c>
      <c r="W148" s="84">
        <f t="shared" ref="W148:W165" si="58">1.5*H148</f>
        <v>0</v>
      </c>
      <c r="X148" s="80" t="s">
        <v>451</v>
      </c>
      <c r="Y148" s="83">
        <f t="shared" ref="Y148:Y165" si="59">0.9*I148</f>
        <v>160650</v>
      </c>
      <c r="Z148" s="83">
        <f t="shared" ref="Z148:Z165" si="60">1.3*I148</f>
        <v>232050</v>
      </c>
      <c r="AA148" s="80" t="s">
        <v>451</v>
      </c>
      <c r="AB148" s="83" t="s">
        <v>475</v>
      </c>
      <c r="AC148" s="83" t="s">
        <v>476</v>
      </c>
      <c r="AD148" s="83" t="s">
        <v>477</v>
      </c>
      <c r="AE148" s="80" t="s">
        <v>452</v>
      </c>
    </row>
    <row r="149" spans="1:31" ht="30" customHeight="1" x14ac:dyDescent="0.2">
      <c r="A149" s="55">
        <v>712</v>
      </c>
      <c r="B149" s="40">
        <f t="shared" si="53"/>
        <v>2</v>
      </c>
      <c r="C149" s="58" t="s">
        <v>39</v>
      </c>
      <c r="D149" s="41" t="str">
        <f t="shared" si="54"/>
        <v xml:space="preserve">            Remote Monitoring Technicians </v>
      </c>
      <c r="E149" s="41" t="s">
        <v>342</v>
      </c>
      <c r="F149" s="41" t="s">
        <v>388</v>
      </c>
      <c r="G149" s="41" t="s">
        <v>389</v>
      </c>
      <c r="H149" s="45"/>
      <c r="I149" s="63">
        <v>178500</v>
      </c>
      <c r="J149" s="51" t="s">
        <v>383</v>
      </c>
      <c r="K149" s="61" t="s">
        <v>387</v>
      </c>
      <c r="L149" s="51"/>
      <c r="M149" s="51"/>
      <c r="N149" s="51">
        <v>1</v>
      </c>
      <c r="O149" s="68">
        <v>2024</v>
      </c>
      <c r="P149" s="51" t="s">
        <v>72</v>
      </c>
      <c r="Q149" s="61"/>
      <c r="R149" s="61" t="s">
        <v>385</v>
      </c>
      <c r="S149" s="51"/>
      <c r="T149" s="51"/>
      <c r="U149" s="80" t="s">
        <v>468</v>
      </c>
      <c r="V149" s="84">
        <f t="shared" si="57"/>
        <v>0</v>
      </c>
      <c r="W149" s="84">
        <f t="shared" si="58"/>
        <v>0</v>
      </c>
      <c r="X149" s="80" t="s">
        <v>451</v>
      </c>
      <c r="Y149" s="83">
        <f t="shared" si="59"/>
        <v>160650</v>
      </c>
      <c r="Z149" s="83">
        <f t="shared" si="60"/>
        <v>232050</v>
      </c>
      <c r="AA149" s="80" t="s">
        <v>451</v>
      </c>
      <c r="AB149" s="83" t="s">
        <v>475</v>
      </c>
      <c r="AC149" s="83" t="s">
        <v>476</v>
      </c>
      <c r="AD149" s="83" t="s">
        <v>477</v>
      </c>
      <c r="AE149" s="80" t="s">
        <v>452</v>
      </c>
    </row>
    <row r="150" spans="1:31" ht="85" x14ac:dyDescent="0.2">
      <c r="A150" s="55">
        <v>713</v>
      </c>
      <c r="B150" s="40">
        <f t="shared" si="53"/>
        <v>2</v>
      </c>
      <c r="C150" s="58" t="s">
        <v>40</v>
      </c>
      <c r="D150" s="41" t="str">
        <f t="shared" si="54"/>
        <v xml:space="preserve">            Security Staff </v>
      </c>
      <c r="E150" s="41" t="s">
        <v>342</v>
      </c>
      <c r="F150" s="41"/>
      <c r="G150" s="41"/>
      <c r="H150" s="45"/>
      <c r="I150" s="63">
        <v>178500</v>
      </c>
      <c r="J150" s="51" t="s">
        <v>383</v>
      </c>
      <c r="K150" s="61" t="s">
        <v>390</v>
      </c>
      <c r="L150" s="51"/>
      <c r="M150" s="51"/>
      <c r="N150" s="51">
        <v>1</v>
      </c>
      <c r="O150" s="68">
        <v>2024</v>
      </c>
      <c r="P150" s="51" t="s">
        <v>72</v>
      </c>
      <c r="Q150" s="61"/>
      <c r="R150" s="61" t="s">
        <v>385</v>
      </c>
      <c r="S150" s="51"/>
      <c r="T150" s="51"/>
      <c r="U150" s="80" t="s">
        <v>468</v>
      </c>
      <c r="V150" s="84">
        <f t="shared" si="57"/>
        <v>0</v>
      </c>
      <c r="W150" s="84">
        <f t="shared" si="58"/>
        <v>0</v>
      </c>
      <c r="X150" s="80" t="s">
        <v>451</v>
      </c>
      <c r="Y150" s="83">
        <f t="shared" si="59"/>
        <v>160650</v>
      </c>
      <c r="Z150" s="83">
        <f t="shared" si="60"/>
        <v>232050</v>
      </c>
      <c r="AA150" s="80" t="s">
        <v>451</v>
      </c>
      <c r="AB150" s="83" t="s">
        <v>475</v>
      </c>
      <c r="AC150" s="83" t="s">
        <v>476</v>
      </c>
      <c r="AD150" s="83" t="s">
        <v>477</v>
      </c>
      <c r="AE150" s="80" t="s">
        <v>452</v>
      </c>
    </row>
    <row r="151" spans="1:31" ht="15" x14ac:dyDescent="0.2">
      <c r="A151" s="39">
        <v>72</v>
      </c>
      <c r="B151" s="40">
        <f t="shared" si="53"/>
        <v>1</v>
      </c>
      <c r="C151" s="58" t="s">
        <v>434</v>
      </c>
      <c r="D151" s="41" t="str">
        <f t="shared" si="54"/>
        <v xml:space="preserve">      Variable Non-Fuel Costs</v>
      </c>
      <c r="E151" s="41"/>
      <c r="F151" s="41"/>
      <c r="G151" s="41"/>
      <c r="H151" s="45"/>
      <c r="I151" s="63"/>
      <c r="J151" s="51"/>
      <c r="K151" s="61"/>
      <c r="L151" s="51"/>
      <c r="M151" s="51"/>
      <c r="N151" s="51"/>
      <c r="O151" s="68"/>
      <c r="P151" s="51"/>
      <c r="Q151" s="61"/>
      <c r="R151" s="61"/>
      <c r="S151" s="51"/>
      <c r="T151" s="51"/>
      <c r="U151" s="80"/>
      <c r="V151" s="84"/>
      <c r="W151" s="84"/>
      <c r="X151" s="80"/>
      <c r="Y151" s="83"/>
      <c r="Z151" s="83"/>
      <c r="AA151" s="80" t="s">
        <v>470</v>
      </c>
      <c r="AB151" s="83" t="s">
        <v>470</v>
      </c>
      <c r="AC151" s="83" t="s">
        <v>470</v>
      </c>
      <c r="AD151" s="83" t="s">
        <v>470</v>
      </c>
      <c r="AE151" s="80" t="s">
        <v>470</v>
      </c>
    </row>
    <row r="152" spans="1:31" ht="57" x14ac:dyDescent="0.2">
      <c r="A152" s="39">
        <v>721</v>
      </c>
      <c r="B152" s="40">
        <f t="shared" si="53"/>
        <v>2</v>
      </c>
      <c r="C152" s="58" t="s">
        <v>492</v>
      </c>
      <c r="D152" s="41" t="str">
        <f t="shared" si="54"/>
        <v xml:space="preserve">            Coolant</v>
      </c>
      <c r="E152" s="41" t="s">
        <v>342</v>
      </c>
      <c r="F152" s="41" t="s">
        <v>492</v>
      </c>
      <c r="G152" s="41" t="s">
        <v>493</v>
      </c>
      <c r="H152" s="45"/>
      <c r="I152" s="63">
        <v>170</v>
      </c>
      <c r="J152" s="51" t="s">
        <v>174</v>
      </c>
      <c r="K152" s="61" t="s">
        <v>497</v>
      </c>
      <c r="L152" s="51"/>
      <c r="M152" s="51" t="s">
        <v>173</v>
      </c>
      <c r="N152" s="51"/>
      <c r="O152" s="68">
        <v>2024</v>
      </c>
      <c r="P152" s="51" t="s">
        <v>73</v>
      </c>
      <c r="Q152" s="61" t="s">
        <v>495</v>
      </c>
      <c r="R152" s="65" t="s">
        <v>495</v>
      </c>
      <c r="S152" s="87" t="s">
        <v>494</v>
      </c>
      <c r="T152" s="51" t="s">
        <v>496</v>
      </c>
      <c r="U152" s="80" t="s">
        <v>468</v>
      </c>
      <c r="V152" s="84">
        <f t="shared" ref="V152:V153" si="61">0.9*$H152</f>
        <v>0</v>
      </c>
      <c r="W152" s="84">
        <f t="shared" ref="W152" si="62">1.5*H152</f>
        <v>0</v>
      </c>
      <c r="X152" s="80" t="s">
        <v>451</v>
      </c>
      <c r="Y152" s="83">
        <f>0.9*I152</f>
        <v>153</v>
      </c>
      <c r="Z152" s="83">
        <f t="shared" ref="Z152" si="63">1.3*I152</f>
        <v>221</v>
      </c>
      <c r="AA152" s="80" t="s">
        <v>451</v>
      </c>
      <c r="AB152" s="83" t="s">
        <v>475</v>
      </c>
      <c r="AC152" s="83" t="s">
        <v>476</v>
      </c>
      <c r="AD152" s="83" t="s">
        <v>477</v>
      </c>
      <c r="AE152" s="80" t="s">
        <v>452</v>
      </c>
    </row>
    <row r="153" spans="1:31" ht="29" x14ac:dyDescent="0.2">
      <c r="A153" s="39">
        <v>721</v>
      </c>
      <c r="B153" s="40">
        <f t="shared" ref="B153" si="64">IF(ISNUMBER(A153),
    IF(AND(A153=INT(A153), MOD(A153, 10) = 0), 0,
        IF(AND(A153=INT(A153), LEN(A153)=2), 1,
            IF(AND(A153=INT(A153), LEN(A153)=3), 2,
                LEN(A153) - FIND(".", A153) + 2)
        )
    ),
"")</f>
        <v>2</v>
      </c>
      <c r="C153" s="58" t="s">
        <v>492</v>
      </c>
      <c r="D153" s="41" t="str">
        <f t="shared" ref="D153" si="65">REPT("   ", B153*2) &amp; C153</f>
        <v xml:space="preserve">            Coolant</v>
      </c>
      <c r="E153" s="41" t="s">
        <v>342</v>
      </c>
      <c r="F153" s="41" t="s">
        <v>492</v>
      </c>
      <c r="G153" s="41" t="s">
        <v>531</v>
      </c>
      <c r="H153" s="45"/>
      <c r="I153" s="63">
        <v>118</v>
      </c>
      <c r="J153" s="51" t="s">
        <v>174</v>
      </c>
      <c r="K153" s="61" t="s">
        <v>497</v>
      </c>
      <c r="L153" s="51"/>
      <c r="M153" s="51" t="s">
        <v>173</v>
      </c>
      <c r="N153" s="51"/>
      <c r="O153" s="68">
        <v>2023</v>
      </c>
      <c r="P153" s="51" t="s">
        <v>73</v>
      </c>
      <c r="Q153" s="61" t="s">
        <v>532</v>
      </c>
      <c r="R153" s="65"/>
      <c r="S153" s="87"/>
      <c r="T153" s="51" t="s">
        <v>533</v>
      </c>
      <c r="U153" s="80" t="s">
        <v>468</v>
      </c>
      <c r="V153" s="84">
        <f t="shared" si="61"/>
        <v>0</v>
      </c>
      <c r="W153" s="84">
        <f t="shared" ref="W153" si="66">1.5*H153</f>
        <v>0</v>
      </c>
      <c r="X153" s="80" t="s">
        <v>451</v>
      </c>
      <c r="Y153" s="83">
        <f t="shared" ref="Y153" si="67">0.9*I153</f>
        <v>106.2</v>
      </c>
      <c r="Z153" s="83">
        <f t="shared" ref="Z153" si="68">1.3*I153</f>
        <v>153.4</v>
      </c>
      <c r="AA153" s="80" t="s">
        <v>451</v>
      </c>
      <c r="AB153" s="83" t="s">
        <v>475</v>
      </c>
      <c r="AC153" s="83" t="s">
        <v>476</v>
      </c>
      <c r="AD153" s="83" t="s">
        <v>477</v>
      </c>
      <c r="AE153" s="80" t="s">
        <v>452</v>
      </c>
    </row>
    <row r="154" spans="1:31" ht="127" x14ac:dyDescent="0.2">
      <c r="A154" s="39">
        <v>75</v>
      </c>
      <c r="B154" s="40">
        <f t="shared" si="53"/>
        <v>1</v>
      </c>
      <c r="C154" s="58" t="s">
        <v>41</v>
      </c>
      <c r="D154" s="41" t="str">
        <f t="shared" si="54"/>
        <v xml:space="preserve">      Capital Plant Expenditures</v>
      </c>
      <c r="E154" s="41"/>
      <c r="F154" s="41"/>
      <c r="G154" s="41"/>
      <c r="H154" s="45"/>
      <c r="I154" s="63"/>
      <c r="J154" s="51"/>
      <c r="K154" s="61"/>
      <c r="L154" s="51"/>
      <c r="M154" s="51"/>
      <c r="N154" s="51"/>
      <c r="O154" s="68"/>
      <c r="P154" s="51"/>
      <c r="Q154" s="61" t="s">
        <v>501</v>
      </c>
      <c r="R154" s="61" t="s">
        <v>501</v>
      </c>
      <c r="S154" s="51"/>
      <c r="T154" s="61" t="s">
        <v>502</v>
      </c>
      <c r="U154" s="80"/>
      <c r="V154" s="84"/>
      <c r="W154" s="84"/>
      <c r="X154" s="80"/>
      <c r="Y154" s="83"/>
      <c r="Z154" s="83"/>
      <c r="AA154" s="80"/>
      <c r="AB154" s="83"/>
      <c r="AC154" s="83"/>
      <c r="AD154" s="83"/>
      <c r="AE154" s="80"/>
    </row>
    <row r="155" spans="1:31" ht="12.75" customHeight="1" x14ac:dyDescent="0.2">
      <c r="A155" s="39">
        <v>751</v>
      </c>
      <c r="B155" s="40">
        <f t="shared" si="53"/>
        <v>2</v>
      </c>
      <c r="C155" s="58" t="s">
        <v>509</v>
      </c>
      <c r="D155" s="41" t="str">
        <f>REPT("   ", B155*2) &amp; C155</f>
        <v xml:space="preserve">            Annualized Vessel Replacements</v>
      </c>
      <c r="E155" s="41"/>
      <c r="F155" s="41"/>
      <c r="G155" s="41"/>
      <c r="H155" s="45"/>
      <c r="I155" s="63"/>
      <c r="J155" s="51"/>
      <c r="K155" s="61"/>
      <c r="L155" s="51"/>
      <c r="M155" s="51"/>
      <c r="N155" s="51"/>
      <c r="O155" s="68"/>
      <c r="P155" s="51"/>
      <c r="Q155" s="106" t="s">
        <v>501</v>
      </c>
      <c r="R155" s="106" t="s">
        <v>501</v>
      </c>
      <c r="S155" s="51"/>
      <c r="T155" s="106" t="s">
        <v>502</v>
      </c>
      <c r="U155" s="80"/>
      <c r="V155" s="84"/>
      <c r="W155" s="84"/>
      <c r="X155" s="80"/>
      <c r="Y155" s="83"/>
      <c r="Z155" s="83"/>
      <c r="AA155" s="80"/>
      <c r="AB155" s="83"/>
      <c r="AC155" s="83"/>
      <c r="AD155" s="83"/>
      <c r="AE155" s="80"/>
    </row>
    <row r="156" spans="1:31" ht="15" x14ac:dyDescent="0.2">
      <c r="A156" s="39">
        <v>752</v>
      </c>
      <c r="B156" s="40">
        <f t="shared" si="53"/>
        <v>2</v>
      </c>
      <c r="C156" s="58" t="s">
        <v>510</v>
      </c>
      <c r="D156" s="41" t="str">
        <f t="shared" si="54"/>
        <v xml:space="preserve">            Annualized Moderator Replacements</v>
      </c>
      <c r="E156" s="41"/>
      <c r="F156" s="41"/>
      <c r="G156" s="41"/>
      <c r="H156" s="45"/>
      <c r="I156" s="63"/>
      <c r="J156" s="51"/>
      <c r="K156" s="61"/>
      <c r="L156" s="51"/>
      <c r="M156" s="51"/>
      <c r="N156" s="51"/>
      <c r="O156" s="68"/>
      <c r="P156" s="51"/>
      <c r="Q156" s="108"/>
      <c r="R156" s="108"/>
      <c r="S156" s="51"/>
      <c r="T156" s="108"/>
      <c r="U156" s="80"/>
      <c r="V156" s="84"/>
      <c r="W156" s="84"/>
      <c r="X156" s="80"/>
      <c r="Y156" s="83"/>
      <c r="Z156" s="83"/>
      <c r="AA156" s="80"/>
      <c r="AB156" s="83"/>
      <c r="AC156" s="83"/>
      <c r="AD156" s="83"/>
      <c r="AE156" s="80"/>
    </row>
    <row r="157" spans="1:31" ht="15" x14ac:dyDescent="0.2">
      <c r="A157" s="39">
        <v>753</v>
      </c>
      <c r="B157" s="40">
        <f t="shared" si="53"/>
        <v>2</v>
      </c>
      <c r="C157" s="58" t="s">
        <v>511</v>
      </c>
      <c r="D157" s="41" t="str">
        <f t="shared" si="54"/>
        <v xml:space="preserve">            Annualized Reflector Replacements</v>
      </c>
      <c r="E157" s="41"/>
      <c r="F157" s="41"/>
      <c r="G157" s="41"/>
      <c r="H157" s="45"/>
      <c r="I157" s="63"/>
      <c r="J157" s="51"/>
      <c r="K157" s="61"/>
      <c r="L157" s="51"/>
      <c r="M157" s="51"/>
      <c r="N157" s="51"/>
      <c r="O157" s="68"/>
      <c r="P157" s="51"/>
      <c r="Q157" s="108"/>
      <c r="R157" s="108"/>
      <c r="S157" s="51"/>
      <c r="T157" s="108"/>
      <c r="U157" s="80"/>
      <c r="V157" s="84"/>
      <c r="W157" s="84"/>
      <c r="X157" s="80"/>
      <c r="Y157" s="83"/>
      <c r="Z157" s="83"/>
      <c r="AA157" s="80"/>
      <c r="AB157" s="83"/>
      <c r="AC157" s="83"/>
      <c r="AD157" s="83"/>
      <c r="AE157" s="80"/>
    </row>
    <row r="158" spans="1:31" ht="29" x14ac:dyDescent="0.2">
      <c r="A158" s="39">
        <v>754</v>
      </c>
      <c r="B158" s="40">
        <f t="shared" si="53"/>
        <v>2</v>
      </c>
      <c r="C158" s="58" t="s">
        <v>512</v>
      </c>
      <c r="D158" s="41" t="str">
        <f t="shared" si="54"/>
        <v xml:space="preserve">            Annualized Reactivity Control Replacements</v>
      </c>
      <c r="E158" s="41"/>
      <c r="F158" s="41"/>
      <c r="G158" s="41"/>
      <c r="H158" s="45"/>
      <c r="I158" s="63"/>
      <c r="J158" s="51"/>
      <c r="K158" s="61"/>
      <c r="L158" s="51"/>
      <c r="M158" s="51"/>
      <c r="N158" s="51"/>
      <c r="O158" s="68"/>
      <c r="P158" s="51"/>
      <c r="Q158" s="108"/>
      <c r="R158" s="108"/>
      <c r="S158" s="51"/>
      <c r="T158" s="108"/>
      <c r="U158" s="80"/>
      <c r="V158" s="84"/>
      <c r="W158" s="84"/>
      <c r="X158" s="80"/>
      <c r="Y158" s="83"/>
      <c r="Z158" s="83"/>
      <c r="AA158" s="80"/>
      <c r="AB158" s="83"/>
      <c r="AC158" s="83"/>
      <c r="AD158" s="83"/>
      <c r="AE158" s="80"/>
    </row>
    <row r="159" spans="1:31" ht="29" x14ac:dyDescent="0.2">
      <c r="A159" s="39">
        <v>755</v>
      </c>
      <c r="B159" s="40">
        <f t="shared" si="53"/>
        <v>2</v>
      </c>
      <c r="C159" s="58" t="s">
        <v>513</v>
      </c>
      <c r="D159" s="41" t="str">
        <f t="shared" si="54"/>
        <v xml:space="preserve">            Annualized Integrated Heat Transfer System Replacements</v>
      </c>
      <c r="E159" s="41"/>
      <c r="F159" s="41"/>
      <c r="G159" s="41"/>
      <c r="H159" s="45"/>
      <c r="I159" s="63"/>
      <c r="J159" s="51"/>
      <c r="K159" s="61"/>
      <c r="L159" s="51"/>
      <c r="M159" s="51"/>
      <c r="N159" s="51"/>
      <c r="O159" s="68"/>
      <c r="P159" s="51"/>
      <c r="Q159" s="108"/>
      <c r="R159" s="108"/>
      <c r="S159" s="51"/>
      <c r="T159" s="108"/>
      <c r="U159" s="80"/>
      <c r="V159" s="84"/>
      <c r="W159" s="84"/>
      <c r="X159" s="80"/>
      <c r="Y159" s="83"/>
      <c r="Z159" s="83"/>
      <c r="AA159" s="80"/>
      <c r="AB159" s="83"/>
      <c r="AC159" s="83"/>
      <c r="AD159" s="83"/>
      <c r="AE159" s="80"/>
    </row>
    <row r="160" spans="1:31" ht="25.5" customHeight="1" x14ac:dyDescent="0.2">
      <c r="A160" s="39">
        <v>759</v>
      </c>
      <c r="B160" s="40">
        <f t="shared" si="53"/>
        <v>2</v>
      </c>
      <c r="C160" s="58" t="s">
        <v>514</v>
      </c>
      <c r="D160" s="41" t="str">
        <f t="shared" si="54"/>
        <v xml:space="preserve">            Annualized Misc. Replacements</v>
      </c>
      <c r="E160" s="41"/>
      <c r="F160" s="41"/>
      <c r="G160" s="41"/>
      <c r="H160" s="45"/>
      <c r="I160" s="63"/>
      <c r="J160" s="51"/>
      <c r="K160" s="61"/>
      <c r="L160" s="51"/>
      <c r="M160" s="51"/>
      <c r="N160" s="51"/>
      <c r="O160" s="68"/>
      <c r="P160" s="51"/>
      <c r="Q160" s="107"/>
      <c r="R160" s="107"/>
      <c r="S160" s="51"/>
      <c r="T160" s="107"/>
      <c r="U160" s="80"/>
      <c r="V160" s="84"/>
      <c r="W160" s="84"/>
      <c r="X160" s="80"/>
      <c r="Y160" s="83"/>
      <c r="Z160" s="83"/>
      <c r="AA160" s="80"/>
      <c r="AB160" s="83"/>
      <c r="AC160" s="83"/>
      <c r="AD160" s="83"/>
      <c r="AE160" s="80"/>
    </row>
    <row r="161" spans="1:31" ht="30" customHeight="1" x14ac:dyDescent="0.2">
      <c r="A161" s="39">
        <v>78</v>
      </c>
      <c r="B161" s="40">
        <f t="shared" ref="B161" si="69">IF(ISNUMBER(A161),
    IF(AND(A161=INT(A161), MOD(A161, 10) = 0), 0,
        IF(AND(A161=INT(A161), LEN(A161)=2), 1,
            IF(AND(A161=INT(A161), LEN(A161)=3), 2,
                LEN(A161) - FIND(".", A161) + 2)
        )
    ),
"")</f>
        <v>1</v>
      </c>
      <c r="C161" s="58" t="s">
        <v>42</v>
      </c>
      <c r="D161" s="41" t="str">
        <f t="shared" ref="D161" si="70">REPT("   ", B161*2) &amp; C161</f>
        <v xml:space="preserve">      Annualized Decommissioning Cost</v>
      </c>
      <c r="E161" s="41"/>
      <c r="F161" s="41"/>
      <c r="G161" s="41"/>
      <c r="H161" s="45"/>
      <c r="I161" s="75"/>
      <c r="J161" s="51"/>
      <c r="K161" s="47"/>
      <c r="L161" s="51"/>
      <c r="M161" s="51"/>
      <c r="N161" s="51"/>
      <c r="O161" s="68"/>
      <c r="P161" s="76"/>
      <c r="Q161" s="61"/>
      <c r="R161" s="61"/>
      <c r="S161" s="51"/>
      <c r="T161" s="61" t="s">
        <v>500</v>
      </c>
      <c r="U161" s="80"/>
      <c r="V161" s="84"/>
      <c r="W161" s="84"/>
      <c r="X161" s="80"/>
      <c r="Y161" s="83"/>
      <c r="Z161" s="83"/>
      <c r="AA161" s="80"/>
      <c r="AB161" s="83"/>
      <c r="AC161" s="83"/>
      <c r="AD161" s="83"/>
      <c r="AE161" s="80"/>
    </row>
    <row r="162" spans="1:31" ht="15" x14ac:dyDescent="0.2">
      <c r="A162" s="39">
        <v>80</v>
      </c>
      <c r="B162" s="40">
        <f t="shared" si="53"/>
        <v>0</v>
      </c>
      <c r="C162" s="74" t="s">
        <v>43</v>
      </c>
      <c r="D162" s="41" t="str">
        <f t="shared" si="54"/>
        <v>Annualized Fuel Cost</v>
      </c>
      <c r="E162" s="41"/>
      <c r="F162" s="41"/>
      <c r="G162" s="41"/>
      <c r="H162" s="42"/>
      <c r="I162" s="42"/>
      <c r="J162" s="40"/>
      <c r="K162" s="43"/>
      <c r="L162" s="40"/>
      <c r="M162" s="40"/>
      <c r="N162" s="40"/>
      <c r="O162" s="42"/>
      <c r="P162" s="40"/>
      <c r="Q162" s="43"/>
      <c r="R162" s="40"/>
      <c r="S162" s="40"/>
      <c r="T162" s="40"/>
      <c r="U162" s="80"/>
      <c r="V162" s="84"/>
      <c r="W162" s="84"/>
      <c r="X162" s="80"/>
      <c r="Y162" s="83"/>
      <c r="Z162" s="83"/>
      <c r="AA162" s="80"/>
      <c r="AB162" s="83"/>
      <c r="AC162" s="83"/>
      <c r="AD162" s="83"/>
      <c r="AE162" s="80"/>
    </row>
    <row r="163" spans="1:31" ht="85" x14ac:dyDescent="0.2">
      <c r="A163" s="39">
        <v>81</v>
      </c>
      <c r="B163" s="40">
        <f t="shared" si="53"/>
        <v>1</v>
      </c>
      <c r="C163" s="58" t="s">
        <v>44</v>
      </c>
      <c r="D163" s="41" t="str">
        <f t="shared" si="54"/>
        <v xml:space="preserve">      Refueling Operations</v>
      </c>
      <c r="E163" s="41" t="s">
        <v>342</v>
      </c>
      <c r="F163" s="41"/>
      <c r="G163" s="41"/>
      <c r="H163" s="45"/>
      <c r="I163" s="63">
        <v>178500</v>
      </c>
      <c r="J163" s="51" t="s">
        <v>383</v>
      </c>
      <c r="K163" s="61" t="s">
        <v>384</v>
      </c>
      <c r="L163" s="51"/>
      <c r="M163" s="51"/>
      <c r="N163" s="51">
        <v>1</v>
      </c>
      <c r="O163" s="68">
        <v>2024</v>
      </c>
      <c r="P163" s="76" t="s">
        <v>72</v>
      </c>
      <c r="Q163" s="61"/>
      <c r="R163" s="61" t="s">
        <v>385</v>
      </c>
      <c r="S163" s="51"/>
      <c r="T163" s="51"/>
      <c r="U163" s="80" t="s">
        <v>468</v>
      </c>
      <c r="V163" s="84">
        <f t="shared" si="57"/>
        <v>0</v>
      </c>
      <c r="W163" s="84">
        <f t="shared" si="58"/>
        <v>0</v>
      </c>
      <c r="X163" s="80" t="s">
        <v>451</v>
      </c>
      <c r="Y163" s="83">
        <f t="shared" si="59"/>
        <v>160650</v>
      </c>
      <c r="Z163" s="83">
        <f t="shared" si="60"/>
        <v>232050</v>
      </c>
      <c r="AA163" s="80" t="s">
        <v>451</v>
      </c>
      <c r="AB163" s="83" t="s">
        <v>475</v>
      </c>
      <c r="AC163" s="83" t="s">
        <v>476</v>
      </c>
      <c r="AD163" s="83" t="s">
        <v>477</v>
      </c>
      <c r="AE163" s="80" t="s">
        <v>452</v>
      </c>
    </row>
    <row r="164" spans="1:31" ht="15" x14ac:dyDescent="0.2">
      <c r="A164" s="39">
        <v>82</v>
      </c>
      <c r="B164" s="40">
        <f t="shared" si="53"/>
        <v>1</v>
      </c>
      <c r="C164" s="58" t="s">
        <v>45</v>
      </c>
      <c r="D164" s="41" t="str">
        <f t="shared" si="54"/>
        <v xml:space="preserve">      Additional Nuclear Fuel</v>
      </c>
      <c r="E164" s="41"/>
      <c r="F164" s="41"/>
      <c r="G164" s="41"/>
      <c r="H164" s="45"/>
      <c r="I164" s="63"/>
      <c r="J164" s="51"/>
      <c r="K164" s="61"/>
      <c r="L164" s="51"/>
      <c r="M164" s="51"/>
      <c r="N164" s="51"/>
      <c r="O164" s="68"/>
      <c r="P164" s="51"/>
      <c r="Q164" s="61"/>
      <c r="R164" s="51"/>
      <c r="S164" s="51"/>
      <c r="T164" s="51"/>
      <c r="U164" s="80"/>
      <c r="V164" s="84"/>
      <c r="W164" s="84"/>
      <c r="X164" s="80"/>
      <c r="Y164" s="83"/>
      <c r="Z164" s="83"/>
      <c r="AA164" s="80"/>
      <c r="AB164" s="83"/>
      <c r="AC164" s="83"/>
      <c r="AD164" s="83"/>
      <c r="AE164" s="80"/>
    </row>
    <row r="165" spans="1:31" ht="29" x14ac:dyDescent="0.2">
      <c r="A165" s="39">
        <v>83</v>
      </c>
      <c r="B165" s="40">
        <f t="shared" si="53"/>
        <v>1</v>
      </c>
      <c r="C165" s="58" t="s">
        <v>46</v>
      </c>
      <c r="D165" s="41" t="str">
        <f t="shared" si="54"/>
        <v xml:space="preserve">      Spent Fuel Management</v>
      </c>
      <c r="E165" s="41" t="s">
        <v>341</v>
      </c>
      <c r="F165" s="41"/>
      <c r="G165" s="41"/>
      <c r="H165" s="45"/>
      <c r="I165" s="63">
        <v>1</v>
      </c>
      <c r="J165" s="51" t="s">
        <v>396</v>
      </c>
      <c r="K165" s="61" t="s">
        <v>397</v>
      </c>
      <c r="L165" s="51"/>
      <c r="M165" s="51"/>
      <c r="N165" s="51">
        <v>1</v>
      </c>
      <c r="O165" s="68">
        <v>2024</v>
      </c>
      <c r="P165" s="51" t="s">
        <v>77</v>
      </c>
      <c r="Q165" s="61"/>
      <c r="R165" s="51"/>
      <c r="S165" s="51"/>
      <c r="T165" s="51"/>
      <c r="U165" s="80" t="s">
        <v>468</v>
      </c>
      <c r="V165" s="84">
        <f t="shared" si="57"/>
        <v>0</v>
      </c>
      <c r="W165" s="84">
        <f t="shared" si="58"/>
        <v>0</v>
      </c>
      <c r="X165" s="80" t="s">
        <v>451</v>
      </c>
      <c r="Y165" s="83">
        <f t="shared" si="59"/>
        <v>0.9</v>
      </c>
      <c r="Z165" s="83">
        <f t="shared" si="60"/>
        <v>1.3</v>
      </c>
      <c r="AA165" s="80" t="s">
        <v>451</v>
      </c>
      <c r="AB165" s="83" t="s">
        <v>475</v>
      </c>
      <c r="AC165" s="83" t="s">
        <v>476</v>
      </c>
      <c r="AD165" s="83" t="s">
        <v>477</v>
      </c>
      <c r="AE165" s="80" t="s">
        <v>452</v>
      </c>
    </row>
  </sheetData>
  <autoFilter ref="A1:Z165" xr:uid="{F5330BDA-7164-B946-A942-FFAE4F744BBA}"/>
  <mergeCells count="54">
    <mergeCell ref="T107:T108"/>
    <mergeCell ref="R155:R160"/>
    <mergeCell ref="Q155:Q160"/>
    <mergeCell ref="T155:T160"/>
    <mergeCell ref="Q138:Q141"/>
    <mergeCell ref="Q22:Q24"/>
    <mergeCell ref="Q26:Q28"/>
    <mergeCell ref="Q37:Q39"/>
    <mergeCell ref="Q41:Q43"/>
    <mergeCell ref="R129:R133"/>
    <mergeCell ref="R96:R97"/>
    <mergeCell ref="R122:R127"/>
    <mergeCell ref="Q52:Q54"/>
    <mergeCell ref="R52:R54"/>
    <mergeCell ref="R46:R48"/>
    <mergeCell ref="Q30:Q32"/>
    <mergeCell ref="Q46:Q48"/>
    <mergeCell ref="Q57:Q59"/>
    <mergeCell ref="Q61:Q63"/>
    <mergeCell ref="Q129:Q133"/>
    <mergeCell ref="Q122:Q127"/>
    <mergeCell ref="R3:R4"/>
    <mergeCell ref="S3:S4"/>
    <mergeCell ref="R5:R6"/>
    <mergeCell ref="S5:S6"/>
    <mergeCell ref="S22:S24"/>
    <mergeCell ref="S26:S28"/>
    <mergeCell ref="S37:S39"/>
    <mergeCell ref="S41:S43"/>
    <mergeCell ref="S46:S48"/>
    <mergeCell ref="R22:R24"/>
    <mergeCell ref="R26:R28"/>
    <mergeCell ref="R37:R39"/>
    <mergeCell ref="R41:R43"/>
    <mergeCell ref="R30:R32"/>
    <mergeCell ref="S30:S32"/>
    <mergeCell ref="Q15:Q17"/>
    <mergeCell ref="Q11:Q13"/>
    <mergeCell ref="R11:R13"/>
    <mergeCell ref="S11:S13"/>
    <mergeCell ref="R15:R17"/>
    <mergeCell ref="S15:S17"/>
    <mergeCell ref="T52:T54"/>
    <mergeCell ref="T96:T97"/>
    <mergeCell ref="R57:R59"/>
    <mergeCell ref="R61:R63"/>
    <mergeCell ref="S57:S59"/>
    <mergeCell ref="S61:S63"/>
    <mergeCell ref="S85:S91"/>
    <mergeCell ref="R76:R80"/>
    <mergeCell ref="S76:S80"/>
    <mergeCell ref="R68:R73"/>
    <mergeCell ref="S52:S54"/>
    <mergeCell ref="S96:S97"/>
  </mergeCells>
  <conditionalFormatting sqref="A96:F98 A99:T99 S101:T106 S107:S108 A111:Q112 S111:T112 A122:B127 S122:T127 A128:T128 L129:T129 L130:P130 S130:T134 I131:P131 A134:R134 R138:T143 A144:T147 A148:H149 A150:J153 S152:T153">
    <cfRule type="expression" dxfId="164" priority="290">
      <formula>$B96&lt;2</formula>
    </cfRule>
    <cfRule type="expression" dxfId="163" priority="289">
      <formula>$B96=2</formula>
    </cfRule>
    <cfRule type="expression" dxfId="162" priority="288">
      <formula>$B96=3</formula>
    </cfRule>
  </conditionalFormatting>
  <conditionalFormatting sqref="A150:J153">
    <cfRule type="expression" dxfId="161" priority="57">
      <formula>$B150=0</formula>
    </cfRule>
  </conditionalFormatting>
  <conditionalFormatting sqref="A81:K81 A1:AE45 A111:Q112 S111:T112 S152:T153 A49:AE52 A46:T48 V46:AE48">
    <cfRule type="expression" dxfId="160" priority="84">
      <formula>$B1=0</formula>
    </cfRule>
  </conditionalFormatting>
  <conditionalFormatting sqref="A132:P133">
    <cfRule type="expression" dxfId="159" priority="239">
      <formula>$B132=0</formula>
    </cfRule>
    <cfRule type="expression" dxfId="158" priority="238">
      <formula>$B132&lt;2</formula>
    </cfRule>
    <cfRule type="expression" dxfId="157" priority="237">
      <formula>$B132=2</formula>
    </cfRule>
    <cfRule type="expression" dxfId="156" priority="236">
      <formula>$B132=3</formula>
    </cfRule>
  </conditionalFormatting>
  <conditionalFormatting sqref="A136:P143">
    <cfRule type="expression" dxfId="155" priority="185">
      <formula>$B136=2</formula>
    </cfRule>
    <cfRule type="expression" dxfId="154" priority="187">
      <formula>$B136=0</formula>
    </cfRule>
    <cfRule type="expression" dxfId="153" priority="186">
      <formula>$B136&lt;2</formula>
    </cfRule>
    <cfRule type="expression" dxfId="152" priority="184">
      <formula>$B136=3</formula>
    </cfRule>
  </conditionalFormatting>
  <conditionalFormatting sqref="A53:S54 A55:AE75 A108:S108 A109:AE118 A155:P160 A161:AE165 U53:AE54 U108:AE108 Q155:AE155 S156:S160 U156:AE160 A83:AE84 A76:T82 V76:AE82 A89:AE89 A85:T88 V85:AE88 A94:AE95 A90:T93 V90:AE93 A99:AE107 A96:T98 V96:AE98 A120:AE121 A119:T119 V119:AE119 A128:AE154 A122:T127 V122:AE127">
    <cfRule type="expression" dxfId="151" priority="255">
      <formula>$B53=0</formula>
    </cfRule>
  </conditionalFormatting>
  <conditionalFormatting sqref="A95:S95">
    <cfRule type="expression" dxfId="150" priority="292">
      <formula>$B95=3</formula>
    </cfRule>
    <cfRule type="expression" dxfId="149" priority="293">
      <formula>$B95=2</formula>
    </cfRule>
    <cfRule type="expression" dxfId="148" priority="294">
      <formula>$B95&lt;2</formula>
    </cfRule>
    <cfRule type="expression" dxfId="147" priority="295">
      <formula>$B95=0</formula>
    </cfRule>
  </conditionalFormatting>
  <conditionalFormatting sqref="A74:T94">
    <cfRule type="expression" dxfId="146" priority="75">
      <formula>$B74=3</formula>
    </cfRule>
    <cfRule type="expression" dxfId="145" priority="76">
      <formula>$B74=2</formula>
    </cfRule>
    <cfRule type="expression" dxfId="144" priority="77">
      <formula>$B74&lt;2</formula>
    </cfRule>
  </conditionalFormatting>
  <conditionalFormatting sqref="A83:T83">
    <cfRule type="expression" dxfId="143" priority="134">
      <formula>$B83=0</formula>
    </cfRule>
  </conditionalFormatting>
  <conditionalFormatting sqref="A99:T99 A113:T121 A128:T128 L129:T129 L130:P130 I131:P131 A134:R134 A144:T147 A148:H149 A96:F98 S101:T106 S107:S108 A122:B127 S122:T127 S130:T134 R138:T143">
    <cfRule type="expression" dxfId="142" priority="291">
      <formula>$B96=0</formula>
    </cfRule>
  </conditionalFormatting>
  <conditionalFormatting sqref="A109:T110 A113:T121">
    <cfRule type="expression" dxfId="141" priority="122">
      <formula>$B109=3</formula>
    </cfRule>
    <cfRule type="expression" dxfId="140" priority="124">
      <formula>$B109&lt;2</formula>
    </cfRule>
    <cfRule type="expression" dxfId="139" priority="123">
      <formula>$B109=2</formula>
    </cfRule>
  </conditionalFormatting>
  <conditionalFormatting sqref="A109:T110">
    <cfRule type="expression" dxfId="138" priority="259">
      <formula>$B109=0</formula>
    </cfRule>
  </conditionalFormatting>
  <conditionalFormatting sqref="A135:T135">
    <cfRule type="expression" dxfId="137" priority="223">
      <formula>$B135=0</formula>
    </cfRule>
    <cfRule type="expression" dxfId="136" priority="222">
      <formula>$B135&lt;2</formula>
    </cfRule>
    <cfRule type="expression" dxfId="135" priority="221">
      <formula>$B135=2</formula>
    </cfRule>
    <cfRule type="expression" dxfId="134" priority="220">
      <formula>$B135=3</formula>
    </cfRule>
  </conditionalFormatting>
  <conditionalFormatting sqref="A162:T165">
    <cfRule type="expression" dxfId="133" priority="152">
      <formula>$B162=3</formula>
    </cfRule>
    <cfRule type="expression" dxfId="132" priority="153">
      <formula>$B162=2</formula>
    </cfRule>
    <cfRule type="expression" dxfId="131" priority="155">
      <formula>$B162=0</formula>
    </cfRule>
    <cfRule type="expression" dxfId="130" priority="154">
      <formula>$B162&lt;2</formula>
    </cfRule>
  </conditionalFormatting>
  <conditionalFormatting sqref="A1:AE45 A53:S54 U53:AE54 A55:AE75 A108:S108 U108:AE108 A109:AE118 Q155:AE155 A155:P160 S156:S160 U156:AE160 A161:AE165 A49:AE52 A46:T48 V46:AE48 A83:AE84 A76:T82 V76:AE82 A89:AE89 A85:T88 V85:AE88 A94:AE95 A90:T93 V90:AE93 A99:AE107 A96:T98 V96:AE98 A120:AE121 A119:T119 V119:AE119 A128:AE154 A122:T127 V122:AE127">
    <cfRule type="expression" dxfId="129" priority="254">
      <formula>$B1&lt;2</formula>
    </cfRule>
    <cfRule type="expression" dxfId="128" priority="253">
      <formula>$B1=2</formula>
    </cfRule>
  </conditionalFormatting>
  <conditionalFormatting sqref="A109:AE118 A161:AE165 A55:AE75 A1:AE45 A53:S54 U53:AE54 A108:S108 U108:AE108 Q155:AE155 A155:P160 S156:S160 U156:AE160 A49:AE52 A46:T48 V46:AE48 A83:AE84 A76:T82 V76:AE82 A89:AE89 A85:T88 V85:AE88 A94:AE95 A90:T93 V90:AE93 A99:AE107 A96:T98 V96:AE98 A120:AE121 A119:T119 V119:AE119 A128:AE154 A122:T127 V122:AE127">
    <cfRule type="expression" dxfId="127" priority="252">
      <formula>$B1=3</formula>
    </cfRule>
  </conditionalFormatting>
  <conditionalFormatting sqref="C122:R122 C123:P127">
    <cfRule type="expression" dxfId="126" priority="114">
      <formula>$B122=0</formula>
    </cfRule>
    <cfRule type="expression" dxfId="125" priority="113">
      <formula>$B122&lt;2</formula>
    </cfRule>
    <cfRule type="expression" dxfId="124" priority="112">
      <formula>$B122=2</formula>
    </cfRule>
    <cfRule type="expression" dxfId="123" priority="111">
      <formula>$B122=3</formula>
    </cfRule>
  </conditionalFormatting>
  <conditionalFormatting sqref="D2:D80 D82 D84:D121 D128:D165">
    <cfRule type="colorScale" priority="540">
      <colorScale>
        <cfvo type="min"/>
        <cfvo type="max"/>
        <color rgb="FFFF7128"/>
        <color rgb="FFFFEF9C"/>
      </colorScale>
    </cfRule>
  </conditionalFormatting>
  <conditionalFormatting sqref="D81">
    <cfRule type="colorScale" priority="89">
      <colorScale>
        <cfvo type="min"/>
        <cfvo type="max"/>
        <color rgb="FFFF7128"/>
        <color rgb="FFFFEF9C"/>
      </colorScale>
    </cfRule>
  </conditionalFormatting>
  <conditionalFormatting sqref="D83">
    <cfRule type="colorScale" priority="135">
      <colorScale>
        <cfvo type="min"/>
        <cfvo type="max"/>
        <color rgb="FFFF7128"/>
        <color rgb="FFFFEF9C"/>
      </colorScale>
    </cfRule>
  </conditionalFormatting>
  <conditionalFormatting sqref="D122:D127">
    <cfRule type="colorScale" priority="115">
      <colorScale>
        <cfvo type="min"/>
        <cfvo type="max"/>
        <color rgb="FFFF7128"/>
        <color rgb="FFFFEF9C"/>
      </colorScale>
    </cfRule>
  </conditionalFormatting>
  <conditionalFormatting sqref="E122:O127">
    <cfRule type="expression" dxfId="122" priority="110">
      <formula>_xlfn.ISFORMULA(E122)</formula>
    </cfRule>
  </conditionalFormatting>
  <conditionalFormatting sqref="F51:G54">
    <cfRule type="expression" dxfId="121" priority="61">
      <formula>$B51&lt;2</formula>
    </cfRule>
    <cfRule type="expression" dxfId="120" priority="62">
      <formula>$B51=0</formula>
    </cfRule>
    <cfRule type="expression" dxfId="119" priority="60">
      <formula>$B51=2</formula>
    </cfRule>
    <cfRule type="expression" dxfId="118" priority="59">
      <formula>$B51=3</formula>
    </cfRule>
  </conditionalFormatting>
  <conditionalFormatting sqref="G96:G97">
    <cfRule type="expression" dxfId="117" priority="284">
      <formula>$B96=3</formula>
    </cfRule>
    <cfRule type="expression" dxfId="116" priority="285">
      <formula>$B96=2</formula>
    </cfRule>
    <cfRule type="expression" dxfId="115" priority="286">
      <formula>$B96&lt;2</formula>
    </cfRule>
    <cfRule type="expression" dxfId="114" priority="287">
      <formula>$B96=0</formula>
    </cfRule>
  </conditionalFormatting>
  <conditionalFormatting sqref="H5">
    <cfRule type="expression" dxfId="113" priority="90">
      <formula>$B5=3</formula>
    </cfRule>
    <cfRule type="expression" dxfId="112" priority="93">
      <formula>$B5=0</formula>
    </cfRule>
    <cfRule type="expression" dxfId="111" priority="92">
      <formula>$B5&lt;2</formula>
    </cfRule>
    <cfRule type="expression" dxfId="110" priority="91">
      <formula>$B5=2</formula>
    </cfRule>
  </conditionalFormatting>
  <conditionalFormatting sqref="H71:J73">
    <cfRule type="expression" dxfId="109" priority="145">
      <formula>$B71=0</formula>
    </cfRule>
    <cfRule type="expression" dxfId="108" priority="141">
      <formula>_xlfn.ISFORMULA(H71)</formula>
    </cfRule>
  </conditionalFormatting>
  <conditionalFormatting sqref="H1:O1048576">
    <cfRule type="expression" dxfId="107" priority="151">
      <formula>_xlfn.ISFORMULA(H1)</formula>
    </cfRule>
  </conditionalFormatting>
  <conditionalFormatting sqref="H68:O70">
    <cfRule type="expression" dxfId="106" priority="146">
      <formula>_xlfn.ISFORMULA(H68)</formula>
    </cfRule>
  </conditionalFormatting>
  <conditionalFormatting sqref="H69:Q73">
    <cfRule type="expression" dxfId="105" priority="139">
      <formula>$B69&lt;2</formula>
    </cfRule>
    <cfRule type="expression" dxfId="104" priority="137">
      <formula>$B69=3</formula>
    </cfRule>
    <cfRule type="expression" dxfId="103" priority="138">
      <formula>$B69=2</formula>
    </cfRule>
  </conditionalFormatting>
  <conditionalFormatting sqref="H68:T68 H69:Q70 S69:T73">
    <cfRule type="expression" dxfId="102" priority="150">
      <formula>$B68=0</formula>
    </cfRule>
  </conditionalFormatting>
  <conditionalFormatting sqref="H68:T68 S69:T73">
    <cfRule type="expression" dxfId="101" priority="147">
      <formula>$B68=3</formula>
    </cfRule>
    <cfRule type="expression" dxfId="100" priority="148">
      <formula>$B68=2</formula>
    </cfRule>
    <cfRule type="expression" dxfId="99" priority="149">
      <formula>$B68&lt;2</formula>
    </cfRule>
  </conditionalFormatting>
  <conditionalFormatting sqref="I81">
    <cfRule type="expression" dxfId="98" priority="83">
      <formula>_xlfn.ISFORMULA(I81)</formula>
    </cfRule>
  </conditionalFormatting>
  <conditionalFormatting sqref="I148:J149">
    <cfRule type="expression" dxfId="97" priority="171">
      <formula>$B149=0</formula>
    </cfRule>
    <cfRule type="expression" dxfId="96" priority="170">
      <formula>$B149&lt;2</formula>
    </cfRule>
    <cfRule type="expression" dxfId="95" priority="169">
      <formula>$B149=2</formula>
    </cfRule>
    <cfRule type="expression" dxfId="94" priority="168">
      <formula>$B149=3</formula>
    </cfRule>
  </conditionalFormatting>
  <conditionalFormatting sqref="I129:K130">
    <cfRule type="expression" dxfId="93" priority="248">
      <formula>$B129=3</formula>
    </cfRule>
    <cfRule type="expression" dxfId="92" priority="249">
      <formula>$B129=2</formula>
    </cfRule>
    <cfRule type="expression" dxfId="91" priority="250">
      <formula>$B129&lt;2</formula>
    </cfRule>
    <cfRule type="expression" dxfId="90" priority="251">
      <formula>$B129=0</formula>
    </cfRule>
  </conditionalFormatting>
  <conditionalFormatting sqref="J100">
    <cfRule type="expression" dxfId="89" priority="487">
      <formula>#REF!=2</formula>
    </cfRule>
    <cfRule type="expression" dxfId="88" priority="97">
      <formula>$B100=0</formula>
    </cfRule>
    <cfRule type="expression" dxfId="87" priority="488">
      <formula>#REF!&lt;2</formula>
    </cfRule>
    <cfRule type="expression" dxfId="86" priority="489">
      <formula>#REF!=0</formula>
    </cfRule>
    <cfRule type="expression" dxfId="85" priority="490">
      <formula>#REF!=3</formula>
    </cfRule>
  </conditionalFormatting>
  <conditionalFormatting sqref="J100:T100">
    <cfRule type="expression" dxfId="84" priority="94">
      <formula>$B100=3</formula>
    </cfRule>
    <cfRule type="expression" dxfId="83" priority="95">
      <formula>$B100=2</formula>
    </cfRule>
    <cfRule type="expression" dxfId="82" priority="96">
      <formula>$B100&lt;2</formula>
    </cfRule>
  </conditionalFormatting>
  <conditionalFormatting sqref="L81">
    <cfRule type="expression" dxfId="81" priority="78">
      <formula>_xlfn.ISFORMULA(L81)</formula>
    </cfRule>
  </conditionalFormatting>
  <conditionalFormatting sqref="L81:T81">
    <cfRule type="expression" dxfId="80" priority="79">
      <formula>$B81=0</formula>
    </cfRule>
  </conditionalFormatting>
  <conditionalFormatting sqref="O71:O73">
    <cfRule type="expression" dxfId="79" priority="136">
      <formula>_xlfn.ISFORMULA(O71)</formula>
    </cfRule>
  </conditionalFormatting>
  <conditionalFormatting sqref="O111:O112 E83:O83">
    <cfRule type="expression" dxfId="78" priority="130">
      <formula>_xlfn.ISFORMULA(E83)</formula>
    </cfRule>
  </conditionalFormatting>
  <conditionalFormatting sqref="O135">
    <cfRule type="expression" dxfId="77" priority="305">
      <formula>$B136=3</formula>
    </cfRule>
    <cfRule type="expression" dxfId="76" priority="308">
      <formula>$B136=0</formula>
    </cfRule>
    <cfRule type="expression" dxfId="75" priority="307">
      <formula>$B136&lt;2</formula>
    </cfRule>
    <cfRule type="expression" dxfId="74" priority="306">
      <formula>$B136=2</formula>
    </cfRule>
  </conditionalFormatting>
  <conditionalFormatting sqref="O71:Q73">
    <cfRule type="expression" dxfId="73" priority="140">
      <formula>$B71=0</formula>
    </cfRule>
  </conditionalFormatting>
  <conditionalFormatting sqref="Q138">
    <cfRule type="expression" dxfId="72" priority="235">
      <formula>$B138=0</formula>
    </cfRule>
    <cfRule type="expression" dxfId="71" priority="232">
      <formula>$B138=3</formula>
    </cfRule>
    <cfRule type="expression" dxfId="70" priority="233">
      <formula>$B138=2</formula>
    </cfRule>
    <cfRule type="expression" dxfId="69" priority="234">
      <formula>$B138&lt;2</formula>
    </cfRule>
  </conditionalFormatting>
  <conditionalFormatting sqref="Q142:Q143">
    <cfRule type="expression" dxfId="68" priority="228">
      <formula>$B142=3</formula>
    </cfRule>
    <cfRule type="expression" dxfId="67" priority="229">
      <formula>$B142=2</formula>
    </cfRule>
    <cfRule type="expression" dxfId="66" priority="230">
      <formula>$B142&lt;2</formula>
    </cfRule>
    <cfRule type="expression" dxfId="65" priority="231">
      <formula>$B142=0</formula>
    </cfRule>
  </conditionalFormatting>
  <conditionalFormatting sqref="Q87:T88">
    <cfRule type="expression" dxfId="64" priority="129">
      <formula>$B87=0</formula>
    </cfRule>
  </conditionalFormatting>
  <conditionalFormatting sqref="Q136:T137">
    <cfRule type="expression" dxfId="63" priority="195">
      <formula>$B136=0</formula>
    </cfRule>
    <cfRule type="expression" dxfId="62" priority="193">
      <formula>$B136=2</formula>
    </cfRule>
    <cfRule type="expression" dxfId="61" priority="192">
      <formula>$B136=3</formula>
    </cfRule>
    <cfRule type="expression" dxfId="60" priority="194">
      <formula>$B136&lt;2</formula>
    </cfRule>
  </conditionalFormatting>
  <conditionalFormatting sqref="S96">
    <cfRule type="expression" dxfId="59" priority="313">
      <formula>$B95=3</formula>
    </cfRule>
    <cfRule type="expression" dxfId="58" priority="314">
      <formula>$B95=2</formula>
    </cfRule>
    <cfRule type="expression" dxfId="57" priority="315">
      <formula>$B95&lt;2</formula>
    </cfRule>
    <cfRule type="expression" dxfId="56" priority="316">
      <formula>$B95=0</formula>
    </cfRule>
  </conditionalFormatting>
  <conditionalFormatting sqref="U46:U48">
    <cfRule type="expression" dxfId="55" priority="53">
      <formula>$B46=0</formula>
    </cfRule>
  </conditionalFormatting>
  <conditionalFormatting sqref="U46:U48">
    <cfRule type="expression" dxfId="54" priority="55">
      <formula>$B46=2</formula>
    </cfRule>
    <cfRule type="expression" dxfId="53" priority="56">
      <formula>$B46&lt;2</formula>
    </cfRule>
  </conditionalFormatting>
  <conditionalFormatting sqref="U46:U48">
    <cfRule type="expression" dxfId="52" priority="54">
      <formula>$B46=3</formula>
    </cfRule>
  </conditionalFormatting>
  <conditionalFormatting sqref="U76:U77">
    <cfRule type="expression" dxfId="51" priority="52">
      <formula>$B76=0</formula>
    </cfRule>
  </conditionalFormatting>
  <conditionalFormatting sqref="U76:U77">
    <cfRule type="expression" dxfId="50" priority="50">
      <formula>$B76=2</formula>
    </cfRule>
    <cfRule type="expression" dxfId="49" priority="51">
      <formula>$B76&lt;2</formula>
    </cfRule>
  </conditionalFormatting>
  <conditionalFormatting sqref="U76:U77">
    <cfRule type="expression" dxfId="48" priority="49">
      <formula>$B76=3</formula>
    </cfRule>
  </conditionalFormatting>
  <conditionalFormatting sqref="U78:U79">
    <cfRule type="expression" dxfId="47" priority="48">
      <formula>$B78=0</formula>
    </cfRule>
  </conditionalFormatting>
  <conditionalFormatting sqref="U78:U79">
    <cfRule type="expression" dxfId="46" priority="46">
      <formula>$B78=2</formula>
    </cfRule>
    <cfRule type="expression" dxfId="45" priority="47">
      <formula>$B78&lt;2</formula>
    </cfRule>
  </conditionalFormatting>
  <conditionalFormatting sqref="U78:U79">
    <cfRule type="expression" dxfId="44" priority="45">
      <formula>$B78=3</formula>
    </cfRule>
  </conditionalFormatting>
  <conditionalFormatting sqref="U80">
    <cfRule type="expression" dxfId="43" priority="44">
      <formula>$B80=0</formula>
    </cfRule>
  </conditionalFormatting>
  <conditionalFormatting sqref="U80">
    <cfRule type="expression" dxfId="42" priority="42">
      <formula>$B80=2</formula>
    </cfRule>
    <cfRule type="expression" dxfId="41" priority="43">
      <formula>$B80&lt;2</formula>
    </cfRule>
  </conditionalFormatting>
  <conditionalFormatting sqref="U80">
    <cfRule type="expression" dxfId="40" priority="41">
      <formula>$B80=3</formula>
    </cfRule>
  </conditionalFormatting>
  <conditionalFormatting sqref="U81">
    <cfRule type="expression" dxfId="39" priority="40">
      <formula>$B81=0</formula>
    </cfRule>
  </conditionalFormatting>
  <conditionalFormatting sqref="U81">
    <cfRule type="expression" dxfId="38" priority="38">
      <formula>$B81=2</formula>
    </cfRule>
    <cfRule type="expression" dxfId="37" priority="39">
      <formula>$B81&lt;2</formula>
    </cfRule>
  </conditionalFormatting>
  <conditionalFormatting sqref="U81">
    <cfRule type="expression" dxfId="36" priority="37">
      <formula>$B81=3</formula>
    </cfRule>
  </conditionalFormatting>
  <conditionalFormatting sqref="U82">
    <cfRule type="expression" dxfId="35" priority="36">
      <formula>$B82=0</formula>
    </cfRule>
  </conditionalFormatting>
  <conditionalFormatting sqref="U82">
    <cfRule type="expression" dxfId="34" priority="34">
      <formula>$B82=2</formula>
    </cfRule>
    <cfRule type="expression" dxfId="33" priority="35">
      <formula>$B82&lt;2</formula>
    </cfRule>
  </conditionalFormatting>
  <conditionalFormatting sqref="U82">
    <cfRule type="expression" dxfId="32" priority="33">
      <formula>$B82=3</formula>
    </cfRule>
  </conditionalFormatting>
  <conditionalFormatting sqref="U85:U86">
    <cfRule type="expression" dxfId="31" priority="32">
      <formula>$B85=0</formula>
    </cfRule>
  </conditionalFormatting>
  <conditionalFormatting sqref="U85:U86">
    <cfRule type="expression" dxfId="30" priority="30">
      <formula>$B85=2</formula>
    </cfRule>
    <cfRule type="expression" dxfId="29" priority="31">
      <formula>$B85&lt;2</formula>
    </cfRule>
  </conditionalFormatting>
  <conditionalFormatting sqref="U85:U86">
    <cfRule type="expression" dxfId="28" priority="29">
      <formula>$B85=3</formula>
    </cfRule>
  </conditionalFormatting>
  <conditionalFormatting sqref="U87:U88">
    <cfRule type="expression" dxfId="27" priority="28">
      <formula>$B87=0</formula>
    </cfRule>
  </conditionalFormatting>
  <conditionalFormatting sqref="U87:U88">
    <cfRule type="expression" dxfId="26" priority="26">
      <formula>$B87=2</formula>
    </cfRule>
    <cfRule type="expression" dxfId="25" priority="27">
      <formula>$B87&lt;2</formula>
    </cfRule>
  </conditionalFormatting>
  <conditionalFormatting sqref="U87:U88">
    <cfRule type="expression" dxfId="24" priority="25">
      <formula>$B87=3</formula>
    </cfRule>
  </conditionalFormatting>
  <conditionalFormatting sqref="U90:U91">
    <cfRule type="expression" dxfId="23" priority="24">
      <formula>$B90=0</formula>
    </cfRule>
  </conditionalFormatting>
  <conditionalFormatting sqref="U90:U91">
    <cfRule type="expression" dxfId="22" priority="22">
      <formula>$B90=2</formula>
    </cfRule>
    <cfRule type="expression" dxfId="21" priority="23">
      <formula>$B90&lt;2</formula>
    </cfRule>
  </conditionalFormatting>
  <conditionalFormatting sqref="U90:U91">
    <cfRule type="expression" dxfId="20" priority="21">
      <formula>$B90=3</formula>
    </cfRule>
  </conditionalFormatting>
  <conditionalFormatting sqref="U92:U93">
    <cfRule type="expression" dxfId="19" priority="20">
      <formula>$B92=0</formula>
    </cfRule>
  </conditionalFormatting>
  <conditionalFormatting sqref="U92:U93">
    <cfRule type="expression" dxfId="18" priority="18">
      <formula>$B92=2</formula>
    </cfRule>
    <cfRule type="expression" dxfId="17" priority="19">
      <formula>$B92&lt;2</formula>
    </cfRule>
  </conditionalFormatting>
  <conditionalFormatting sqref="U92:U93">
    <cfRule type="expression" dxfId="16" priority="17">
      <formula>$B92=3</formula>
    </cfRule>
  </conditionalFormatting>
  <conditionalFormatting sqref="U96:U97">
    <cfRule type="expression" dxfId="15" priority="16">
      <formula>$B96=0</formula>
    </cfRule>
  </conditionalFormatting>
  <conditionalFormatting sqref="U96:U97">
    <cfRule type="expression" dxfId="14" priority="14">
      <formula>$B96=2</formula>
    </cfRule>
    <cfRule type="expression" dxfId="13" priority="15">
      <formula>$B96&lt;2</formula>
    </cfRule>
  </conditionalFormatting>
  <conditionalFormatting sqref="U96:U97">
    <cfRule type="expression" dxfId="12" priority="13">
      <formula>$B96=3</formula>
    </cfRule>
  </conditionalFormatting>
  <conditionalFormatting sqref="U98">
    <cfRule type="expression" dxfId="11" priority="12">
      <formula>$B98=0</formula>
    </cfRule>
  </conditionalFormatting>
  <conditionalFormatting sqref="U98">
    <cfRule type="expression" dxfId="10" priority="10">
      <formula>$B98=2</formula>
    </cfRule>
    <cfRule type="expression" dxfId="9" priority="11">
      <formula>$B98&lt;2</formula>
    </cfRule>
  </conditionalFormatting>
  <conditionalFormatting sqref="U98">
    <cfRule type="expression" dxfId="8" priority="9">
      <formula>$B98=3</formula>
    </cfRule>
  </conditionalFormatting>
  <conditionalFormatting sqref="U119">
    <cfRule type="expression" dxfId="7" priority="8">
      <formula>$B119=0</formula>
    </cfRule>
  </conditionalFormatting>
  <conditionalFormatting sqref="U119">
    <cfRule type="expression" dxfId="6" priority="6">
      <formula>$B119=2</formula>
    </cfRule>
    <cfRule type="expression" dxfId="5" priority="7">
      <formula>$B119&lt;2</formula>
    </cfRule>
  </conditionalFormatting>
  <conditionalFormatting sqref="U119">
    <cfRule type="expression" dxfId="4" priority="5">
      <formula>$B119=3</formula>
    </cfRule>
  </conditionalFormatting>
  <conditionalFormatting sqref="U122:U127">
    <cfRule type="expression" dxfId="3" priority="4">
      <formula>$B122=0</formula>
    </cfRule>
  </conditionalFormatting>
  <conditionalFormatting sqref="U122:U127">
    <cfRule type="expression" dxfId="2" priority="2">
      <formula>$B122=2</formula>
    </cfRule>
    <cfRule type="expression" dxfId="1" priority="3">
      <formula>$B122&lt;2</formula>
    </cfRule>
  </conditionalFormatting>
  <conditionalFormatting sqref="U122:U127">
    <cfRule type="expression" dxfId="0" priority="1">
      <formula>$B122=3</formula>
    </cfRule>
  </conditionalFormatting>
  <dataValidations count="14">
    <dataValidation type="whole" allowBlank="1" showInputMessage="1" showErrorMessage="1" sqref="O166:P173 O2:O135 O137:O165" xr:uid="{7C199008-9AB6-6549-A861-AD474C13E949}">
      <formula1>1950</formula1>
      <formula2>2025</formula2>
    </dataValidation>
    <dataValidation type="decimal" operator="greaterThan" allowBlank="1" showInputMessage="1" showErrorMessage="1" sqref="I2:I9 I57:I59 I61:I63 I84 L85:L93 I89:I94 H117:H118 H121:H128 I67:I79 L71:L83 I52:I54 I96:I133 I11:I48 H2:H114 L1:L67 L95:L1048576 H132:H165 I135:I165" xr:uid="{66ABF627-CC97-3E44-B6AC-09E441BED0CD}">
      <formula1>0</formula1>
    </dataValidation>
    <dataValidation type="list" allowBlank="1" showInputMessage="1" showErrorMessage="1" sqref="K340:K350"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6:J1048576" xr:uid="{EEDF1E2A-32DC-6242-8EBD-BD01BBD19C77}">
      <formula1>"$/acres, $/MWe, $/m^3, $/MWt"</formula1>
    </dataValidation>
    <dataValidation type="whole" allowBlank="1" showInputMessage="1" showErrorMessage="1" sqref="N166:N319" xr:uid="{6D536505-A5B6-E145-A4B9-9C3C8E6B8527}">
      <formula1>0</formula1>
      <formula2>2</formula2>
    </dataValidation>
    <dataValidation type="decimal" allowBlank="1" showInputMessage="1" showErrorMessage="1" sqref="N2:N80 N82:N121 N128:N165" xr:uid="{1C0096F5-23AB-5A48-8F14-E27BC72A38A6}">
      <formula1>0</formula1>
      <formula2>2</formula2>
    </dataValidation>
    <dataValidation type="list" allowBlank="1" showInputMessage="1" showErrorMessage="1" sqref="M121 M2:M80 M82:M118 M128:M165" xr:uid="{127B7473-9D01-354E-A3BD-12180E660A5C}">
      <formula1>"acres, MWe, m^3, MWt, Kg, Drums, kW, $, m^2, kg/s"</formula1>
    </dataValidation>
    <dataValidation type="list" allowBlank="1" showInputMessage="1" showErrorMessage="1" sqref="J2:J80 J82:J121 J128:J165" xr:uid="{0FCCEC2F-487A-5A42-9C52-ED538456C753}">
      <formula1>"$/m^2,$/MWeHour,$/FTE, $/acres, $/MWe, $/m^3, $/MWt, $/Kg, $/Drum, $/(kg.sec), $/SWU, unitless, $/kWe"</formula1>
    </dataValidation>
    <dataValidation type="list" allowBlank="1" showInputMessage="1" showErrorMessage="1" sqref="M119:M120" xr:uid="{3DD8CB7E-F66A-4C30-8943-BB08D88ABA07}">
      <formula1>"acres, MWe, m^3, MWt, Kg, Drums, kW, $, m^2, kg/s, kWe"</formula1>
    </dataValidation>
    <dataValidation type="list" allowBlank="1" showInputMessage="1" showErrorMessage="1" sqref="J122:J127 J81" xr:uid="{C16DBC1B-3C9C-41C9-938B-EDB37E52B5AE}">
      <formula1>"$/MWeHour,$/FTE, $/acres, $/MWe, $/m^3, $/MWt, $/Kg, $/Drum, $/(kg.sec), $/SWU, unitless"</formula1>
    </dataValidation>
    <dataValidation type="list" allowBlank="1" showInputMessage="1" showErrorMessage="1" sqref="M122:M127 M81" xr:uid="{D3B885B1-E20F-47DA-80AD-4B608DA1A8DB}">
      <formula1>"acres, MWe, m^3, MWt, Kg, Drums, kW, $"</formula1>
    </dataValidation>
    <dataValidation type="decimal" allowBlank="1" showInputMessage="1" showErrorMessage="1" sqref="N122:N127 N81" xr:uid="{68CE29B1-8A74-4C55-81EE-3E98A1DF9596}">
      <formula1>0</formula1>
      <formula2>1</formula2>
    </dataValidation>
    <dataValidation type="list" allowBlank="1" showInputMessage="1" showErrorMessage="1" sqref="E2:E165" xr:uid="{E571E7A1-C2F9-2E4D-99A9-8FA0C5D45C39}">
      <formula1>"standard, nonstandard"</formula1>
    </dataValidation>
    <dataValidation type="list" allowBlank="1" showInputMessage="1" showErrorMessage="1" sqref="P2:P165"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4" r:id="rId4" xr:uid="{22457633-A12F-48B5-9254-21F42C65D36E}"/>
    <hyperlink ref="S119" r:id="rId5" xr:uid="{9733E874-F01F-4A23-AD17-429EACFE0390}"/>
    <hyperlink ref="S120" r:id="rId6" xr:uid="{9C11E421-3DD6-4772-9616-7E50D5AE12D8}"/>
    <hyperlink ref="S115" r:id="rId7" xr:uid="{393EA17C-0C00-46CE-9606-5006E4E9652C}"/>
    <hyperlink ref="S152"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baseColWidth="10" defaultColWidth="11.5" defaultRowHeight="15" x14ac:dyDescent="0.2"/>
  <cols>
    <col min="1" max="1" width="11.6640625" style="32" customWidth="1"/>
    <col min="2" max="2" width="35.6640625" style="17" customWidth="1"/>
    <col min="3" max="3" width="20.6640625" style="18" customWidth="1"/>
    <col min="5" max="5" width="12.6640625" bestFit="1" customWidth="1"/>
  </cols>
  <sheetData>
    <row r="1" spans="1:5" ht="15" customHeight="1" x14ac:dyDescent="0.2">
      <c r="A1" s="109" t="s">
        <v>189</v>
      </c>
      <c r="B1" s="110" t="s">
        <v>1</v>
      </c>
      <c r="C1" s="111" t="s">
        <v>318</v>
      </c>
    </row>
    <row r="2" spans="1:5" x14ac:dyDescent="0.2">
      <c r="A2" s="109"/>
      <c r="B2" s="110"/>
      <c r="C2" s="112"/>
    </row>
    <row r="3" spans="1:5" ht="16" x14ac:dyDescent="0.2">
      <c r="A3" s="30">
        <v>10</v>
      </c>
      <c r="B3" s="14" t="s">
        <v>2</v>
      </c>
      <c r="C3" s="15">
        <f>C4</f>
        <v>5210451</v>
      </c>
    </row>
    <row r="4" spans="1:5" ht="16" x14ac:dyDescent="0.2">
      <c r="A4" s="31">
        <v>15</v>
      </c>
      <c r="B4" s="12" t="s">
        <v>5</v>
      </c>
      <c r="C4" s="13">
        <v>5210451</v>
      </c>
      <c r="E4" s="13"/>
    </row>
    <row r="5" spans="1:5" ht="16" x14ac:dyDescent="0.2">
      <c r="A5" s="30">
        <v>20</v>
      </c>
      <c r="B5" s="14" t="s">
        <v>6</v>
      </c>
      <c r="C5" s="15">
        <f>C6+C13+C45+C48+C52+C54</f>
        <v>30295715.421999998</v>
      </c>
    </row>
    <row r="6" spans="1:5" ht="16" x14ac:dyDescent="0.2">
      <c r="A6" s="31">
        <v>21</v>
      </c>
      <c r="B6" s="12" t="s">
        <v>7</v>
      </c>
      <c r="C6" s="13">
        <f>C7+C8+C9+C10</f>
        <v>2799006.7319999975</v>
      </c>
    </row>
    <row r="7" spans="1:5" ht="16" x14ac:dyDescent="0.2">
      <c r="A7" s="31">
        <v>211</v>
      </c>
      <c r="B7" s="12" t="s">
        <v>191</v>
      </c>
      <c r="C7" s="13"/>
    </row>
    <row r="8" spans="1:5" ht="16" x14ac:dyDescent="0.2">
      <c r="A8" s="31">
        <v>212</v>
      </c>
      <c r="B8" s="12" t="s">
        <v>8</v>
      </c>
      <c r="C8" s="13">
        <v>2573469.8719999976</v>
      </c>
    </row>
    <row r="9" spans="1:5" ht="16" x14ac:dyDescent="0.2">
      <c r="A9" s="31">
        <v>213</v>
      </c>
      <c r="B9" s="12" t="s">
        <v>122</v>
      </c>
      <c r="C9" s="13"/>
    </row>
    <row r="10" spans="1:5" ht="16" x14ac:dyDescent="0.2">
      <c r="A10" s="31">
        <v>214</v>
      </c>
      <c r="B10" s="12" t="s">
        <v>9</v>
      </c>
      <c r="C10" s="13">
        <f>SUM(C11:C11)</f>
        <v>225536.86</v>
      </c>
    </row>
    <row r="11" spans="1:5" ht="16" x14ac:dyDescent="0.2">
      <c r="A11" s="31">
        <v>214.7</v>
      </c>
      <c r="B11" s="12" t="s">
        <v>192</v>
      </c>
      <c r="C11" s="13">
        <v>225536.86</v>
      </c>
      <c r="E11" s="34"/>
    </row>
    <row r="12" spans="1:5" ht="16" x14ac:dyDescent="0.2">
      <c r="A12" s="31">
        <v>217</v>
      </c>
      <c r="B12" s="12" t="s">
        <v>193</v>
      </c>
      <c r="C12" s="13"/>
    </row>
    <row r="13" spans="1:5" ht="16" x14ac:dyDescent="0.2">
      <c r="A13" s="31">
        <v>22</v>
      </c>
      <c r="B13" s="12" t="s">
        <v>10</v>
      </c>
      <c r="C13" s="13">
        <f>C14+C32+C41+C42+C43+C44</f>
        <v>17586712.57</v>
      </c>
    </row>
    <row r="14" spans="1:5" ht="16" x14ac:dyDescent="0.2">
      <c r="A14" s="31">
        <v>221</v>
      </c>
      <c r="B14" s="12" t="s">
        <v>11</v>
      </c>
      <c r="C14" s="13">
        <f>C15+C19+C25</f>
        <v>8937296.5999999996</v>
      </c>
    </row>
    <row r="15" spans="1:5" ht="16" x14ac:dyDescent="0.2">
      <c r="A15" s="31">
        <v>221.1</v>
      </c>
      <c r="B15" s="12" t="s">
        <v>188</v>
      </c>
      <c r="C15" s="13">
        <f>C16+C17+C18</f>
        <v>2004852</v>
      </c>
    </row>
    <row r="16" spans="1:5" ht="16" x14ac:dyDescent="0.2">
      <c r="A16" s="31">
        <v>221.11</v>
      </c>
      <c r="B16" s="12" t="s">
        <v>187</v>
      </c>
      <c r="C16" s="13">
        <v>762382.4</v>
      </c>
    </row>
    <row r="17" spans="1:4" ht="16" x14ac:dyDescent="0.2">
      <c r="A17" s="31">
        <v>221.12</v>
      </c>
      <c r="B17" s="16" t="s">
        <v>194</v>
      </c>
      <c r="C17" s="13">
        <v>1201688.6000000001</v>
      </c>
    </row>
    <row r="18" spans="1:4" ht="16" x14ac:dyDescent="0.2">
      <c r="A18" s="31">
        <v>221.13</v>
      </c>
      <c r="B18" s="16" t="s">
        <v>195</v>
      </c>
      <c r="C18" s="13">
        <v>40781</v>
      </c>
    </row>
    <row r="19" spans="1:4" ht="16" x14ac:dyDescent="0.2">
      <c r="A19" s="31">
        <v>221.2</v>
      </c>
      <c r="B19" s="16" t="s">
        <v>196</v>
      </c>
      <c r="C19" s="13">
        <f>C20</f>
        <v>2114223</v>
      </c>
    </row>
    <row r="20" spans="1:4" ht="17" thickBot="1" x14ac:dyDescent="0.25">
      <c r="A20" s="31">
        <v>221.21</v>
      </c>
      <c r="B20" s="16" t="s">
        <v>197</v>
      </c>
      <c r="C20" s="13">
        <f>SUM(C21:C23)</f>
        <v>2114223</v>
      </c>
    </row>
    <row r="21" spans="1:4" ht="16" thickBot="1" x14ac:dyDescent="0.25">
      <c r="A21" s="10">
        <v>221.21100000000001</v>
      </c>
      <c r="B21" s="11" t="s">
        <v>12</v>
      </c>
      <c r="C21" s="13">
        <v>1391560</v>
      </c>
      <c r="D21" s="8"/>
    </row>
    <row r="22" spans="1:4" ht="16" thickBot="1" x14ac:dyDescent="0.25">
      <c r="A22" s="10">
        <v>221.21199999999999</v>
      </c>
      <c r="B22" s="11" t="s">
        <v>133</v>
      </c>
      <c r="C22" s="13">
        <v>322663</v>
      </c>
    </row>
    <row r="23" spans="1:4" ht="16" thickBot="1" x14ac:dyDescent="0.25">
      <c r="A23" s="10">
        <v>221.21299999999999</v>
      </c>
      <c r="B23" s="11" t="s">
        <v>181</v>
      </c>
      <c r="C23" s="13">
        <v>400000</v>
      </c>
    </row>
    <row r="24" spans="1:4" ht="16" thickBot="1" x14ac:dyDescent="0.25">
      <c r="A24" s="10">
        <v>221.214</v>
      </c>
      <c r="B24" s="11" t="s">
        <v>182</v>
      </c>
    </row>
    <row r="25" spans="1:4" ht="16" x14ac:dyDescent="0.2">
      <c r="A25" s="31">
        <v>221.3</v>
      </c>
      <c r="B25" s="16" t="s">
        <v>198</v>
      </c>
      <c r="C25" s="13">
        <f>C26+C30+C31</f>
        <v>4818221.5999999996</v>
      </c>
    </row>
    <row r="26" spans="1:4" ht="16" x14ac:dyDescent="0.2">
      <c r="A26" s="31">
        <v>221.31</v>
      </c>
      <c r="B26" s="16" t="s">
        <v>13</v>
      </c>
      <c r="C26" s="13">
        <v>4170231</v>
      </c>
    </row>
    <row r="27" spans="1:4" ht="16" x14ac:dyDescent="0.2">
      <c r="A27" s="33">
        <v>221.31100000000001</v>
      </c>
      <c r="B27" s="16" t="s">
        <v>322</v>
      </c>
      <c r="C27" s="13">
        <v>3200000</v>
      </c>
    </row>
    <row r="28" spans="1:4" ht="16" x14ac:dyDescent="0.2">
      <c r="A28" s="33">
        <v>221.31200000000001</v>
      </c>
      <c r="B28" s="16" t="s">
        <v>324</v>
      </c>
      <c r="C28" s="13">
        <v>850000</v>
      </c>
    </row>
    <row r="29" spans="1:4" ht="16" x14ac:dyDescent="0.2">
      <c r="A29" s="33">
        <v>221.31299999999999</v>
      </c>
      <c r="B29" s="16" t="s">
        <v>323</v>
      </c>
      <c r="C29" s="13">
        <v>120231</v>
      </c>
    </row>
    <row r="30" spans="1:4" ht="16" x14ac:dyDescent="0.2">
      <c r="A30" s="31">
        <v>221.32</v>
      </c>
      <c r="B30" s="16" t="s">
        <v>14</v>
      </c>
      <c r="C30" s="13">
        <v>647990.6</v>
      </c>
    </row>
    <row r="31" spans="1:4" ht="16" x14ac:dyDescent="0.2">
      <c r="A31" s="31">
        <v>221.33</v>
      </c>
      <c r="B31" s="16" t="s">
        <v>199</v>
      </c>
      <c r="C31" s="13">
        <v>0</v>
      </c>
    </row>
    <row r="32" spans="1:4" ht="16" x14ac:dyDescent="0.2">
      <c r="A32" s="31" t="s">
        <v>200</v>
      </c>
      <c r="B32" s="12" t="s">
        <v>15</v>
      </c>
      <c r="C32" s="13">
        <f>C33+C34+C38+C39+C40</f>
        <v>5908950.5999999996</v>
      </c>
    </row>
    <row r="33" spans="1:3" ht="16" x14ac:dyDescent="0.2">
      <c r="A33" s="31">
        <v>222.1</v>
      </c>
      <c r="B33" s="12" t="s">
        <v>201</v>
      </c>
      <c r="C33" s="13">
        <v>0</v>
      </c>
    </row>
    <row r="34" spans="1:3" ht="16" x14ac:dyDescent="0.2">
      <c r="A34" s="31">
        <v>222.2</v>
      </c>
      <c r="B34" s="12" t="s">
        <v>202</v>
      </c>
      <c r="C34" s="13">
        <v>4890230.5999999996</v>
      </c>
    </row>
    <row r="35" spans="1:3" ht="16" x14ac:dyDescent="0.2">
      <c r="A35" s="31">
        <v>222.21</v>
      </c>
      <c r="B35" s="12" t="s">
        <v>319</v>
      </c>
      <c r="C35" s="13">
        <v>1520786</v>
      </c>
    </row>
    <row r="36" spans="1:3" ht="32" x14ac:dyDescent="0.2">
      <c r="A36" s="31">
        <v>222.22</v>
      </c>
      <c r="B36" s="12" t="s">
        <v>320</v>
      </c>
      <c r="C36" s="13">
        <v>3341486</v>
      </c>
    </row>
    <row r="37" spans="1:3" ht="32" x14ac:dyDescent="0.2">
      <c r="A37" s="31">
        <v>222.23</v>
      </c>
      <c r="B37" s="12" t="s">
        <v>321</v>
      </c>
      <c r="C37" s="13">
        <v>27958.6</v>
      </c>
    </row>
    <row r="38" spans="1:3" ht="16" x14ac:dyDescent="0.2">
      <c r="A38" s="31">
        <v>222.3</v>
      </c>
      <c r="B38" s="12" t="s">
        <v>17</v>
      </c>
      <c r="C38" s="13">
        <v>0</v>
      </c>
    </row>
    <row r="39" spans="1:3" ht="16" x14ac:dyDescent="0.2">
      <c r="A39" s="31">
        <v>222.4</v>
      </c>
      <c r="B39" s="12" t="s">
        <v>203</v>
      </c>
      <c r="C39" s="13">
        <v>0</v>
      </c>
    </row>
    <row r="40" spans="1:3" ht="16" x14ac:dyDescent="0.2">
      <c r="A40" s="31">
        <v>222.5</v>
      </c>
      <c r="B40" s="12" t="s">
        <v>204</v>
      </c>
      <c r="C40" s="13">
        <v>1018720</v>
      </c>
    </row>
    <row r="41" spans="1:3" ht="16" x14ac:dyDescent="0.2">
      <c r="A41" s="31" t="s">
        <v>205</v>
      </c>
      <c r="B41" s="12" t="s">
        <v>206</v>
      </c>
      <c r="C41" s="13"/>
    </row>
    <row r="42" spans="1:3" ht="16" x14ac:dyDescent="0.2">
      <c r="A42" s="31" t="s">
        <v>207</v>
      </c>
      <c r="B42" s="12" t="s">
        <v>208</v>
      </c>
      <c r="C42" s="13">
        <v>456297</v>
      </c>
    </row>
    <row r="43" spans="1:3" ht="16" x14ac:dyDescent="0.2">
      <c r="A43" s="31" t="s">
        <v>209</v>
      </c>
      <c r="B43" s="12" t="s">
        <v>20</v>
      </c>
      <c r="C43" s="13">
        <v>2253208.37</v>
      </c>
    </row>
    <row r="44" spans="1:3" ht="16" x14ac:dyDescent="0.2">
      <c r="A44" s="31" t="s">
        <v>210</v>
      </c>
      <c r="B44" s="12" t="s">
        <v>211</v>
      </c>
      <c r="C44" s="13">
        <v>30960</v>
      </c>
    </row>
    <row r="45" spans="1:3" ht="16" x14ac:dyDescent="0.2">
      <c r="A45" s="31">
        <v>23</v>
      </c>
      <c r="B45" s="12" t="s">
        <v>212</v>
      </c>
      <c r="C45" s="13">
        <f>C46</f>
        <v>0</v>
      </c>
    </row>
    <row r="46" spans="1:3" ht="16" x14ac:dyDescent="0.2">
      <c r="A46" s="31">
        <v>232</v>
      </c>
      <c r="B46" s="12" t="s">
        <v>22</v>
      </c>
      <c r="C46" s="13">
        <f>C47</f>
        <v>0</v>
      </c>
    </row>
    <row r="47" spans="1:3" ht="16" x14ac:dyDescent="0.2">
      <c r="A47" s="31">
        <v>232.1</v>
      </c>
      <c r="B47" s="12" t="s">
        <v>213</v>
      </c>
      <c r="C47" s="13">
        <v>0</v>
      </c>
    </row>
    <row r="48" spans="1:3" ht="16" x14ac:dyDescent="0.2">
      <c r="A48" s="31">
        <v>24</v>
      </c>
      <c r="B48" s="12" t="s">
        <v>23</v>
      </c>
      <c r="C48" s="13">
        <f>C49+C50+C51</f>
        <v>73415.62000000001</v>
      </c>
    </row>
    <row r="49" spans="1:3" ht="16" x14ac:dyDescent="0.2">
      <c r="A49" s="31" t="s">
        <v>214</v>
      </c>
      <c r="B49" s="12" t="s">
        <v>215</v>
      </c>
      <c r="C49" s="13">
        <v>1627.02</v>
      </c>
    </row>
    <row r="50" spans="1:3" ht="16" x14ac:dyDescent="0.2">
      <c r="A50" s="31" t="s">
        <v>216</v>
      </c>
      <c r="B50" s="12" t="s">
        <v>217</v>
      </c>
      <c r="C50" s="13">
        <v>0</v>
      </c>
    </row>
    <row r="51" spans="1:3" ht="16" x14ac:dyDescent="0.2">
      <c r="A51" s="31" t="s">
        <v>218</v>
      </c>
      <c r="B51" s="12" t="s">
        <v>219</v>
      </c>
      <c r="C51" s="13">
        <v>71788.600000000006</v>
      </c>
    </row>
    <row r="52" spans="1:3" ht="16" x14ac:dyDescent="0.2">
      <c r="A52" s="31">
        <v>25</v>
      </c>
      <c r="B52" s="12" t="s">
        <v>24</v>
      </c>
      <c r="C52" s="13">
        <f>C53</f>
        <v>9836580.5</v>
      </c>
    </row>
    <row r="53" spans="1:3" ht="16" x14ac:dyDescent="0.2">
      <c r="A53" s="31" t="s">
        <v>220</v>
      </c>
      <c r="B53" s="12" t="s">
        <v>28</v>
      </c>
      <c r="C53" s="13">
        <v>9836580.5</v>
      </c>
    </row>
    <row r="54" spans="1:3" ht="16" x14ac:dyDescent="0.2">
      <c r="A54" s="31">
        <v>26</v>
      </c>
      <c r="B54" s="12" t="s">
        <v>221</v>
      </c>
      <c r="C54" s="13"/>
    </row>
    <row r="55" spans="1:3" ht="16" x14ac:dyDescent="0.2">
      <c r="A55" s="30">
        <v>30</v>
      </c>
      <c r="B55" s="14" t="s">
        <v>29</v>
      </c>
      <c r="C55" s="15">
        <f>C56+C58+C62+C65+C68</f>
        <v>6442742.523737831</v>
      </c>
    </row>
    <row r="56" spans="1:3" ht="16" x14ac:dyDescent="0.2">
      <c r="A56" s="31">
        <v>31</v>
      </c>
      <c r="B56" s="12" t="s">
        <v>30</v>
      </c>
      <c r="C56" s="13">
        <f>C57</f>
        <v>1333020.8</v>
      </c>
    </row>
    <row r="57" spans="1:3" ht="16" x14ac:dyDescent="0.2">
      <c r="A57" s="31">
        <v>317</v>
      </c>
      <c r="B57" s="12" t="s">
        <v>222</v>
      </c>
      <c r="C57" s="13">
        <v>1333020.8</v>
      </c>
    </row>
    <row r="58" spans="1:3" ht="16" x14ac:dyDescent="0.2">
      <c r="A58" s="31">
        <v>33</v>
      </c>
      <c r="B58" s="12" t="s">
        <v>31</v>
      </c>
      <c r="C58" s="13">
        <f>C59</f>
        <v>2407166.4000000004</v>
      </c>
    </row>
    <row r="59" spans="1:3" ht="16" x14ac:dyDescent="0.2">
      <c r="A59" s="31">
        <v>331</v>
      </c>
      <c r="B59" s="12" t="s">
        <v>223</v>
      </c>
      <c r="C59" s="13">
        <f>C60+C61</f>
        <v>2407166.4000000004</v>
      </c>
    </row>
    <row r="60" spans="1:3" ht="16" x14ac:dyDescent="0.2">
      <c r="A60" s="31">
        <v>331.3</v>
      </c>
      <c r="B60" s="12" t="s">
        <v>224</v>
      </c>
      <c r="C60" s="13">
        <v>215000</v>
      </c>
    </row>
    <row r="61" spans="1:3" ht="16" x14ac:dyDescent="0.2">
      <c r="A61" s="31">
        <v>331.5</v>
      </c>
      <c r="B61" s="12" t="s">
        <v>225</v>
      </c>
      <c r="C61" s="13">
        <v>2192166.4000000004</v>
      </c>
    </row>
    <row r="62" spans="1:3" ht="16" x14ac:dyDescent="0.2">
      <c r="A62" s="31">
        <v>34</v>
      </c>
      <c r="B62" s="12" t="s">
        <v>32</v>
      </c>
      <c r="C62" s="13">
        <f>C63+C64</f>
        <v>1665282.7999999998</v>
      </c>
    </row>
    <row r="63" spans="1:3" ht="16" x14ac:dyDescent="0.2">
      <c r="A63" s="31">
        <v>341</v>
      </c>
      <c r="B63" s="12" t="s">
        <v>226</v>
      </c>
      <c r="C63" s="13">
        <v>1635355.7999999998</v>
      </c>
    </row>
    <row r="64" spans="1:3" ht="16" x14ac:dyDescent="0.2">
      <c r="A64" s="31">
        <v>345</v>
      </c>
      <c r="B64" s="12" t="s">
        <v>227</v>
      </c>
      <c r="C64" s="13">
        <v>29927</v>
      </c>
    </row>
    <row r="65" spans="1:3" ht="16" x14ac:dyDescent="0.2">
      <c r="A65" s="31">
        <v>35</v>
      </c>
      <c r="B65" s="12" t="s">
        <v>33</v>
      </c>
      <c r="C65" s="13">
        <f>C66+C67</f>
        <v>620313.58773783164</v>
      </c>
    </row>
    <row r="66" spans="1:3" ht="16" x14ac:dyDescent="0.2">
      <c r="A66" s="31">
        <v>351</v>
      </c>
      <c r="B66" s="12" t="s">
        <v>228</v>
      </c>
      <c r="C66" s="13">
        <v>257261.4</v>
      </c>
    </row>
    <row r="67" spans="1:3" ht="16" x14ac:dyDescent="0.2">
      <c r="A67" s="31">
        <v>352</v>
      </c>
      <c r="B67" s="12" t="s">
        <v>229</v>
      </c>
      <c r="C67" s="13">
        <v>363052.18773783161</v>
      </c>
    </row>
    <row r="68" spans="1:3" ht="16" x14ac:dyDescent="0.2">
      <c r="A68" s="31">
        <v>36</v>
      </c>
      <c r="B68" s="12" t="s">
        <v>230</v>
      </c>
      <c r="C68" s="13">
        <f>C69+C70</f>
        <v>416958.9359999997</v>
      </c>
    </row>
    <row r="69" spans="1:3" ht="16" x14ac:dyDescent="0.2">
      <c r="A69" s="31">
        <v>361</v>
      </c>
      <c r="B69" s="12" t="s">
        <v>228</v>
      </c>
      <c r="C69" s="13"/>
    </row>
    <row r="70" spans="1:3" ht="16" x14ac:dyDescent="0.2">
      <c r="A70" s="31">
        <v>362</v>
      </c>
      <c r="B70" s="12" t="s">
        <v>229</v>
      </c>
      <c r="C70" s="13">
        <v>416958.9359999997</v>
      </c>
    </row>
    <row r="71" spans="1:3" ht="16" x14ac:dyDescent="0.2">
      <c r="A71" s="30">
        <v>40</v>
      </c>
      <c r="B71" s="14" t="s">
        <v>231</v>
      </c>
      <c r="C71" s="15">
        <f>C72</f>
        <v>4169765</v>
      </c>
    </row>
    <row r="72" spans="1:3" ht="16" x14ac:dyDescent="0.2">
      <c r="A72" s="31">
        <v>41</v>
      </c>
      <c r="B72" s="12" t="s">
        <v>232</v>
      </c>
      <c r="C72" s="13">
        <v>4169765</v>
      </c>
    </row>
    <row r="73" spans="1:3" ht="16" x14ac:dyDescent="0.2">
      <c r="A73" s="30">
        <v>50</v>
      </c>
      <c r="B73" s="14" t="s">
        <v>233</v>
      </c>
      <c r="C73" s="15">
        <f>C74</f>
        <v>16408781.6</v>
      </c>
    </row>
    <row r="74" spans="1:3" ht="16" x14ac:dyDescent="0.2">
      <c r="A74" s="31">
        <v>54</v>
      </c>
      <c r="B74" s="12" t="s">
        <v>234</v>
      </c>
      <c r="C74" s="13">
        <v>16408781.6</v>
      </c>
    </row>
    <row r="75" spans="1:3" ht="16" x14ac:dyDescent="0.2">
      <c r="A75" s="30">
        <v>60</v>
      </c>
      <c r="B75" s="14" t="s">
        <v>34</v>
      </c>
      <c r="C75" s="15">
        <f>C76</f>
        <v>6160606</v>
      </c>
    </row>
    <row r="76" spans="1:3" ht="16" x14ac:dyDescent="0.2">
      <c r="A76" s="31">
        <v>61</v>
      </c>
      <c r="B76" s="12" t="s">
        <v>235</v>
      </c>
      <c r="C76" s="13">
        <v>6160606</v>
      </c>
    </row>
    <row r="77" spans="1:3" ht="16" x14ac:dyDescent="0.2">
      <c r="A77" s="31">
        <v>70</v>
      </c>
      <c r="B77" s="12" t="s">
        <v>36</v>
      </c>
      <c r="C77" s="13">
        <f>C78</f>
        <v>2456659.1999999997</v>
      </c>
    </row>
    <row r="78" spans="1:3" ht="16" x14ac:dyDescent="0.2">
      <c r="A78" s="31">
        <v>71</v>
      </c>
      <c r="B78" s="12" t="s">
        <v>37</v>
      </c>
      <c r="C78" s="13">
        <v>2456659.1999999997</v>
      </c>
    </row>
    <row r="79" spans="1:3" ht="48" x14ac:dyDescent="0.2">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baseColWidth="10" defaultColWidth="10.6640625" defaultRowHeight="13" x14ac:dyDescent="0.2"/>
  <cols>
    <col min="1" max="1" width="19" style="21" customWidth="1"/>
    <col min="2" max="2" width="16.5" style="21" customWidth="1"/>
    <col min="3" max="3" width="22.5" style="21" customWidth="1"/>
    <col min="4" max="4" width="32.5" style="21" customWidth="1"/>
    <col min="5" max="16384" width="10.6640625" style="21"/>
  </cols>
  <sheetData>
    <row r="1" spans="1:4" ht="17" thickBot="1" x14ac:dyDescent="0.25">
      <c r="A1" s="19" t="s">
        <v>237</v>
      </c>
      <c r="B1" s="20" t="s">
        <v>238</v>
      </c>
      <c r="C1" s="20" t="s">
        <v>66</v>
      </c>
      <c r="D1" s="20" t="s">
        <v>239</v>
      </c>
    </row>
    <row r="2" spans="1:4" ht="14" thickBot="1" x14ac:dyDescent="0.25">
      <c r="A2" s="113" t="s">
        <v>240</v>
      </c>
      <c r="B2" s="114"/>
      <c r="C2" s="114"/>
      <c r="D2" s="115"/>
    </row>
    <row r="3" spans="1:4" ht="14" thickBot="1" x14ac:dyDescent="0.25">
      <c r="A3" s="22" t="s">
        <v>241</v>
      </c>
      <c r="B3" s="7">
        <v>83</v>
      </c>
      <c r="C3" s="23" t="s">
        <v>242</v>
      </c>
      <c r="D3" s="23" t="s">
        <v>243</v>
      </c>
    </row>
    <row r="4" spans="1:4" ht="14" thickBot="1" x14ac:dyDescent="0.25">
      <c r="A4" s="22" t="s">
        <v>244</v>
      </c>
      <c r="B4" s="7">
        <v>20</v>
      </c>
      <c r="C4" s="23" t="s">
        <v>245</v>
      </c>
      <c r="D4" s="23"/>
    </row>
    <row r="5" spans="1:4" ht="14" thickBot="1" x14ac:dyDescent="0.25">
      <c r="A5" s="22" t="s">
        <v>246</v>
      </c>
      <c r="B5" s="7">
        <v>5.5</v>
      </c>
      <c r="C5" s="23" t="s">
        <v>247</v>
      </c>
      <c r="D5" s="23" t="s">
        <v>243</v>
      </c>
    </row>
    <row r="6" spans="1:4" ht="14" thickBot="1" x14ac:dyDescent="0.25">
      <c r="A6" s="22" t="s">
        <v>248</v>
      </c>
      <c r="B6" s="7">
        <v>16.5</v>
      </c>
      <c r="C6" s="23" t="s">
        <v>247</v>
      </c>
      <c r="D6" s="23" t="s">
        <v>243</v>
      </c>
    </row>
    <row r="7" spans="1:4" ht="14" thickBot="1" x14ac:dyDescent="0.25">
      <c r="A7" s="113" t="s">
        <v>249</v>
      </c>
      <c r="B7" s="114"/>
      <c r="C7" s="114"/>
      <c r="D7" s="115"/>
    </row>
    <row r="8" spans="1:4" ht="14" thickBot="1" x14ac:dyDescent="0.25">
      <c r="A8" s="22" t="s">
        <v>250</v>
      </c>
      <c r="B8" s="7">
        <v>145.30000000000001</v>
      </c>
      <c r="C8" s="23" t="s">
        <v>251</v>
      </c>
      <c r="D8" s="23" t="s">
        <v>252</v>
      </c>
    </row>
    <row r="9" spans="1:4" ht="14" thickBot="1" x14ac:dyDescent="0.25">
      <c r="A9" s="22" t="s">
        <v>253</v>
      </c>
      <c r="B9" s="7">
        <v>30</v>
      </c>
      <c r="C9" s="23" t="s">
        <v>254</v>
      </c>
      <c r="D9" s="23" t="s">
        <v>255</v>
      </c>
    </row>
    <row r="10" spans="1:4" ht="14" thickBot="1" x14ac:dyDescent="0.25">
      <c r="A10" s="22" t="s">
        <v>256</v>
      </c>
      <c r="B10" s="7">
        <v>19.75</v>
      </c>
      <c r="C10" s="23" t="s">
        <v>254</v>
      </c>
      <c r="D10" s="23" t="s">
        <v>257</v>
      </c>
    </row>
    <row r="11" spans="1:4" ht="14" thickBot="1" x14ac:dyDescent="0.25">
      <c r="A11" s="22" t="s">
        <v>258</v>
      </c>
      <c r="B11" s="7">
        <v>36</v>
      </c>
      <c r="C11" s="23" t="s">
        <v>259</v>
      </c>
      <c r="D11" s="23" t="s">
        <v>243</v>
      </c>
    </row>
    <row r="12" spans="1:4" ht="14" thickBot="1" x14ac:dyDescent="0.25">
      <c r="A12" s="113" t="s">
        <v>13</v>
      </c>
      <c r="B12" s="114"/>
      <c r="C12" s="114"/>
      <c r="D12" s="115"/>
    </row>
    <row r="13" spans="1:4" ht="14" thickBot="1" x14ac:dyDescent="0.25">
      <c r="A13" s="22" t="s">
        <v>260</v>
      </c>
      <c r="B13" s="7" t="s">
        <v>261</v>
      </c>
      <c r="C13" s="23" t="s">
        <v>243</v>
      </c>
      <c r="D13" s="23" t="s">
        <v>262</v>
      </c>
    </row>
    <row r="14" spans="1:4" ht="14" thickBot="1" x14ac:dyDescent="0.25">
      <c r="A14" s="22" t="s">
        <v>263</v>
      </c>
      <c r="B14" s="7">
        <v>124</v>
      </c>
      <c r="C14" s="23" t="s">
        <v>259</v>
      </c>
      <c r="D14" s="23" t="s">
        <v>264</v>
      </c>
    </row>
    <row r="15" spans="1:4" ht="14" thickBot="1" x14ac:dyDescent="0.25">
      <c r="A15" s="22" t="s">
        <v>265</v>
      </c>
      <c r="B15" s="7">
        <v>1</v>
      </c>
      <c r="C15" s="23" t="s">
        <v>247</v>
      </c>
      <c r="D15" s="23" t="s">
        <v>243</v>
      </c>
    </row>
    <row r="16" spans="1:4" ht="16" thickBot="1" x14ac:dyDescent="0.25">
      <c r="A16" s="22" t="s">
        <v>266</v>
      </c>
      <c r="B16" s="7">
        <v>818.4</v>
      </c>
      <c r="C16" s="23" t="s">
        <v>267</v>
      </c>
      <c r="D16" s="23" t="s">
        <v>243</v>
      </c>
    </row>
    <row r="17" spans="1:4" ht="14" thickBot="1" x14ac:dyDescent="0.25">
      <c r="A17" s="22" t="s">
        <v>268</v>
      </c>
      <c r="B17" s="7">
        <v>318</v>
      </c>
      <c r="C17" s="23" t="s">
        <v>173</v>
      </c>
      <c r="D17" s="23"/>
    </row>
    <row r="18" spans="1:4" ht="16" thickBot="1" x14ac:dyDescent="0.25">
      <c r="A18" s="22" t="s">
        <v>269</v>
      </c>
      <c r="B18" s="7">
        <v>570</v>
      </c>
      <c r="C18" s="23" t="s">
        <v>267</v>
      </c>
      <c r="D18" s="23" t="s">
        <v>243</v>
      </c>
    </row>
    <row r="19" spans="1:4" ht="14" thickBot="1" x14ac:dyDescent="0.25">
      <c r="A19" s="22" t="s">
        <v>270</v>
      </c>
      <c r="B19" s="7">
        <v>1.9E-2</v>
      </c>
      <c r="C19" s="23" t="s">
        <v>271</v>
      </c>
      <c r="D19" s="23" t="s">
        <v>243</v>
      </c>
    </row>
    <row r="20" spans="1:4" ht="14" thickBot="1" x14ac:dyDescent="0.25">
      <c r="A20" s="113" t="s">
        <v>272</v>
      </c>
      <c r="B20" s="114"/>
      <c r="C20" s="114"/>
      <c r="D20" s="115"/>
    </row>
    <row r="21" spans="1:4" ht="14" thickBot="1" x14ac:dyDescent="0.25">
      <c r="A21" s="22" t="s">
        <v>273</v>
      </c>
      <c r="B21" s="7">
        <v>4</v>
      </c>
      <c r="C21" s="23" t="s">
        <v>259</v>
      </c>
      <c r="D21" s="23" t="s">
        <v>243</v>
      </c>
    </row>
    <row r="22" spans="1:4" ht="14" thickBot="1" x14ac:dyDescent="0.25">
      <c r="A22" s="22" t="s">
        <v>274</v>
      </c>
      <c r="B22" s="7">
        <v>1</v>
      </c>
      <c r="C22" s="23" t="s">
        <v>259</v>
      </c>
      <c r="D22" s="23" t="s">
        <v>243</v>
      </c>
    </row>
    <row r="23" spans="1:4" ht="14" thickBot="1" x14ac:dyDescent="0.25">
      <c r="A23" s="22" t="s">
        <v>275</v>
      </c>
      <c r="B23" s="7">
        <v>124</v>
      </c>
      <c r="C23" s="23" t="s">
        <v>259</v>
      </c>
      <c r="D23" s="23" t="s">
        <v>276</v>
      </c>
    </row>
    <row r="24" spans="1:4" ht="14" thickBot="1" x14ac:dyDescent="0.25">
      <c r="A24" s="22" t="s">
        <v>277</v>
      </c>
      <c r="B24" s="7">
        <v>1</v>
      </c>
      <c r="C24" s="23" t="s">
        <v>247</v>
      </c>
      <c r="D24" s="23" t="s">
        <v>243</v>
      </c>
    </row>
    <row r="25" spans="1:4" ht="16" thickBot="1" x14ac:dyDescent="0.25">
      <c r="A25" s="22" t="s">
        <v>278</v>
      </c>
      <c r="B25" s="7">
        <v>880.8</v>
      </c>
      <c r="C25" s="23" t="s">
        <v>267</v>
      </c>
      <c r="D25" s="23" t="s">
        <v>279</v>
      </c>
    </row>
    <row r="26" spans="1:4" ht="14" thickBot="1" x14ac:dyDescent="0.25">
      <c r="A26" s="22" t="s">
        <v>280</v>
      </c>
      <c r="B26" s="7">
        <v>309</v>
      </c>
      <c r="C26" s="23" t="s">
        <v>173</v>
      </c>
      <c r="D26" s="23" t="s">
        <v>243</v>
      </c>
    </row>
    <row r="27" spans="1:4" ht="18" thickBot="1" x14ac:dyDescent="0.25">
      <c r="A27" s="22" t="s">
        <v>281</v>
      </c>
      <c r="B27" s="7">
        <v>49.2</v>
      </c>
      <c r="C27" s="23" t="s">
        <v>267</v>
      </c>
      <c r="D27" s="23" t="s">
        <v>282</v>
      </c>
    </row>
    <row r="28" spans="1:4" ht="14" thickBot="1" x14ac:dyDescent="0.25">
      <c r="A28" s="22" t="s">
        <v>283</v>
      </c>
      <c r="B28" s="7">
        <v>14</v>
      </c>
      <c r="C28" s="23" t="s">
        <v>173</v>
      </c>
      <c r="D28" s="23" t="s">
        <v>243</v>
      </c>
    </row>
    <row r="29" spans="1:4" ht="18" thickBot="1" x14ac:dyDescent="0.25">
      <c r="A29" s="22" t="s">
        <v>284</v>
      </c>
      <c r="B29" s="7">
        <v>14</v>
      </c>
      <c r="C29" s="23" t="s">
        <v>173</v>
      </c>
      <c r="D29" s="23" t="s">
        <v>282</v>
      </c>
    </row>
    <row r="30" spans="1:4" ht="14" thickBot="1" x14ac:dyDescent="0.25">
      <c r="A30" s="113" t="s">
        <v>285</v>
      </c>
      <c r="B30" s="114"/>
      <c r="C30" s="114"/>
      <c r="D30" s="115"/>
    </row>
    <row r="31" spans="1:4" ht="14" thickBot="1" x14ac:dyDescent="0.2">
      <c r="A31" s="22" t="s">
        <v>286</v>
      </c>
      <c r="B31" s="7">
        <v>5</v>
      </c>
      <c r="C31" s="24"/>
      <c r="D31" s="23" t="s">
        <v>243</v>
      </c>
    </row>
    <row r="32" spans="1:4" ht="14" thickBot="1" x14ac:dyDescent="0.2">
      <c r="A32" s="22" t="s">
        <v>287</v>
      </c>
      <c r="B32" s="7">
        <v>2</v>
      </c>
      <c r="C32" s="24"/>
      <c r="D32" s="23" t="s">
        <v>243</v>
      </c>
    </row>
    <row r="33" spans="1:4" ht="14" thickBot="1" x14ac:dyDescent="0.2">
      <c r="A33" s="22" t="s">
        <v>288</v>
      </c>
      <c r="B33" s="7">
        <v>9</v>
      </c>
      <c r="C33" s="24"/>
      <c r="D33" s="23" t="s">
        <v>243</v>
      </c>
    </row>
    <row r="34" spans="1:4" ht="14" thickBot="1" x14ac:dyDescent="0.2">
      <c r="A34" s="22" t="s">
        <v>289</v>
      </c>
      <c r="B34" s="7">
        <v>213</v>
      </c>
      <c r="C34" s="24"/>
      <c r="D34" s="23" t="s">
        <v>243</v>
      </c>
    </row>
    <row r="35" spans="1:4" s="29" customFormat="1" ht="29" thickBot="1" x14ac:dyDescent="0.25">
      <c r="A35" s="25" t="s">
        <v>290</v>
      </c>
      <c r="B35" s="26">
        <v>48</v>
      </c>
      <c r="C35" s="27" t="s">
        <v>243</v>
      </c>
      <c r="D35" s="28" t="s">
        <v>291</v>
      </c>
    </row>
    <row r="36" spans="1:4" s="29" customFormat="1" ht="14" thickBot="1" x14ac:dyDescent="0.25">
      <c r="A36" s="25" t="s">
        <v>190</v>
      </c>
      <c r="B36" s="26">
        <v>277</v>
      </c>
      <c r="C36" s="27"/>
      <c r="D36" s="28"/>
    </row>
    <row r="37" spans="1:4" ht="14" thickBot="1" x14ac:dyDescent="0.25">
      <c r="A37" s="113" t="s">
        <v>292</v>
      </c>
      <c r="B37" s="114"/>
      <c r="C37" s="114"/>
      <c r="D37" s="115"/>
    </row>
    <row r="38" spans="1:4" ht="14" thickBot="1" x14ac:dyDescent="0.25">
      <c r="A38" s="22" t="s">
        <v>293</v>
      </c>
      <c r="B38" s="7">
        <v>54.2</v>
      </c>
      <c r="C38" s="23" t="s">
        <v>173</v>
      </c>
      <c r="D38" s="23" t="s">
        <v>294</v>
      </c>
    </row>
    <row r="39" spans="1:4" ht="14" thickBot="1" x14ac:dyDescent="0.25">
      <c r="A39" s="22" t="s">
        <v>295</v>
      </c>
      <c r="B39" s="7">
        <v>56.3</v>
      </c>
      <c r="C39" s="23" t="s">
        <v>173</v>
      </c>
      <c r="D39" s="23" t="s">
        <v>296</v>
      </c>
    </row>
    <row r="40" spans="1:4" ht="14" thickBot="1" x14ac:dyDescent="0.25">
      <c r="A40" s="22" t="s">
        <v>297</v>
      </c>
      <c r="B40" s="7">
        <v>39.700000000000003</v>
      </c>
      <c r="C40" s="23" t="s">
        <v>173</v>
      </c>
      <c r="D40" s="23" t="s">
        <v>298</v>
      </c>
    </row>
    <row r="41" spans="1:4" ht="14" thickBot="1" x14ac:dyDescent="0.25">
      <c r="A41" s="22" t="s">
        <v>299</v>
      </c>
      <c r="B41" s="7">
        <v>95.3</v>
      </c>
      <c r="C41" s="23" t="s">
        <v>173</v>
      </c>
      <c r="D41" s="23" t="s">
        <v>300</v>
      </c>
    </row>
    <row r="42" spans="1:4" ht="14" thickBot="1" x14ac:dyDescent="0.25">
      <c r="A42" s="22" t="s">
        <v>301</v>
      </c>
      <c r="B42" s="7">
        <v>2571.9</v>
      </c>
      <c r="C42" s="23" t="s">
        <v>173</v>
      </c>
      <c r="D42" s="23" t="s">
        <v>302</v>
      </c>
    </row>
    <row r="43" spans="1:4" ht="14" thickBot="1" x14ac:dyDescent="0.25">
      <c r="A43" s="22" t="s">
        <v>303</v>
      </c>
      <c r="B43" s="7">
        <v>925.3</v>
      </c>
      <c r="C43" s="23" t="s">
        <v>173</v>
      </c>
      <c r="D43" s="23" t="s">
        <v>304</v>
      </c>
    </row>
    <row r="44" spans="1:4" ht="14" thickBot="1" x14ac:dyDescent="0.25">
      <c r="A44" s="113" t="s">
        <v>305</v>
      </c>
      <c r="B44" s="114"/>
      <c r="C44" s="114"/>
      <c r="D44" s="115"/>
    </row>
    <row r="45" spans="1:4" ht="14" thickBot="1" x14ac:dyDescent="0.25">
      <c r="A45" s="22" t="s">
        <v>306</v>
      </c>
      <c r="B45" s="7">
        <v>8.3000000000000007</v>
      </c>
      <c r="C45" s="23" t="s">
        <v>271</v>
      </c>
      <c r="D45" s="23" t="s">
        <v>307</v>
      </c>
    </row>
    <row r="46" spans="1:4" ht="14" thickBot="1" x14ac:dyDescent="0.25">
      <c r="A46" s="113" t="s">
        <v>308</v>
      </c>
      <c r="B46" s="114"/>
      <c r="C46" s="114"/>
      <c r="D46" s="115"/>
    </row>
    <row r="47" spans="1:4" ht="14" thickBot="1" x14ac:dyDescent="0.25">
      <c r="A47" s="22" t="s">
        <v>309</v>
      </c>
      <c r="B47" s="7">
        <v>156</v>
      </c>
      <c r="C47" s="23" t="s">
        <v>173</v>
      </c>
      <c r="D47" s="23" t="s">
        <v>310</v>
      </c>
    </row>
    <row r="48" spans="1:4" ht="14" thickBot="1" x14ac:dyDescent="0.25">
      <c r="A48" s="22" t="s">
        <v>311</v>
      </c>
      <c r="B48" s="7">
        <v>4</v>
      </c>
      <c r="C48" s="23" t="s">
        <v>259</v>
      </c>
      <c r="D48" s="23" t="s">
        <v>312</v>
      </c>
    </row>
    <row r="49" spans="1:4" ht="14" thickBot="1" x14ac:dyDescent="0.25">
      <c r="A49" s="22" t="s">
        <v>313</v>
      </c>
      <c r="B49" s="7">
        <v>0.86</v>
      </c>
      <c r="C49" s="23" t="s">
        <v>271</v>
      </c>
      <c r="D49" s="23" t="s">
        <v>314</v>
      </c>
    </row>
    <row r="50" spans="1:4" ht="14" thickBot="1" x14ac:dyDescent="0.25">
      <c r="A50" s="113" t="s">
        <v>315</v>
      </c>
      <c r="B50" s="114"/>
      <c r="C50" s="114"/>
      <c r="D50" s="115"/>
    </row>
    <row r="51" spans="1:4" ht="14" thickBot="1" x14ac:dyDescent="0.25">
      <c r="A51" s="22" t="s">
        <v>316</v>
      </c>
      <c r="B51" s="7">
        <v>1.1100000000000001</v>
      </c>
      <c r="C51" s="23" t="s">
        <v>271</v>
      </c>
      <c r="D51" s="23" t="s">
        <v>310</v>
      </c>
    </row>
    <row r="52" spans="1:4" ht="14" thickBot="1" x14ac:dyDescent="0.25">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baseColWidth="10" defaultColWidth="11.5"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7"/>
  <sheetViews>
    <sheetView zoomScale="164" workbookViewId="0">
      <selection activeCell="A17" sqref="A17"/>
    </sheetView>
  </sheetViews>
  <sheetFormatPr baseColWidth="10" defaultColWidth="11.5" defaultRowHeight="15" x14ac:dyDescent="0.2"/>
  <cols>
    <col min="1" max="1" width="27.5" customWidth="1"/>
    <col min="2" max="2" width="6.5" customWidth="1"/>
  </cols>
  <sheetData>
    <row r="1" spans="1:5" s="36" customFormat="1" x14ac:dyDescent="0.2">
      <c r="A1" s="36" t="s">
        <v>382</v>
      </c>
      <c r="B1" s="36" t="s">
        <v>238</v>
      </c>
      <c r="C1" s="36" t="s">
        <v>534</v>
      </c>
      <c r="D1" s="36" t="s">
        <v>535</v>
      </c>
      <c r="E1" s="36" t="s">
        <v>62</v>
      </c>
    </row>
    <row r="2" spans="1:5" x14ac:dyDescent="0.2">
      <c r="A2" t="s">
        <v>381</v>
      </c>
      <c r="B2" s="4">
        <v>6.5389932052543287E-2</v>
      </c>
    </row>
    <row r="3" spans="1:5" x14ac:dyDescent="0.2">
      <c r="A3" t="s">
        <v>391</v>
      </c>
      <c r="B3">
        <v>5</v>
      </c>
    </row>
    <row r="4" spans="1:5" x14ac:dyDescent="0.2">
      <c r="A4" t="s">
        <v>392</v>
      </c>
      <c r="B4">
        <v>5</v>
      </c>
    </row>
    <row r="5" spans="1:5" x14ac:dyDescent="0.2">
      <c r="A5" t="s">
        <v>393</v>
      </c>
      <c r="B5">
        <v>5</v>
      </c>
    </row>
    <row r="6" spans="1:5" x14ac:dyDescent="0.2">
      <c r="A6" t="s">
        <v>394</v>
      </c>
      <c r="B6">
        <v>1800</v>
      </c>
    </row>
    <row r="7" spans="1:5" x14ac:dyDescent="0.2">
      <c r="A7" t="s">
        <v>386</v>
      </c>
      <c r="B7">
        <v>10</v>
      </c>
    </row>
    <row r="8" spans="1:5" x14ac:dyDescent="0.2">
      <c r="A8" t="s">
        <v>395</v>
      </c>
      <c r="B8">
        <v>0.01</v>
      </c>
    </row>
    <row r="9" spans="1:5" x14ac:dyDescent="0.2">
      <c r="A9" t="s">
        <v>471</v>
      </c>
      <c r="B9">
        <v>0.08</v>
      </c>
      <c r="C9" s="116" t="s">
        <v>536</v>
      </c>
      <c r="D9" s="116" t="s">
        <v>537</v>
      </c>
      <c r="E9" s="116" t="s">
        <v>538</v>
      </c>
    </row>
    <row r="10" spans="1:5" ht="15" customHeight="1" x14ac:dyDescent="0.2">
      <c r="A10" s="5" t="s">
        <v>468</v>
      </c>
      <c r="B10">
        <v>0</v>
      </c>
      <c r="C10" s="116"/>
      <c r="D10" s="116"/>
      <c r="E10" s="116"/>
    </row>
    <row r="11" spans="1:5" x14ac:dyDescent="0.2">
      <c r="A11" s="5" t="s">
        <v>469</v>
      </c>
      <c r="B11">
        <v>0</v>
      </c>
      <c r="C11" s="116"/>
      <c r="D11" s="116"/>
      <c r="E11" s="116"/>
    </row>
    <row r="12" spans="1:5" x14ac:dyDescent="0.2">
      <c r="A12" s="5" t="s">
        <v>472</v>
      </c>
      <c r="B12">
        <v>0.18443169820109745</v>
      </c>
      <c r="C12" s="116"/>
      <c r="D12" s="116"/>
      <c r="E12" s="116"/>
    </row>
    <row r="13" spans="1:5" x14ac:dyDescent="0.2">
      <c r="A13" s="5" t="s">
        <v>450</v>
      </c>
      <c r="B13">
        <v>0.24138000000000001</v>
      </c>
      <c r="C13" s="116"/>
      <c r="D13" s="116"/>
      <c r="E13" s="116"/>
    </row>
    <row r="14" spans="1:5" x14ac:dyDescent="0.2">
      <c r="A14" s="5" t="s">
        <v>467</v>
      </c>
      <c r="B14" s="117">
        <v>0.22962848022115534</v>
      </c>
      <c r="C14" s="116"/>
      <c r="D14" s="116"/>
      <c r="E14" s="116"/>
    </row>
    <row r="15" spans="1:5" x14ac:dyDescent="0.2">
      <c r="A15" s="5" t="s">
        <v>539</v>
      </c>
      <c r="B15">
        <v>0.41505377678599265</v>
      </c>
      <c r="C15" s="116"/>
      <c r="D15" s="116"/>
      <c r="E15" s="116"/>
    </row>
    <row r="16" spans="1:5" x14ac:dyDescent="0.2">
      <c r="A16" s="5" t="s">
        <v>540</v>
      </c>
      <c r="B16">
        <v>0.39914905811401724</v>
      </c>
      <c r="C16" s="116"/>
      <c r="D16" s="116"/>
      <c r="E16" s="116"/>
    </row>
    <row r="17" spans="1:5" x14ac:dyDescent="0.2">
      <c r="A17" s="5" t="s">
        <v>541</v>
      </c>
      <c r="B17">
        <v>0.05</v>
      </c>
      <c r="C17" s="116"/>
      <c r="D17" t="s">
        <v>542</v>
      </c>
      <c r="E17" t="s">
        <v>543</v>
      </c>
    </row>
  </sheetData>
  <mergeCells count="3">
    <mergeCell ref="C9:C17"/>
    <mergeCell ref="D9:D16"/>
    <mergeCell ref="E9:E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2025-07-21T23:29:20Z</dcterms:modified>
</cp:coreProperties>
</file>