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EFAD4394-6F62-40C2-94F4-C74F0D336DB5}" xr6:coauthVersionLast="47" xr6:coauthVersionMax="47" xr10:uidLastSave="{00000000-0000-0000-0000-000000000000}"/>
  <bookViews>
    <workbookView xWindow="14295" yWindow="0" windowWidth="14610" windowHeight="15585"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Database'!$A$1:$Z$139</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4" i="2" l="1"/>
  <c r="B67" i="2" l="1"/>
  <c r="D67" i="2" s="1"/>
  <c r="B60" i="2"/>
  <c r="D60" i="2" s="1"/>
  <c r="B57" i="2"/>
  <c r="D57" i="2" s="1"/>
  <c r="B61" i="2"/>
  <c r="D61" i="2" s="1"/>
  <c r="B58" i="2"/>
  <c r="D58" i="2" s="1"/>
  <c r="B135" i="2"/>
  <c r="D135" i="2" s="1"/>
  <c r="B133" i="2"/>
  <c r="D133" i="2" s="1"/>
  <c r="I109" i="2"/>
  <c r="I108" i="2"/>
  <c r="I107" i="2"/>
  <c r="I106" i="2"/>
  <c r="I105" i="2"/>
  <c r="I104" i="2"/>
  <c r="B109" i="2"/>
  <c r="D109" i="2" s="1"/>
  <c r="B108" i="2"/>
  <c r="D108" i="2" s="1"/>
  <c r="B107" i="2"/>
  <c r="D107" i="2" s="1"/>
  <c r="B106" i="2"/>
  <c r="D106" i="2" s="1"/>
  <c r="B105" i="2"/>
  <c r="D105" i="2" s="1"/>
  <c r="B104" i="2"/>
  <c r="D104" i="2" s="1"/>
  <c r="I96" i="2"/>
  <c r="B102" i="2" l="1"/>
  <c r="D102" i="2" s="1"/>
  <c r="D96" i="2"/>
  <c r="I93" i="2"/>
  <c r="B93" i="2"/>
  <c r="D93" i="2" s="1"/>
  <c r="B89" i="2"/>
  <c r="D89" i="2" s="1"/>
  <c r="B88" i="2"/>
  <c r="D88" i="2" s="1"/>
  <c r="B87" i="2"/>
  <c r="D87" i="2" s="1"/>
  <c r="B86" i="2"/>
  <c r="D86" i="2" s="1"/>
  <c r="B73" i="2" l="1"/>
  <c r="D73" i="2" s="1"/>
  <c r="B72" i="2"/>
  <c r="D72" i="2" s="1"/>
  <c r="I65" i="2"/>
  <c r="B69" i="2"/>
  <c r="D69" i="2" s="1"/>
  <c r="I55" i="2"/>
  <c r="B2" i="7" l="1"/>
  <c r="B2" i="2" l="1"/>
  <c r="B117" i="2"/>
  <c r="B8" i="2"/>
  <c r="H7" i="2"/>
  <c r="H125" i="2"/>
  <c r="B125" i="2"/>
  <c r="D125" i="2" s="1"/>
  <c r="B124" i="2"/>
  <c r="D124" i="2" s="1"/>
  <c r="D118" i="2"/>
  <c r="D119" i="2"/>
  <c r="H123" i="2"/>
  <c r="H122" i="2"/>
  <c r="H121" i="2"/>
  <c r="H120" i="2"/>
  <c r="B115" i="2"/>
  <c r="D115" i="2" s="1"/>
  <c r="H98" i="2" l="1"/>
  <c r="B98" i="2" l="1"/>
  <c r="D98" i="2" s="1"/>
  <c r="H95" i="2"/>
  <c r="B95" i="2"/>
  <c r="D95" i="2" s="1"/>
  <c r="B83" i="2"/>
  <c r="D83" i="2" s="1"/>
  <c r="B82" i="2" l="1"/>
  <c r="B80" i="2"/>
  <c r="B81" i="2"/>
  <c r="D81" i="2" s="1"/>
  <c r="B85" i="2"/>
  <c r="B84" i="2"/>
  <c r="I81" i="2"/>
  <c r="C3" i="4" l="1"/>
  <c r="B78" i="2"/>
  <c r="D77" i="2" s="1"/>
  <c r="B77" i="2"/>
  <c r="L76" i="2"/>
  <c r="L71" i="2" l="1"/>
  <c r="I71" i="2" s="1"/>
  <c r="H71" i="2"/>
  <c r="L42" i="2"/>
  <c r="L68" i="2"/>
  <c r="I68" i="2" s="1"/>
  <c r="L66" i="2"/>
  <c r="C20" i="4"/>
  <c r="I66" i="2" l="1"/>
  <c r="I75" i="2" s="1"/>
  <c r="L75" i="2"/>
  <c r="I92" i="2" l="1"/>
  <c r="I94" i="2" s="1"/>
  <c r="C19" i="4"/>
  <c r="C77" i="4"/>
  <c r="C73" i="4"/>
  <c r="C52" i="4"/>
  <c r="C68" i="4"/>
  <c r="C71" i="4"/>
  <c r="C75" i="4"/>
  <c r="C46" i="4"/>
  <c r="C45" i="4" s="1"/>
  <c r="I42" i="2"/>
  <c r="C48" i="4" l="1"/>
  <c r="C15" i="4"/>
  <c r="C10" i="4"/>
  <c r="C6" i="4" s="1"/>
  <c r="C65" i="4"/>
  <c r="C59" i="4"/>
  <c r="C58" i="4" s="1"/>
  <c r="C32" i="4"/>
  <c r="C62" i="4" l="1"/>
  <c r="C56" i="4"/>
  <c r="C55" i="4" l="1"/>
  <c r="C25" i="4" l="1"/>
  <c r="C14" i="4" s="1"/>
  <c r="C13" i="4" s="1"/>
  <c r="C5" i="4" s="1"/>
  <c r="H75"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9" i="2"/>
  <c r="D59" i="2" s="1"/>
  <c r="B62" i="2"/>
  <c r="D62" i="2" s="1"/>
  <c r="B63" i="2"/>
  <c r="D63" i="2" s="1"/>
  <c r="B64" i="2"/>
  <c r="D64" i="2" s="1"/>
  <c r="B65" i="2"/>
  <c r="D65" i="2" s="1"/>
  <c r="B66" i="2"/>
  <c r="D66" i="2" s="1"/>
  <c r="B68" i="2"/>
  <c r="D68" i="2" s="1"/>
  <c r="B70" i="2"/>
  <c r="D70" i="2" s="1"/>
  <c r="B71" i="2"/>
  <c r="D71" i="2" s="1"/>
  <c r="B74" i="2"/>
  <c r="D74" i="2" s="1"/>
  <c r="B75" i="2"/>
  <c r="D75" i="2" s="1"/>
  <c r="B76" i="2"/>
  <c r="D76" i="2" s="1"/>
  <c r="B79" i="2"/>
  <c r="D80" i="2"/>
  <c r="D82" i="2"/>
  <c r="D84" i="2"/>
  <c r="D85" i="2"/>
  <c r="B90" i="2"/>
  <c r="D90" i="2" s="1"/>
  <c r="B91" i="2"/>
  <c r="D91" i="2" s="1"/>
  <c r="B92" i="2"/>
  <c r="D92" i="2" s="1"/>
  <c r="B94" i="2"/>
  <c r="D94" i="2" s="1"/>
  <c r="B97" i="2"/>
  <c r="D97" i="2" s="1"/>
  <c r="B99" i="2"/>
  <c r="D99" i="2" s="1"/>
  <c r="B100" i="2"/>
  <c r="D100" i="2" s="1"/>
  <c r="B101" i="2"/>
  <c r="D101" i="2" s="1"/>
  <c r="B103" i="2"/>
  <c r="D103" i="2" s="1"/>
  <c r="B110" i="2"/>
  <c r="D110" i="2" s="1"/>
  <c r="B111" i="2"/>
  <c r="D111" i="2" s="1"/>
  <c r="B112" i="2"/>
  <c r="D112" i="2" s="1"/>
  <c r="B113" i="2"/>
  <c r="D113" i="2" s="1"/>
  <c r="B114" i="2"/>
  <c r="D114" i="2" s="1"/>
  <c r="B116" i="2"/>
  <c r="D116" i="2" s="1"/>
  <c r="D117" i="2"/>
  <c r="B120" i="2"/>
  <c r="D120" i="2" s="1"/>
  <c r="B121" i="2"/>
  <c r="D121" i="2" s="1"/>
  <c r="B122" i="2"/>
  <c r="D122" i="2" s="1"/>
  <c r="B123" i="2"/>
  <c r="D123" i="2" s="1"/>
  <c r="B126" i="2"/>
  <c r="D126" i="2" s="1"/>
  <c r="B127" i="2"/>
  <c r="D127" i="2" s="1"/>
  <c r="B128" i="2"/>
  <c r="D128" i="2" s="1"/>
  <c r="B129" i="2"/>
  <c r="D129" i="2" s="1"/>
  <c r="B130" i="2"/>
  <c r="D130" i="2" s="1"/>
  <c r="B131" i="2"/>
  <c r="D131" i="2" s="1"/>
  <c r="B132" i="2"/>
  <c r="D132" i="2" s="1"/>
  <c r="B134" i="2"/>
  <c r="D134" i="2" s="1"/>
  <c r="B136" i="2"/>
  <c r="D136" i="2" s="1"/>
  <c r="B137" i="2"/>
  <c r="D137" i="2" s="1"/>
  <c r="B138" i="2"/>
  <c r="D138" i="2" s="1"/>
  <c r="B139" i="2"/>
  <c r="D139" i="2" s="1"/>
  <c r="D2" i="2"/>
  <c r="D79" i="2" l="1"/>
  <c r="D78"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tc={2BF08C61-4671-4BB0-B8A6-DD1AAB44A4E2}</author>
    <author>tc={2FF1B83B-4952-4966-B4B1-47B3AC049632}</author>
    <author>tc={6A4E3BDC-584F-1346-BF51-598A89836273}</author>
    <author>tc={368934F8-D933-024D-9355-5B191B79D6E7}</author>
    <author>tc={25250E12-7DF8-42FE-A9C3-6F5AE6FD64C9}</author>
    <author>tc={8C62D7C0-F520-42A3-9908-A880BA4D938B}</author>
    <author>tc={335259DE-3294-4740-8C40-6B23AE73FFDB}</author>
  </authors>
  <commentList>
    <comment ref="L68"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69" authorId="1"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1" authorId="2"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75" authorId="3"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1" authorId="4"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96" authorId="5"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C133" authorId="6"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34" authorId="7"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<sst xmlns="http://schemas.openxmlformats.org/spreadsheetml/2006/main" count="976" uniqueCount="466">
  <si>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</si>
  <si>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</si>
  <si>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</si>
  <si>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</si>
  <si>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</si>
  <si>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</si>
  <si>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</si>
  <si>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</si>
  <si>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</si>
  <si>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</si>
  <si>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</si>
  <si>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</si>
  <si>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</si>
  <si>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</si>
  <si>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</si>
  <si>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</si>
  <si>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</si>
  <si>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</si>
  <si>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</si>
  <si>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</si>
  <si>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</si>
  <si>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</si>
  <si>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</si>
  <si>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</si>
  <si>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</si>
  <si>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</si>
  <si>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</si>
  <si>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</si>
  <si>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</si>
  <si>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</si>
  <si>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</si>
  <si>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</si>
  <si>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</si>
  <si>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</si>
  <si>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</si>
  <si>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</si>
  <si>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</si>
  <si>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</si>
  <si>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</si>
  <si>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</si>
  <si>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</si>
  <si>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</si>
  <si>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</si>
  <si>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</si>
  <si>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</si>
  <si>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</si>
  <si>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</si>
  <si>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</si>
  <si>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</si>
  <si>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</si>
  <si>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</si>
  <si>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</si>
  <si>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</si>
  <si>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</si>
  <si>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</si>
  <si>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</si>
  <si>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</si>
  <si>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</si>
  <si>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</si>
  <si>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</si>
  <si>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</si>
  <si>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</si>
  <si>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</si>
  <si>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</si>
  <si>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</si>
  <si>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</si>
  <si>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</si>
  <si>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</si>
  <si>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</si>
  <si>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</si>
  <si>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</si>
  <si>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</si>
  <si>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</si>
  <si>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</si>
  <si>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</si>
  <si>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</si>
  <si>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</si>
  <si>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</si>
  <si>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</si>
  <si>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</si>
  <si>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</si>
  <si>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</si>
  <si>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</si>
  <si>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</si>
  <si>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</si>
  <si>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</si>
  <si>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</si>
  <si>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</si>
  <si>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</si>
  <si>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</si>
  <si>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</si>
  <si>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</si>
  <si>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</si>
  <si>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</si>
  <si>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</si>
  <si>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</si>
  <si>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</si>
  <si>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</si>
  <si>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</si>
  <si>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</si>
  <si>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</si>
  <si>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</si>
  <si>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</si>
  <si>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</si>
  <si>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</si>
  <si>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</si>
  <si>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</si>
  <si>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</si>
  <si>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</si>
  <si>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</si>
  <si>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</si>
  <si>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</si>
  <si>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</si>
  <si>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</si>
  <si>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</si>
  <si>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</si>
  <si>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</si>
  <si>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</si>
  <si>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</si>
  <si>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</si>
  <si>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</si>
  <si>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</si>
  <si>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</si>
  <si>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</si>
  <si>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</si>
  <si>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</si>
  <si>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</si>
  <si>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</si>
  <si>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</si>
  <si>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</si>
  <si>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</si>
  <si>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</si>
  <si>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</si>
  <si>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</si>
  <si>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</si>
  <si>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</si>
  <si>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</si>
  <si>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</si>
  <si>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</si>
  <si>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</si>
  <si>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</si>
  <si>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</si>
  <si>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</si>
  <si>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</si>
  <si>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</si>
  <si>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</si>
  <si>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</si>
  <si>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</si>
  <si>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</si>
  <si>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</si>
  <si>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</si>
  <si>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</si>
  <si>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</si>
  <si>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</si>
  <si>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</si>
  <si>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</si>
  <si>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</si>
  <si>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</si>
  <si>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</si>
  <si>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</si>
  <si>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</si>
  <si>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</si>
  <si>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</si>
  <si>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</si>
  <si>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</si>
  <si>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</si>
  <si>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</si>
  <si>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</si>
  <si>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</si>
  <si>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</si>
  <si>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</si>
  <si>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</si>
  <si>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</si>
  <si>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</si>
  <si>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</si>
  <si>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</si>
  <si>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</si>
  <si>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</si>
  <si>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</si>
  <si>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</si>
  <si>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</si>
  <si>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</si>
  <si>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</si>
  <si>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</si>
  <si>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</si>
  <si>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</si>
  <si>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</si>
  <si>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</si>
  <si>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</si>
  <si>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</si>
  <si>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</si>
  <si>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</si>
  <si>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</si>
  <si>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</si>
  <si>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</si>
  <si>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</si>
  <si>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</si>
  <si>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</si>
  <si>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</si>
  <si>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</si>
  <si>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</si>
  <si>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</si>
  <si>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</si>
  <si>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</si>
  <si>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</si>
  <si>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</si>
  <si>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</si>
  <si>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</si>
  <si>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</si>
  <si>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</si>
  <si>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</si>
  <si>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</si>
  <si>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</si>
  <si>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</si>
  <si>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</si>
  <si>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</si>
  <si>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</si>
  <si>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</si>
  <si>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</si>
  <si>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</si>
  <si>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</si>
  <si>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</si>
  <si>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</si>
  <si>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</si>
  <si>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</si>
  <si>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</si>
  <si>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</si>
  <si>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</si>
  <si>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</si>
  <si>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</si>
  <si>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</si>
  <si>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</si>
  <si>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</si>
  <si>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</si>
  <si>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</si>
  <si>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</si>
  <si>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</si>
  <si>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</si>
  <si>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</si>
  <si>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</si>
  <si>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</si>
  <si>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</si>
  <si>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</si>
  <si>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</si>
  <si>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</si>
  <si>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</si>
  <si>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</si>
  <si>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</si>
  <si>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</si>
  <si>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</si>
  <si>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</si>
  <si>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</si>
  <si>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</si>
  <si>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</si>
  <si>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</si>
  <si>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</si>
  <si>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</si>
  <si>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</si>
  <si>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</si>
  <si>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</si>
  <si>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</si>
  <si>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</si>
  <si>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</si>
  <si>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</si>
  <si>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</si>
  <si>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</si>
  <si>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</si>
  <si>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</si>
  <si>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</si>
  <si>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</si>
  <si>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</si>
  <si>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</si>
  <si>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</si>
  <si>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</si>
  <si>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</si>
  <si>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</si>
  <si>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</si>
  <si>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</si>
  <si>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</si>
  <si>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</si>
  <si>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</si>
  <si>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</si>
  <si>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</si>
  <si>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</si>
  <si>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</si>
  <si>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</si>
  <si>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</si>
  <si>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</si>
  <si>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</si>
  <si>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</si>
  <si>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</si>
  <si>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</si>
  <si>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</si>
  <si>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</si>
  <si>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</si>
  <si>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</si>
  <si>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</si>
  <si>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</si>
  <si>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</si>
  <si>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</si>
  <si>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</si>
  <si>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</si>
  <si>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</si>
  <si>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</si>
  <si>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</si>
  <si>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</si>
  <si>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</si>
  <si>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</si>
  <si>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</si>
  <si>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</si>
  <si>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</si>
  <si>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</si>
  <si>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</si>
  <si>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</si>
  <si>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</si>
  <si>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</si>
  <si>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</si>
  <si>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</si>
  <si>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</si>
  <si>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</si>
  <si>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</si>
  <si>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</si>
  <si>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</si>
  <si>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</si>
  <si>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</si>
  <si>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</si>
  <si>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</si>
  <si>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</si>
  <si>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</si>
  <si>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</si>
  <si>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</si>
  <si>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</si>
  <si>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</si>
  <si>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</si>
  <si>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</si>
  <si>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In Vessel Shielding Mass</t>
  </si>
  <si>
    <t>Out Of Vessel Shielding Mass</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</si>
  <si>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</si>
  <si>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</si>
  <si>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</si>
  <si>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</si>
  <si>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</si>
  <si>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</si>
  <si>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</si>
  <si>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</si>
  <si>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</si>
  <si>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</si>
  <si>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</si>
  <si>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</si>
  <si>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</si>
  <si>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</si>
  <si>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</si>
  <si>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</si>
  <si>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</si>
  <si>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</si>
  <si>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</si>
  <si>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</si>
  <si>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</si>
  <si>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</si>
  <si>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</si>
  <si>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</si>
  <si>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</si>
  <si>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</si>
  <si>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</si>
  <si>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</si>
  <si>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</si>
  <si>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</si>
  <si>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</si>
  <si>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</si>
  <si>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</si>
  <si>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</si>
  <si>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</si>
  <si>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</si>
  <si>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</si>
  <si>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</si>
  <si>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</si>
  <si>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</si>
  <si>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</si>
  <si>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</si>
  <si>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</si>
  <si>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</si>
  <si>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</si>
  <si>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</si>
  <si>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</si>
  <si>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</si>
  <si>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</si>
  <si>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</si>
  <si>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</si>
  <si>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</si>
  <si>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</si>
  <si>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</si>
  <si>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</si>
  <si>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</si>
  <si>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</si>
  <si>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</si>
  <si>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</si>
  <si>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</si>
  <si>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</si>
  <si>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</si>
  <si>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</si>
  <si>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</si>
  <si>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</si>
  <si>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</si>
  <si>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</si>
  <si>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</si>
  <si>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</si>
  <si>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Control Drum Count</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</si>
  <si>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</si>
  <si>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</si>
  <si>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</si>
  <si>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</si>
  <si>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</si>
  <si>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</si>
  <si>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</si>
  <si>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</si>
  <si>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Implemented on the python side</t>
  </si>
  <si>
    <t>Hoffman et al. (2020). Improvement of ACCERT Algorithm - FY20 (No. ANL/NSE-20/28). Argonne National Laboratory.(ANL), Argonne, IL (United States).</t>
  </si>
  <si>
    <t>SS316</t>
  </si>
  <si>
    <t>HX Material</t>
  </si>
  <si>
    <t>800H</t>
  </si>
  <si>
    <t>unitless</t>
  </si>
  <si>
    <t>RPV Surface Area</t>
  </si>
  <si>
    <t>m^2</t>
  </si>
  <si>
    <t>Venneri, 2023</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</si>
  <si>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</si>
  <si>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</si>
  <si>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</si>
  <si>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</si>
  <si>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</si>
  <si>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</si>
  <si>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</si>
  <si>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</si>
  <si>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</si>
  <si>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</si>
  <si>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</si>
  <si>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</si>
  <si>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</si>
  <si>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</si>
  <si>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</si>
  <si>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</si>
  <si>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</si>
  <si>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</si>
  <si>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</si>
  <si>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</si>
  <si>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</si>
  <si>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GMCR</t>
  </si>
  <si>
    <t>B4C_enriched</t>
  </si>
  <si>
    <t>Prosser et al., 2023</t>
  </si>
  <si>
    <t>RVACS Scaling</t>
  </si>
  <si>
    <t>RVACS Mass</t>
  </si>
  <si>
    <t>Cost based on FOAK Digital I&amp;C with 2-out-of-4 voting logic</t>
  </si>
  <si>
    <t>Primary Loop Mass Flow Rate</t>
  </si>
  <si>
    <t>guard_vessel_material</t>
  </si>
  <si>
    <t>vessel_material</t>
  </si>
  <si>
    <t>stainless_steel</t>
  </si>
  <si>
    <t>low_alloy_steel</t>
  </si>
  <si>
    <t>incoloy</t>
  </si>
  <si>
    <t>moderator_booster</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</si>
  <si>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</si>
  <si>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</si>
  <si>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</si>
  <si>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</si>
  <si>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</si>
  <si>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Times New Roman"/>
        <family val="1"/>
      </rPr>
      <t>Technoeconomic Evaluation of Microreactor Using Detailed Bottom-up Estimate</t>
    </r>
    <r>
      <rPr>
        <sz val="9"/>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</si>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</sst>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0"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1"/>
    </font>
    <font>
      <sz val="9"/>
      <color theme="1"/>
      <name val="Calibri"/>
      <family val="2"/>
      <scheme val="minor"/>
    </font>
    <font>
      <sz val="9"/>
      <color theme="1"/>
      <name val="Times New Roman"/>
      <family val="1"/>
    </font>
    <font>
      <sz val="11"/>
      <color theme="1"/>
      <name val="Times New Roman"/>
      <family val="1"/>
    </font>
    <font>
      <b/>
      <sz val="9"/>
      <color rgb="FF000000"/>
      <name val="Times New Roman"/>
      <family val="1"/>
    </font>
    <font>
      <i/>
      <sz val="10"/>
      <color rgb="FF222222"/>
      <name val="Times New Roman"/>
      <family val="1"/>
    </font>
    <font>
      <sz val="10"/>
      <color rgb="FF222222"/>
      <name val="Times New Roman"/>
      <family val="1"/>
    </font>
    <font>
      <u/>
      <sz val="10"/>
      <color theme="10"/>
      <name val="Times New Roman"/>
      <family val="1"/>
    </font>
    <font>
      <u/>
      <sz val="9"/>
      <color theme="10"/>
      <name val="Times New Roman"/>
      <family val="1"/>
    </font>
    <font>
      <sz val="10"/>
      <color rgb="FF212529"/>
      <name val="Times New Roman"/>
      <family val="1"/>
    </font>
    <font>
      <i/>
      <sz val="9"/>
      <color rgb="FF222222"/>
      <name val="Times New Roman"/>
      <family val="1"/>
    </font>
    <font>
      <sz val="9"/>
      <color rgb="FF222222"/>
      <name val="Times New Roman"/>
      <family val="1"/>
    </font>
    <font>
      <u/>
      <sz val="11"/>
      <color theme="10"/>
      <name val="Times New Roman"/>
      <family val="1"/>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20">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applyAlignment="1">
      <alignment wrapText="1"/>
    </xf>
    <xf numFmtId="0" fontId="12" fillId="0" borderId="0" xfId="0" applyFont="1"/>
    <xf numFmtId="164" fontId="8" fillId="0" borderId="0" xfId="1" applyNumberFormat="1" applyFont="1"/>
    <xf numFmtId="3" fontId="6" fillId="0" borderId="1" xfId="0" applyNumberFormat="1" applyFont="1" applyBorder="1" applyAlignment="1">
      <alignment horizontal="left" wrapText="1"/>
    </xf>
    <xf numFmtId="0" fontId="7" fillId="0" borderId="1" xfId="0" applyFont="1" applyBorder="1" applyAlignment="1">
      <alignment horizontal="left"/>
    </xf>
    <xf numFmtId="0" fontId="6" fillId="0" borderId="1" xfId="0" applyFont="1" applyBorder="1" applyAlignment="1">
      <alignment horizontal="left" wrapText="1"/>
    </xf>
    <xf numFmtId="0" fontId="9" fillId="0" borderId="1" xfId="0" applyFont="1" applyBorder="1" applyAlignment="1">
      <alignment horizontal="left" wrapText="1"/>
    </xf>
    <xf numFmtId="0" fontId="6" fillId="0" borderId="1" xfId="0" applyFont="1" applyBorder="1" applyAlignment="1">
      <alignment horizontal="left"/>
    </xf>
    <xf numFmtId="166" fontId="6" fillId="0" borderId="1" xfId="0" applyNumberFormat="1" applyFont="1" applyBorder="1" applyAlignment="1">
      <alignment horizontal="left"/>
    </xf>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3" fontId="17" fillId="0" borderId="1" xfId="0" applyNumberFormat="1" applyFont="1" applyBorder="1" applyAlignment="1">
      <alignment horizontal="left" wrapText="1"/>
    </xf>
    <xf numFmtId="0" fontId="18" fillId="0" borderId="0" xfId="0" applyFont="1"/>
    <xf numFmtId="0" fontId="4" fillId="0" borderId="0" xfId="0" applyFont="1"/>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7" fillId="0" borderId="1" xfId="0" applyFont="1" applyBorder="1" applyAlignment="1">
      <alignment horizontal="left" wrapText="1"/>
    </xf>
    <xf numFmtId="3" fontId="7" fillId="0" borderId="1" xfId="0" applyNumberFormat="1" applyFont="1" applyBorder="1" applyAlignment="1">
      <alignment horizontal="left" wrapText="1"/>
    </xf>
    <xf numFmtId="3" fontId="7" fillId="0" borderId="1" xfId="0" applyNumberFormat="1" applyFont="1" applyBorder="1" applyAlignment="1">
      <alignment horizontal="left"/>
    </xf>
    <xf numFmtId="164" fontId="9" fillId="0" borderId="1" xfId="1" applyNumberFormat="1" applyFont="1" applyFill="1" applyBorder="1" applyAlignment="1"/>
    <xf numFmtId="0" fontId="9" fillId="0" borderId="1" xfId="0" applyFont="1" applyBorder="1" applyAlignment="1">
      <alignment horizontal="left"/>
    </xf>
    <xf numFmtId="0" fontId="9" fillId="0" borderId="1" xfId="0" applyFont="1" applyBorder="1" applyAlignment="1">
      <alignment horizontal="left" wrapText="1"/>
    </xf>
    <xf numFmtId="0" fontId="24" fillId="0" borderId="1" xfId="2" applyFont="1" applyFill="1" applyBorder="1" applyAlignment="1">
      <alignment horizontal="left"/>
    </xf>
    <xf numFmtId="164" fontId="9" fillId="0" borderId="1" xfId="1" applyNumberFormat="1" applyFont="1" applyFill="1" applyBorder="1" applyAlignment="1">
      <alignment horizontal="right"/>
    </xf>
    <xf numFmtId="164" fontId="9" fillId="0" borderId="1" xfId="1" applyNumberFormat="1" applyFont="1" applyFill="1" applyBorder="1" applyAlignment="1">
      <alignment wrapText="1"/>
    </xf>
    <xf numFmtId="0" fontId="9" fillId="0" borderId="1" xfId="0" quotePrefix="1" applyFont="1" applyBorder="1" applyAlignment="1">
      <alignment horizontal="left"/>
    </xf>
    <xf numFmtId="0" fontId="17" fillId="0" borderId="1" xfId="0" applyFont="1" applyBorder="1" applyAlignment="1">
      <alignment horizontal="left"/>
    </xf>
    <xf numFmtId="3" fontId="21" fillId="0" borderId="1" xfId="0" applyNumberFormat="1" applyFont="1" applyBorder="1" applyAlignment="1">
      <alignment horizontal="left"/>
    </xf>
    <xf numFmtId="0" fontId="17" fillId="0" borderId="1" xfId="0" applyFont="1" applyBorder="1" applyAlignment="1">
      <alignment horizontal="left" wrapText="1"/>
    </xf>
    <xf numFmtId="164" fontId="19" fillId="0" borderId="1" xfId="1" applyNumberFormat="1" applyFont="1" applyFill="1" applyBorder="1" applyAlignment="1"/>
    <xf numFmtId="0" fontId="19" fillId="0" borderId="1" xfId="0" applyFont="1" applyBorder="1" applyAlignment="1">
      <alignment horizontal="left"/>
    </xf>
    <xf numFmtId="0" fontId="19" fillId="0" borderId="1" xfId="0" applyFont="1" applyBorder="1" applyAlignment="1">
      <alignment horizontal="left" wrapText="1"/>
    </xf>
    <xf numFmtId="0" fontId="19" fillId="0" borderId="1" xfId="0" applyFont="1" applyBorder="1" applyAlignment="1">
      <alignment horizontal="left" wrapText="1"/>
    </xf>
    <xf numFmtId="0" fontId="24" fillId="0" borderId="1" xfId="2" applyFont="1" applyFill="1" applyBorder="1" applyAlignment="1">
      <alignment wrapText="1"/>
    </xf>
    <xf numFmtId="0" fontId="9" fillId="0" borderId="1" xfId="0" applyFont="1" applyBorder="1" applyAlignment="1">
      <alignment wrapText="1"/>
    </xf>
    <xf numFmtId="0" fontId="6" fillId="0" borderId="1" xfId="0" applyFont="1" applyBorder="1" applyAlignment="1">
      <alignment wrapText="1"/>
    </xf>
    <xf numFmtId="0" fontId="19" fillId="0" borderId="1" xfId="0" applyFont="1" applyBorder="1" applyAlignment="1">
      <alignment wrapText="1"/>
    </xf>
    <xf numFmtId="0" fontId="17" fillId="0" borderId="1" xfId="0" applyFont="1" applyBorder="1" applyAlignment="1">
      <alignment horizontal="center" wrapText="1"/>
    </xf>
    <xf numFmtId="0" fontId="17" fillId="0" borderId="1" xfId="0" applyFont="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horizontal="center" wrapText="1"/>
    </xf>
    <xf numFmtId="0" fontId="9" fillId="0" borderId="1" xfId="0" applyFont="1" applyBorder="1" applyAlignment="1">
      <alignment horizontal="center" wrapText="1"/>
    </xf>
    <xf numFmtId="0" fontId="29" fillId="0" borderId="1" xfId="2" applyFont="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wrapText="1"/>
    </xf>
    <xf numFmtId="0" fontId="7" fillId="0" borderId="1" xfId="0" applyFont="1" applyBorder="1" applyAlignment="1">
      <alignment horizontal="right" wrapText="1"/>
    </xf>
    <xf numFmtId="3" fontId="7" fillId="0" borderId="1" xfId="0" applyNumberFormat="1" applyFont="1" applyBorder="1" applyAlignment="1">
      <alignment horizontal="right"/>
    </xf>
    <xf numFmtId="3" fontId="9" fillId="0" borderId="1" xfId="1" applyNumberFormat="1" applyFont="1" applyFill="1" applyBorder="1" applyAlignment="1">
      <alignment horizontal="right"/>
    </xf>
    <xf numFmtId="3" fontId="7" fillId="0" borderId="1" xfId="0" applyNumberFormat="1" applyFont="1" applyBorder="1" applyAlignment="1">
      <alignment horizontal="right" wrapText="1"/>
    </xf>
    <xf numFmtId="164" fontId="19" fillId="0" borderId="1" xfId="1" applyNumberFormat="1" applyFont="1" applyFill="1" applyBorder="1" applyAlignment="1">
      <alignment horizontal="right"/>
    </xf>
    <xf numFmtId="3" fontId="19" fillId="0" borderId="1" xfId="1" applyNumberFormat="1" applyFont="1" applyFill="1" applyBorder="1" applyAlignment="1">
      <alignment horizontal="right"/>
    </xf>
    <xf numFmtId="3" fontId="6" fillId="0" borderId="1" xfId="0" applyNumberFormat="1" applyFont="1" applyBorder="1" applyAlignment="1">
      <alignment horizontal="right"/>
    </xf>
    <xf numFmtId="3" fontId="26" fillId="0" borderId="1" xfId="0" applyNumberFormat="1" applyFont="1" applyBorder="1" applyAlignment="1">
      <alignment horizontal="right"/>
    </xf>
    <xf numFmtId="3" fontId="9" fillId="0" borderId="1" xfId="0" applyNumberFormat="1" applyFont="1" applyBorder="1" applyAlignment="1">
      <alignment horizontal="right"/>
    </xf>
    <xf numFmtId="3" fontId="19" fillId="0" borderId="1" xfId="0" applyNumberFormat="1" applyFont="1" applyBorder="1" applyAlignment="1">
      <alignment horizontal="right"/>
    </xf>
    <xf numFmtId="0" fontId="9" fillId="0" borderId="1" xfId="0" applyFont="1" applyBorder="1" applyAlignment="1">
      <alignment horizontal="right"/>
    </xf>
    <xf numFmtId="164" fontId="9" fillId="0" borderId="1" xfId="1" applyNumberFormat="1" applyFont="1" applyBorder="1" applyAlignment="1">
      <alignment horizontal="right"/>
    </xf>
    <xf numFmtId="168" fontId="9" fillId="0" borderId="1" xfId="1" applyNumberFormat="1" applyFont="1" applyBorder="1" applyAlignment="1">
      <alignment horizontal="right"/>
    </xf>
    <xf numFmtId="165" fontId="9" fillId="0" borderId="1" xfId="0" applyNumberFormat="1" applyFont="1" applyBorder="1" applyAlignment="1">
      <alignment horizontal="right"/>
    </xf>
    <xf numFmtId="0" fontId="8" fillId="0" borderId="0" xfId="0" applyFont="1" applyAlignment="1">
      <alignment horizontal="right"/>
    </xf>
    <xf numFmtId="0" fontId="7" fillId="0" borderId="1" xfId="0" applyFont="1" applyBorder="1" applyAlignment="1">
      <alignment wrapText="1"/>
    </xf>
    <xf numFmtId="3" fontId="7" fillId="0" borderId="1" xfId="0" applyNumberFormat="1" applyFont="1" applyBorder="1" applyAlignment="1">
      <alignment wrapText="1"/>
    </xf>
    <xf numFmtId="0" fontId="7" fillId="0" borderId="1" xfId="0" applyFont="1" applyBorder="1" applyAlignment="1"/>
    <xf numFmtId="0" fontId="9" fillId="0" borderId="1" xfId="0" applyFont="1" applyBorder="1" applyAlignment="1"/>
    <xf numFmtId="0" fontId="24" fillId="0" borderId="1" xfId="2" applyFont="1" applyFill="1" applyBorder="1" applyAlignment="1">
      <alignment horizontal="left" wrapText="1"/>
    </xf>
    <xf numFmtId="0" fontId="24" fillId="0" borderId="1" xfId="2" applyFont="1" applyFill="1" applyBorder="1" applyAlignment="1">
      <alignment horizontal="left"/>
    </xf>
    <xf numFmtId="0" fontId="25" fillId="0" borderId="1" xfId="2" applyFont="1" applyFill="1" applyBorder="1" applyAlignment="1">
      <alignment horizontal="left" wrapText="1"/>
    </xf>
    <xf numFmtId="0" fontId="19" fillId="0" borderId="1" xfId="0" applyFont="1" applyBorder="1" applyAlignment="1"/>
    <xf numFmtId="0" fontId="25" fillId="0" borderId="1" xfId="2" applyFont="1" applyFill="1" applyBorder="1" applyAlignment="1">
      <alignment horizontal="left"/>
    </xf>
    <xf numFmtId="0" fontId="6" fillId="0" borderId="1" xfId="0" applyFont="1" applyBorder="1" applyAlignment="1">
      <alignment horizontal="right"/>
    </xf>
    <xf numFmtId="0" fontId="17" fillId="0" borderId="1" xfId="0" applyFont="1" applyBorder="1" applyAlignment="1">
      <alignment wrapText="1"/>
    </xf>
    <xf numFmtId="0" fontId="19" fillId="0" borderId="1" xfId="0" applyFont="1" applyBorder="1" applyAlignment="1">
      <alignment horizontal="center" wrapText="1"/>
    </xf>
    <xf numFmtId="0" fontId="19" fillId="0" borderId="1" xfId="0" quotePrefix="1" applyFont="1" applyBorder="1" applyAlignment="1"/>
    <xf numFmtId="3" fontId="17" fillId="0" borderId="1" xfId="0" applyNumberFormat="1" applyFont="1" applyBorder="1" applyAlignment="1">
      <alignment horizontal="right" wrapText="1"/>
    </xf>
    <xf numFmtId="0" fontId="19" fillId="0" borderId="1" xfId="0" applyFont="1" applyBorder="1" applyAlignment="1">
      <alignment horizontal="center" wrapText="1"/>
    </xf>
    <xf numFmtId="3" fontId="6" fillId="0" borderId="1" xfId="0" applyNumberFormat="1" applyFont="1" applyBorder="1" applyAlignment="1">
      <alignment horizontal="right" wrapText="1"/>
    </xf>
    <xf numFmtId="0" fontId="29" fillId="0" borderId="1" xfId="2" applyFont="1" applyBorder="1" applyAlignment="1"/>
    <xf numFmtId="0" fontId="20" fillId="0" borderId="1" xfId="3" applyFont="1" applyBorder="1" applyAlignment="1">
      <alignment wrapText="1"/>
    </xf>
    <xf numFmtId="164" fontId="9" fillId="0" borderId="1" xfId="1" quotePrefix="1" applyNumberFormat="1" applyFont="1" applyFill="1" applyBorder="1" applyAlignment="1"/>
    <xf numFmtId="0" fontId="6" fillId="0" borderId="1" xfId="0" applyFont="1" applyBorder="1" applyAlignment="1"/>
    <xf numFmtId="0" fontId="9" fillId="0" borderId="1" xfId="0" quotePrefix="1" applyFont="1" applyBorder="1" applyAlignment="1"/>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18">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6" tint="0.79998168889431442"/>
        </patternFill>
      </fill>
    </dxf>
    <dxf>
      <font>
        <b/>
        <i/>
      </font>
      <fill>
        <patternFill patternType="gray0625"/>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8"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A69" dT="2025-06-11T15:21:05.69" personId="{3B5B98F4-A9DA-4CFD-B3D9-F7907C025518}" id="{2BF08C61-4671-4BB0-B8A6-DD1AAB44A4E2}">
    <text>Added control rod/drum drive mechanism.  Assuming:
 1drum:1drive
 n_rod:1drive (Reactor design dependent)</text>
  </threadedComment>
  <threadedComment ref="A69"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1" dT="2025-06-19T20:12:17.00" personId="{3B5B98F4-A9DA-4CFD-B3D9-F7907C025518}" id="{2FF1B83B-4952-4966-B4B1-47B3AC049632}">
    <text>Todo: Update when we get feedback on BeO/Be costs</text>
  </threadedComment>
  <threadedComment ref="L75" dT="2025-05-27T17:51:06.88" personId="{84112BF8-C915-7B4B-BE8E-B816F75B981C}" id="{6A4E3BDC-584F-1346-BF51-598A89836273}">
    <text>Cost data about B4C are based on the B4C of the control drums</text>
  </threadedComment>
  <threadedComment ref="J81" dT="2025-05-27T22:16:31.29" personId="{84112BF8-C915-7B4B-BE8E-B816F75B981C}" id="{368934F8-D933-024D-9355-5B191B79D6E7}">
    <text xml:space="preserve">The primary pump needs to be expensive!!
</text>
  </threadedComment>
  <threadedComment ref="I96" dT="2025-06-20T17:42:02.17" personId="{3B5B98F4-A9DA-4CFD-B3D9-F7907C025518}" id="{25250E12-7DF8-42FE-A9C3-6F5AE6FD64C9}">
    <text>Baseline Cost: 8844770 1978USD
Escalation (to 2023): 8.155</text>
  </threadedComment>
  <threadedComment ref="C133" dT="2025-06-20T19:13:57.21" personId="{3B5B98F4-A9DA-4CFD-B3D9-F7907C025518}" id="{8C62D7C0-F520-42A3-9908-A880BA4D938B}">
    <text xml:space="preserve">Variable costs that are not fuel-based, such as borated water, control rods, burnable poisons, and other consumable </text>
  </threadedComment>
  <threadedComment ref="C133" dT="2025-06-20T19:14:14.35" personId="{3B5B98F4-A9DA-4CFD-B3D9-F7907C025518}" id="{60EA5C16-5BC5-40F2-AD75-9609617C429D}" parentId="{8C62D7C0-F520-42A3-9908-A880BA4D938B}">
    <text>For the GCMR, likley includes replacement coolant, CO2 refill, etc.</text>
  </threadedComment>
  <threadedComment ref="C134"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34"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microsoft.com/office/2017/10/relationships/threadedComment" Target="../threadedComments/threadedComment1.xml"/><Relationship Id="rId5" Type="http://schemas.openxmlformats.org/officeDocument/2006/relationships/hyperlink" Target="https://www.osti.gov/biblio/2447366" TargetMode="External"/><Relationship Id="rId10" Type="http://schemas.openxmlformats.org/officeDocument/2006/relationships/comments" Target="../comments1.xml"/><Relationship Id="rId4" Type="http://schemas.openxmlformats.org/officeDocument/2006/relationships/hyperlink" Target="https://www.osti.gov/servlets/purl/5084245"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39"/>
  <sheetViews>
    <sheetView tabSelected="1" zoomScaleNormal="100" workbookViewId="0">
      <pane xSplit="3" ySplit="1" topLeftCell="E104" activePane="bottomRight" state="frozen"/>
      <selection pane="topRight" activeCell="D1" sqref="D1"/>
      <selection pane="bottomLeft" activeCell="A2" sqref="A2"/>
      <selection pane="bottomRight" activeCell="G117" sqref="G117"/>
    </sheetView>
  </sheetViews>
  <sheetFormatPr defaultColWidth="10.77734375" defaultRowHeight="13.8" x14ac:dyDescent="0.3"/>
  <cols>
    <col min="1" max="1" width="8.6640625" style="5" customWidth="1"/>
    <col min="2" max="2" width="4.77734375" style="5" customWidth="1"/>
    <col min="3" max="3" width="29.44140625" style="5" customWidth="1"/>
    <col min="4" max="4" width="41.77734375" style="6" customWidth="1"/>
    <col min="5" max="5" width="9.88671875" style="6" customWidth="1"/>
    <col min="6" max="6" width="13.109375" style="6" customWidth="1"/>
    <col min="7" max="7" width="10.88671875" style="6" customWidth="1"/>
    <col min="8" max="8" width="12.33203125" style="98" customWidth="1"/>
    <col min="9" max="9" width="10" style="98"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09375" style="5" customWidth="1"/>
    <col min="16" max="16" width="10.77734375" style="5" customWidth="1"/>
    <col min="17" max="17" width="29" style="5" customWidth="1"/>
    <col min="18" max="18" width="37.109375" style="5" customWidth="1"/>
    <col min="19" max="19" width="81.109375" style="5" customWidth="1"/>
    <col min="20" max="20" width="18.6640625" style="5" customWidth="1"/>
    <col min="21" max="16384" width="10.77734375" style="5"/>
  </cols>
  <sheetData>
    <row r="1" spans="1:20" s="9" customFormat="1" ht="31.05" customHeight="1" thickBot="1" x14ac:dyDescent="0.35">
      <c r="A1" s="99" t="s">
        <v>0</v>
      </c>
      <c r="B1" s="100" t="s">
        <v>117</v>
      </c>
      <c r="C1" s="99" t="s">
        <v>118</v>
      </c>
      <c r="D1" s="100" t="s">
        <v>1</v>
      </c>
      <c r="E1" s="100" t="s">
        <v>345</v>
      </c>
      <c r="F1" s="100" t="s">
        <v>326</v>
      </c>
      <c r="G1" s="100" t="s">
        <v>327</v>
      </c>
      <c r="H1" s="99" t="s">
        <v>351</v>
      </c>
      <c r="I1" s="99" t="s">
        <v>385</v>
      </c>
      <c r="J1" s="99" t="s">
        <v>50</v>
      </c>
      <c r="K1" s="101" t="s">
        <v>64</v>
      </c>
      <c r="L1" s="99" t="s">
        <v>65</v>
      </c>
      <c r="M1" s="99" t="s">
        <v>66</v>
      </c>
      <c r="N1" s="99" t="s">
        <v>48</v>
      </c>
      <c r="O1" s="99" t="s">
        <v>49</v>
      </c>
      <c r="P1" s="99" t="s">
        <v>76</v>
      </c>
      <c r="Q1" s="99" t="s">
        <v>51</v>
      </c>
      <c r="R1" s="99" t="s">
        <v>54</v>
      </c>
      <c r="S1" s="99" t="s">
        <v>55</v>
      </c>
      <c r="T1" s="99" t="s">
        <v>62</v>
      </c>
    </row>
    <row r="2" spans="1:20" s="10" customFormat="1" ht="27.6" thickBot="1" x14ac:dyDescent="0.35">
      <c r="A2" s="13">
        <v>10</v>
      </c>
      <c r="B2" s="55">
        <f>IF(ISNUMBER(A2),
    IF(AND(A2=INT(A2), MOD(A2, 10) = 0), 0,
        IF(AND(A2=INT(A2), LEN(A2)=2), 1,
            IF(AND(A2=INT(A2), LEN(A2)=3), 2,
                LEN(A2) - FIND(".", A2) + 2)
        )
    ),
"")</f>
        <v>0</v>
      </c>
      <c r="C2" s="12" t="s">
        <v>2</v>
      </c>
      <c r="D2" s="12" t="str">
        <f>REPT("   ", B2*2) &amp; C2</f>
        <v>Capitalized Pre-Construction Costs</v>
      </c>
      <c r="E2" s="12"/>
      <c r="F2" s="12"/>
      <c r="G2" s="12"/>
      <c r="H2" s="85"/>
      <c r="I2" s="85"/>
      <c r="J2" s="55"/>
      <c r="K2" s="55"/>
      <c r="L2" s="55"/>
      <c r="M2" s="55"/>
      <c r="N2" s="55"/>
      <c r="O2" s="55"/>
      <c r="P2" s="55"/>
      <c r="Q2" s="54"/>
      <c r="R2" s="55"/>
      <c r="S2" s="55"/>
      <c r="T2" s="55"/>
    </row>
    <row r="3" spans="1:20" ht="25.05" customHeight="1" thickBot="1" x14ac:dyDescent="0.35">
      <c r="A3" s="13">
        <v>11</v>
      </c>
      <c r="B3" s="55">
        <f t="shared" ref="B3:B95" si="0">IF(ISNUMBER(A3),
    IF(AND(A3=INT(A3), MOD(A3, 10) = 0), 0,
        IF(AND(A3=INT(A3), LEN(A3)=2), 1,
            IF(AND(A3=INT(A3), LEN(A3)=3), 2,
                LEN(A3) - FIND(".", A3) + 2)
        )
    ),
"")</f>
        <v>1</v>
      </c>
      <c r="C3" s="14" t="s">
        <v>3</v>
      </c>
      <c r="D3" s="12" t="str">
        <f t="shared" ref="D3:D92" si="1">REPT("   ", B3*2) &amp; C3</f>
        <v xml:space="preserve">      Land Cost</v>
      </c>
      <c r="E3" s="12" t="s">
        <v>346</v>
      </c>
      <c r="F3" s="12"/>
      <c r="G3" s="12"/>
      <c r="H3" s="60"/>
      <c r="I3" s="86">
        <v>3800</v>
      </c>
      <c r="J3" s="57" t="s">
        <v>70</v>
      </c>
      <c r="K3" s="57" t="s">
        <v>68</v>
      </c>
      <c r="L3" s="56"/>
      <c r="M3" s="57" t="s">
        <v>78</v>
      </c>
      <c r="N3" s="57"/>
      <c r="O3" s="57">
        <v>2022</v>
      </c>
      <c r="P3" s="57" t="s">
        <v>75</v>
      </c>
      <c r="Q3" s="15" t="s">
        <v>53</v>
      </c>
      <c r="R3" s="58" t="s">
        <v>461</v>
      </c>
      <c r="S3" s="59" t="s">
        <v>56</v>
      </c>
      <c r="T3" s="102"/>
    </row>
    <row r="4" spans="1:20" ht="14.4" thickBot="1" x14ac:dyDescent="0.35">
      <c r="A4" s="13">
        <v>12</v>
      </c>
      <c r="B4" s="55">
        <f t="shared" si="0"/>
        <v>1</v>
      </c>
      <c r="C4" s="14" t="s">
        <v>52</v>
      </c>
      <c r="D4" s="12" t="str">
        <f t="shared" si="1"/>
        <v xml:space="preserve">      Site Permits</v>
      </c>
      <c r="E4" s="12" t="s">
        <v>346</v>
      </c>
      <c r="F4" s="12"/>
      <c r="G4" s="12"/>
      <c r="H4" s="60"/>
      <c r="I4" s="86">
        <f>10.03*1000</f>
        <v>10030</v>
      </c>
      <c r="J4" s="57" t="s">
        <v>67</v>
      </c>
      <c r="K4" s="57" t="s">
        <v>71</v>
      </c>
      <c r="L4" s="56"/>
      <c r="M4" s="57" t="s">
        <v>69</v>
      </c>
      <c r="N4" s="57"/>
      <c r="O4" s="57">
        <v>2022</v>
      </c>
      <c r="P4" s="57" t="s">
        <v>72</v>
      </c>
      <c r="Q4" s="15" t="s">
        <v>57</v>
      </c>
      <c r="R4" s="58"/>
      <c r="S4" s="59"/>
      <c r="T4" s="102"/>
    </row>
    <row r="5" spans="1:20" ht="14.4" thickBot="1" x14ac:dyDescent="0.35">
      <c r="A5" s="13">
        <v>13</v>
      </c>
      <c r="B5" s="55">
        <f t="shared" si="0"/>
        <v>1</v>
      </c>
      <c r="C5" s="14" t="s">
        <v>4</v>
      </c>
      <c r="D5" s="12" t="str">
        <f t="shared" si="1"/>
        <v xml:space="preserve">      Plant Licensing</v>
      </c>
      <c r="E5" s="12" t="s">
        <v>346</v>
      </c>
      <c r="F5" s="12"/>
      <c r="G5" s="12"/>
      <c r="H5" s="60">
        <f>50*1000000</f>
        <v>50000000</v>
      </c>
      <c r="I5" s="86"/>
      <c r="J5" s="56"/>
      <c r="K5" s="56"/>
      <c r="L5" s="56"/>
      <c r="M5" s="57"/>
      <c r="N5" s="57"/>
      <c r="O5" s="57">
        <v>2009</v>
      </c>
      <c r="P5" s="57" t="s">
        <v>72</v>
      </c>
      <c r="Q5" s="15" t="s">
        <v>58</v>
      </c>
      <c r="R5" s="58" t="s">
        <v>142</v>
      </c>
      <c r="S5" s="59" t="s">
        <v>59</v>
      </c>
      <c r="T5" s="102"/>
    </row>
    <row r="6" spans="1:20" ht="14.4" thickBot="1" x14ac:dyDescent="0.35">
      <c r="A6" s="13">
        <v>14</v>
      </c>
      <c r="B6" s="55">
        <f t="shared" si="0"/>
        <v>1</v>
      </c>
      <c r="C6" s="14" t="s">
        <v>121</v>
      </c>
      <c r="D6" s="12" t="str">
        <f t="shared" si="1"/>
        <v xml:space="preserve">      Plant Permits</v>
      </c>
      <c r="E6" s="12" t="s">
        <v>346</v>
      </c>
      <c r="F6" s="12"/>
      <c r="G6" s="12"/>
      <c r="H6" s="60">
        <v>3000000</v>
      </c>
      <c r="I6" s="86"/>
      <c r="J6" s="56"/>
      <c r="K6" s="56"/>
      <c r="L6" s="56"/>
      <c r="M6" s="57"/>
      <c r="N6" s="57"/>
      <c r="O6" s="57">
        <v>2009</v>
      </c>
      <c r="P6" s="57" t="s">
        <v>72</v>
      </c>
      <c r="Q6" s="15" t="s">
        <v>58</v>
      </c>
      <c r="R6" s="58"/>
      <c r="S6" s="59"/>
      <c r="T6" s="102"/>
    </row>
    <row r="7" spans="1:20" ht="24" customHeight="1" thickBot="1" x14ac:dyDescent="0.35">
      <c r="A7" s="13">
        <v>15</v>
      </c>
      <c r="B7" s="55">
        <f t="shared" si="0"/>
        <v>1</v>
      </c>
      <c r="C7" s="14" t="s">
        <v>5</v>
      </c>
      <c r="D7" s="12" t="str">
        <f t="shared" si="1"/>
        <v xml:space="preserve">      Plant Studies</v>
      </c>
      <c r="E7" s="12" t="s">
        <v>346</v>
      </c>
      <c r="F7" s="12"/>
      <c r="G7" s="12"/>
      <c r="H7" s="60">
        <f>MARVEL_Cost!C4</f>
        <v>5210451</v>
      </c>
      <c r="I7" s="86"/>
      <c r="J7" s="56"/>
      <c r="K7" s="56"/>
      <c r="L7" s="56"/>
      <c r="M7" s="57"/>
      <c r="N7" s="57"/>
      <c r="O7" s="57">
        <v>2024</v>
      </c>
      <c r="P7" s="57" t="s">
        <v>72</v>
      </c>
      <c r="Q7" s="15" t="s">
        <v>60</v>
      </c>
      <c r="R7" s="15" t="s">
        <v>462</v>
      </c>
      <c r="S7" s="102" t="s">
        <v>61</v>
      </c>
      <c r="T7" s="57" t="s">
        <v>63</v>
      </c>
    </row>
    <row r="8" spans="1:20" ht="14.4" thickBot="1" x14ac:dyDescent="0.35">
      <c r="A8" s="53">
        <v>20</v>
      </c>
      <c r="B8" s="55">
        <f>IF(ISNUMBER(A8),
    IF(AND(A8=INT(A8), MOD(A8, 10) = 0), 0,
        IF(AND(A8=INT(A8), LEN(A8)=2), 1,
            IF(AND(A8=INT(A8), LEN(A8)=3), 2,
                LEN(A8) - FIND(".", A8) + 2)
        )
    ),
"")</f>
        <v>0</v>
      </c>
      <c r="C8" s="14" t="s">
        <v>6</v>
      </c>
      <c r="D8" s="12" t="str">
        <f t="shared" si="1"/>
        <v>Capitalized Direct Costs</v>
      </c>
      <c r="E8" s="12"/>
      <c r="F8" s="12"/>
      <c r="G8" s="12"/>
      <c r="H8" s="60"/>
      <c r="I8" s="87"/>
      <c r="J8" s="53"/>
      <c r="K8" s="13"/>
      <c r="L8" s="53"/>
      <c r="M8" s="53"/>
      <c r="N8" s="53"/>
      <c r="O8" s="53"/>
      <c r="P8" s="53"/>
      <c r="Q8" s="53"/>
      <c r="R8" s="53"/>
      <c r="S8" s="53"/>
      <c r="T8" s="53"/>
    </row>
    <row r="9" spans="1:20" ht="14.4" thickBot="1" x14ac:dyDescent="0.35">
      <c r="A9" s="13">
        <v>21</v>
      </c>
      <c r="B9" s="55">
        <f t="shared" si="0"/>
        <v>1</v>
      </c>
      <c r="C9" s="14" t="s">
        <v>7</v>
      </c>
      <c r="D9" s="12" t="str">
        <f t="shared" si="1"/>
        <v xml:space="preserve">      Structures and Improvements</v>
      </c>
      <c r="E9" s="12"/>
      <c r="F9" s="12"/>
      <c r="G9" s="12"/>
      <c r="H9" s="60"/>
      <c r="I9" s="86"/>
      <c r="J9" s="56"/>
      <c r="K9" s="56"/>
      <c r="L9" s="56"/>
      <c r="M9" s="56"/>
      <c r="N9" s="56"/>
      <c r="O9" s="56"/>
      <c r="P9" s="56"/>
      <c r="Q9" s="61"/>
      <c r="R9" s="56"/>
      <c r="S9" s="56"/>
      <c r="T9" s="102"/>
    </row>
    <row r="10" spans="1:20" ht="14.4" thickBot="1" x14ac:dyDescent="0.35">
      <c r="A10" s="16">
        <v>211</v>
      </c>
      <c r="B10" s="55">
        <f t="shared" si="0"/>
        <v>2</v>
      </c>
      <c r="C10" s="14" t="s">
        <v>100</v>
      </c>
      <c r="D10" s="12" t="str">
        <f t="shared" si="1"/>
        <v xml:space="preserve">            Site Preparation/ Yard Work</v>
      </c>
      <c r="E10" s="12"/>
      <c r="F10" s="12"/>
      <c r="G10" s="12"/>
      <c r="H10" s="60"/>
      <c r="I10" s="86"/>
      <c r="J10" s="56"/>
      <c r="K10" s="56"/>
      <c r="L10" s="56"/>
      <c r="M10" s="56"/>
      <c r="N10" s="56"/>
      <c r="O10" s="56"/>
      <c r="P10" s="56"/>
      <c r="Q10" s="61"/>
      <c r="R10" s="56"/>
      <c r="S10" s="56"/>
      <c r="T10" s="102"/>
    </row>
    <row r="11" spans="1:20" ht="14.4" thickBot="1" x14ac:dyDescent="0.35">
      <c r="A11" s="17">
        <v>211.1</v>
      </c>
      <c r="B11" s="55">
        <f t="shared" si="0"/>
        <v>3</v>
      </c>
      <c r="C11" s="14" t="s">
        <v>101</v>
      </c>
      <c r="D11" s="12" t="str">
        <f t="shared" si="1"/>
        <v xml:space="preserve">                  Cleaning and Grubbing</v>
      </c>
      <c r="E11" s="12" t="s">
        <v>346</v>
      </c>
      <c r="F11" s="12"/>
      <c r="G11" s="12"/>
      <c r="H11" s="60"/>
      <c r="I11" s="86">
        <f>4408.18*1.33</f>
        <v>5862.8794000000007</v>
      </c>
      <c r="J11" s="57" t="s">
        <v>70</v>
      </c>
      <c r="K11" s="57" t="s">
        <v>68</v>
      </c>
      <c r="L11" s="56"/>
      <c r="M11" s="57" t="s">
        <v>78</v>
      </c>
      <c r="N11" s="56"/>
      <c r="O11" s="57">
        <v>2024</v>
      </c>
      <c r="P11" s="62" t="s">
        <v>85</v>
      </c>
      <c r="Q11" s="58" t="s">
        <v>82</v>
      </c>
      <c r="R11" s="58" t="s">
        <v>83</v>
      </c>
      <c r="S11" s="103" t="s">
        <v>84</v>
      </c>
      <c r="T11" s="102"/>
    </row>
    <row r="12" spans="1:20" ht="14.4" thickBot="1" x14ac:dyDescent="0.35">
      <c r="A12" s="16">
        <v>211.2</v>
      </c>
      <c r="B12" s="55">
        <f>IF(ISNUMBER(A12),
    IF(AND(A12=INT(A12), MOD(A12, 10) = 0), 0,
        IF(AND(A12=INT(A12), LEN(A12)=2), 1,
            IF(AND(A12=INT(A12), LEN(A12)=3), 2,
                LEN(A12) - FIND(".", A12) + 2)
        )
    ),
"")</f>
        <v>3</v>
      </c>
      <c r="C12" s="14" t="s">
        <v>102</v>
      </c>
      <c r="D12" s="12" t="str">
        <f t="shared" si="1"/>
        <v xml:space="preserve">                  Stripping Topsoil</v>
      </c>
      <c r="E12" s="12" t="s">
        <v>346</v>
      </c>
      <c r="F12" s="12"/>
      <c r="G12" s="12"/>
      <c r="H12" s="60"/>
      <c r="I12" s="86">
        <f>2565.2*1.33</f>
        <v>3411.7159999999999</v>
      </c>
      <c r="J12" s="57" t="s">
        <v>70</v>
      </c>
      <c r="K12" s="57" t="s">
        <v>68</v>
      </c>
      <c r="L12" s="56"/>
      <c r="M12" s="57" t="s">
        <v>78</v>
      </c>
      <c r="N12" s="56"/>
      <c r="O12" s="57">
        <v>2024</v>
      </c>
      <c r="P12" s="62" t="s">
        <v>85</v>
      </c>
      <c r="Q12" s="58"/>
      <c r="R12" s="58"/>
      <c r="S12" s="59"/>
      <c r="T12" s="102"/>
    </row>
    <row r="13" spans="1:20" ht="14.4" thickBot="1" x14ac:dyDescent="0.35">
      <c r="A13" s="16">
        <v>211.3</v>
      </c>
      <c r="B13" s="55">
        <f t="shared" si="0"/>
        <v>3</v>
      </c>
      <c r="C13" s="14" t="s">
        <v>103</v>
      </c>
      <c r="D13" s="12" t="str">
        <f t="shared" si="1"/>
        <v xml:space="preserve">                  Excavation</v>
      </c>
      <c r="E13" s="12" t="s">
        <v>346</v>
      </c>
      <c r="F13" s="12"/>
      <c r="G13" s="12"/>
      <c r="H13" s="60"/>
      <c r="I13" s="86">
        <f>22.86*1.4</f>
        <v>32.003999999999998</v>
      </c>
      <c r="J13" s="57" t="s">
        <v>79</v>
      </c>
      <c r="K13" s="57" t="s">
        <v>80</v>
      </c>
      <c r="L13" s="56"/>
      <c r="M13" s="57" t="s">
        <v>81</v>
      </c>
      <c r="N13" s="56"/>
      <c r="O13" s="57">
        <v>2024</v>
      </c>
      <c r="P13" s="62" t="s">
        <v>85</v>
      </c>
      <c r="Q13" s="58"/>
      <c r="R13" s="58"/>
      <c r="S13" s="59"/>
      <c r="T13" s="102"/>
    </row>
    <row r="14" spans="1:20" ht="14.4" thickBot="1" x14ac:dyDescent="0.35">
      <c r="A14" s="16">
        <v>212</v>
      </c>
      <c r="B14" s="55">
        <f t="shared" si="0"/>
        <v>2</v>
      </c>
      <c r="C14" s="14" t="s">
        <v>8</v>
      </c>
      <c r="D14" s="12" t="str">
        <f t="shared" si="1"/>
        <v xml:space="preserve">            Reactor Island Civil Structures</v>
      </c>
      <c r="E14" s="12"/>
      <c r="F14" s="12"/>
      <c r="G14" s="12"/>
      <c r="H14" s="60"/>
      <c r="I14" s="86"/>
      <c r="J14" s="56"/>
      <c r="K14" s="56"/>
      <c r="L14" s="56"/>
      <c r="M14" s="56"/>
      <c r="N14" s="56"/>
      <c r="O14" s="57"/>
      <c r="P14" s="56"/>
      <c r="Q14" s="15"/>
      <c r="R14" s="57"/>
      <c r="S14" s="102"/>
      <c r="T14" s="102"/>
    </row>
    <row r="15" spans="1:20" ht="27.6" thickBot="1" x14ac:dyDescent="0.35">
      <c r="A15" s="16">
        <v>212.1</v>
      </c>
      <c r="B15" s="55">
        <f t="shared" si="0"/>
        <v>3</v>
      </c>
      <c r="C15" s="14" t="s">
        <v>104</v>
      </c>
      <c r="D15" s="12" t="str">
        <f t="shared" si="1"/>
        <v xml:space="preserve">                  Reactor Building Slab Roof</v>
      </c>
      <c r="E15" s="12" t="s">
        <v>346</v>
      </c>
      <c r="F15" s="15"/>
      <c r="G15" s="12"/>
      <c r="H15" s="60"/>
      <c r="I15" s="86">
        <f>1200 *1.53</f>
        <v>1836</v>
      </c>
      <c r="J15" s="57" t="s">
        <v>79</v>
      </c>
      <c r="K15" s="15" t="s">
        <v>86</v>
      </c>
      <c r="L15" s="56"/>
      <c r="M15" s="57" t="s">
        <v>81</v>
      </c>
      <c r="N15" s="56"/>
      <c r="O15" s="57">
        <v>2024</v>
      </c>
      <c r="P15" s="57" t="s">
        <v>77</v>
      </c>
      <c r="Q15" s="58" t="s">
        <v>82</v>
      </c>
      <c r="R15" s="58" t="s">
        <v>83</v>
      </c>
      <c r="S15" s="103" t="s">
        <v>84</v>
      </c>
      <c r="T15" s="102"/>
    </row>
    <row r="16" spans="1:20" ht="27.6" thickBot="1" x14ac:dyDescent="0.35">
      <c r="A16" s="16">
        <v>212.2</v>
      </c>
      <c r="B16" s="55">
        <f t="shared" si="0"/>
        <v>3</v>
      </c>
      <c r="C16" s="14" t="s">
        <v>122</v>
      </c>
      <c r="D16" s="12" t="str">
        <f t="shared" si="1"/>
        <v xml:space="preserve">                  Reactor Building Basement</v>
      </c>
      <c r="E16" s="12" t="s">
        <v>346</v>
      </c>
      <c r="F16" s="12"/>
      <c r="G16" s="12"/>
      <c r="H16" s="60"/>
      <c r="I16" s="86">
        <f>943.9*1.53</f>
        <v>1444.1669999999999</v>
      </c>
      <c r="J16" s="57" t="s">
        <v>79</v>
      </c>
      <c r="K16" s="15" t="s">
        <v>91</v>
      </c>
      <c r="L16" s="56"/>
      <c r="M16" s="57" t="s">
        <v>81</v>
      </c>
      <c r="N16" s="56"/>
      <c r="O16" s="57">
        <v>2024</v>
      </c>
      <c r="P16" s="57" t="s">
        <v>77</v>
      </c>
      <c r="Q16" s="58"/>
      <c r="R16" s="58"/>
      <c r="S16" s="59"/>
      <c r="T16" s="102"/>
    </row>
    <row r="17" spans="1:20" ht="40.799999999999997" thickBot="1" x14ac:dyDescent="0.35">
      <c r="A17" s="16">
        <v>212.3</v>
      </c>
      <c r="B17" s="55">
        <f t="shared" si="0"/>
        <v>3</v>
      </c>
      <c r="C17" s="14" t="s">
        <v>105</v>
      </c>
      <c r="D17" s="12" t="str">
        <f>REPT("   ", B17*2) &amp; C17</f>
        <v xml:space="preserve">                  Reactor Building Walls</v>
      </c>
      <c r="E17" s="12" t="s">
        <v>346</v>
      </c>
      <c r="F17" s="12"/>
      <c r="G17" s="12"/>
      <c r="H17" s="60"/>
      <c r="I17" s="86">
        <f>721.21*1.53</f>
        <v>1103.4513000000002</v>
      </c>
      <c r="J17" s="57" t="s">
        <v>79</v>
      </c>
      <c r="K17" s="15" t="s">
        <v>92</v>
      </c>
      <c r="L17" s="56"/>
      <c r="M17" s="57" t="s">
        <v>81</v>
      </c>
      <c r="N17" s="56"/>
      <c r="O17" s="57">
        <v>2024</v>
      </c>
      <c r="P17" s="57" t="s">
        <v>77</v>
      </c>
      <c r="Q17" s="58"/>
      <c r="R17" s="58"/>
      <c r="S17" s="59"/>
      <c r="T17" s="102"/>
    </row>
    <row r="18" spans="1:20" ht="14.4" thickBot="1" x14ac:dyDescent="0.35">
      <c r="A18" s="16">
        <v>213</v>
      </c>
      <c r="B18" s="55">
        <f t="shared" si="0"/>
        <v>2</v>
      </c>
      <c r="C18" s="14" t="s">
        <v>123</v>
      </c>
      <c r="D18" s="12" t="str">
        <f t="shared" si="1"/>
        <v xml:space="preserve">            Main Function Buildings</v>
      </c>
      <c r="E18" s="12"/>
      <c r="F18" s="12"/>
      <c r="G18" s="12"/>
      <c r="H18" s="60"/>
      <c r="I18" s="86"/>
      <c r="J18" s="56"/>
      <c r="K18" s="61"/>
      <c r="L18" s="56"/>
      <c r="M18" s="56"/>
      <c r="N18" s="56"/>
      <c r="O18" s="56"/>
      <c r="P18" s="56"/>
      <c r="Q18" s="61"/>
      <c r="R18" s="15"/>
      <c r="S18" s="104"/>
      <c r="T18" s="102"/>
    </row>
    <row r="19" spans="1:20" ht="14.4" thickBot="1" x14ac:dyDescent="0.35">
      <c r="A19" s="16">
        <v>213.1</v>
      </c>
      <c r="B19" s="55">
        <f t="shared" si="0"/>
        <v>3</v>
      </c>
      <c r="C19" s="14" t="s">
        <v>124</v>
      </c>
      <c r="D19" s="12" t="str">
        <f t="shared" si="1"/>
        <v xml:space="preserve">                  Energy conversion Building</v>
      </c>
      <c r="E19" s="12"/>
      <c r="F19" s="12"/>
      <c r="G19" s="12"/>
      <c r="H19" s="60"/>
      <c r="I19" s="86"/>
      <c r="J19" s="56"/>
      <c r="K19" s="61"/>
      <c r="L19" s="56"/>
      <c r="M19" s="56"/>
      <c r="N19" s="56"/>
      <c r="O19" s="56"/>
      <c r="P19" s="56"/>
      <c r="Q19" s="61"/>
      <c r="R19" s="15"/>
      <c r="S19" s="104"/>
      <c r="T19" s="102"/>
    </row>
    <row r="20" spans="1:20" ht="27.6" thickBot="1" x14ac:dyDescent="0.35">
      <c r="A20" s="16">
        <v>213.11</v>
      </c>
      <c r="B20" s="55">
        <f t="shared" si="0"/>
        <v>4</v>
      </c>
      <c r="C20" s="14" t="s">
        <v>111</v>
      </c>
      <c r="D20" s="12" t="str">
        <f t="shared" si="1"/>
        <v xml:space="preserve">                        Energy Conversion Building Slab Roof</v>
      </c>
      <c r="E20" s="12" t="s">
        <v>346</v>
      </c>
      <c r="F20" s="12"/>
      <c r="G20" s="12"/>
      <c r="H20" s="60"/>
      <c r="I20" s="86">
        <f>1200 *1.53</f>
        <v>1836</v>
      </c>
      <c r="J20" s="57" t="s">
        <v>79</v>
      </c>
      <c r="K20" s="15" t="s">
        <v>90</v>
      </c>
      <c r="L20" s="56"/>
      <c r="M20" s="57" t="s">
        <v>81</v>
      </c>
      <c r="N20" s="56"/>
      <c r="O20" s="57">
        <v>2024</v>
      </c>
      <c r="P20" s="57" t="s">
        <v>77</v>
      </c>
      <c r="Q20" s="58" t="s">
        <v>82</v>
      </c>
      <c r="R20" s="58" t="s">
        <v>83</v>
      </c>
      <c r="S20" s="103" t="s">
        <v>84</v>
      </c>
      <c r="T20" s="102"/>
    </row>
    <row r="21" spans="1:20" ht="27.6" thickBot="1" x14ac:dyDescent="0.35">
      <c r="A21" s="16">
        <v>213.12</v>
      </c>
      <c r="B21" s="55">
        <f t="shared" si="0"/>
        <v>4</v>
      </c>
      <c r="C21" s="14" t="s">
        <v>119</v>
      </c>
      <c r="D21" s="12" t="str">
        <f>REPT("   ", B21*2) &amp; C21</f>
        <v xml:space="preserve">                        Energy Conversion Building Basement</v>
      </c>
      <c r="E21" s="12" t="s">
        <v>346</v>
      </c>
      <c r="F21" s="12"/>
      <c r="G21" s="12"/>
      <c r="H21" s="60"/>
      <c r="I21" s="86">
        <f>943.9*1.53</f>
        <v>1444.1669999999999</v>
      </c>
      <c r="J21" s="57" t="s">
        <v>79</v>
      </c>
      <c r="K21" s="15" t="s">
        <v>93</v>
      </c>
      <c r="L21" s="56"/>
      <c r="M21" s="57" t="s">
        <v>81</v>
      </c>
      <c r="N21" s="56"/>
      <c r="O21" s="57">
        <v>2024</v>
      </c>
      <c r="P21" s="57" t="s">
        <v>77</v>
      </c>
      <c r="Q21" s="58"/>
      <c r="R21" s="58"/>
      <c r="S21" s="59"/>
      <c r="T21" s="102"/>
    </row>
    <row r="22" spans="1:20" ht="27.6" thickBot="1" x14ac:dyDescent="0.35">
      <c r="A22" s="16">
        <v>213.13</v>
      </c>
      <c r="B22" s="55">
        <f t="shared" si="0"/>
        <v>4</v>
      </c>
      <c r="C22" s="14" t="s">
        <v>112</v>
      </c>
      <c r="D22" s="12" t="str">
        <f t="shared" si="1"/>
        <v xml:space="preserve">                        Energy Conversion Building Walls</v>
      </c>
      <c r="E22" s="12" t="s">
        <v>346</v>
      </c>
      <c r="F22" s="12"/>
      <c r="G22" s="12"/>
      <c r="H22" s="60"/>
      <c r="I22" s="86">
        <f>721.21*1.53</f>
        <v>1103.4513000000002</v>
      </c>
      <c r="J22" s="57" t="s">
        <v>79</v>
      </c>
      <c r="K22" s="15" t="s">
        <v>94</v>
      </c>
      <c r="L22" s="56"/>
      <c r="M22" s="57" t="s">
        <v>81</v>
      </c>
      <c r="N22" s="56"/>
      <c r="O22" s="57">
        <v>2024</v>
      </c>
      <c r="P22" s="57" t="s">
        <v>77</v>
      </c>
      <c r="Q22" s="58"/>
      <c r="R22" s="58"/>
      <c r="S22" s="59"/>
      <c r="T22" s="102"/>
    </row>
    <row r="23" spans="1:20" ht="14.4" thickBot="1" x14ac:dyDescent="0.35">
      <c r="A23" s="16">
        <v>213.2</v>
      </c>
      <c r="B23" s="55">
        <f t="shared" si="0"/>
        <v>3</v>
      </c>
      <c r="C23" s="14" t="s">
        <v>106</v>
      </c>
      <c r="D23" s="12" t="str">
        <f t="shared" si="1"/>
        <v xml:space="preserve">                  Control building</v>
      </c>
      <c r="E23" s="12"/>
      <c r="F23" s="12"/>
      <c r="G23" s="12"/>
      <c r="H23" s="60"/>
      <c r="I23" s="86"/>
      <c r="J23" s="56"/>
      <c r="K23" s="61"/>
      <c r="L23" s="56"/>
      <c r="M23" s="56"/>
      <c r="N23" s="56"/>
      <c r="O23" s="56"/>
      <c r="P23" s="56"/>
      <c r="Q23" s="61"/>
      <c r="R23" s="15"/>
      <c r="S23" s="104"/>
      <c r="T23" s="102"/>
    </row>
    <row r="24" spans="1:20" ht="27.6" thickBot="1" x14ac:dyDescent="0.35">
      <c r="A24" s="16">
        <v>213.21</v>
      </c>
      <c r="B24" s="55">
        <f t="shared" si="0"/>
        <v>4</v>
      </c>
      <c r="C24" s="14" t="s">
        <v>113</v>
      </c>
      <c r="D24" s="12" t="str">
        <f t="shared" si="1"/>
        <v xml:space="preserve">                        Control Building Slab Roof</v>
      </c>
      <c r="E24" s="12" t="s">
        <v>346</v>
      </c>
      <c r="F24" s="12"/>
      <c r="G24" s="12"/>
      <c r="H24" s="60"/>
      <c r="I24" s="86">
        <f>1200 *1.53</f>
        <v>1836</v>
      </c>
      <c r="J24" s="57" t="s">
        <v>79</v>
      </c>
      <c r="K24" s="15" t="s">
        <v>87</v>
      </c>
      <c r="L24" s="56"/>
      <c r="M24" s="57" t="s">
        <v>81</v>
      </c>
      <c r="N24" s="56"/>
      <c r="O24" s="57">
        <v>2024</v>
      </c>
      <c r="P24" s="57" t="s">
        <v>77</v>
      </c>
      <c r="Q24" s="58" t="s">
        <v>82</v>
      </c>
      <c r="R24" s="58" t="s">
        <v>83</v>
      </c>
      <c r="S24" s="103" t="s">
        <v>84</v>
      </c>
      <c r="T24" s="102"/>
    </row>
    <row r="25" spans="1:20" ht="27.6" thickBot="1" x14ac:dyDescent="0.35">
      <c r="A25" s="16">
        <v>213.22</v>
      </c>
      <c r="B25" s="55">
        <f t="shared" si="0"/>
        <v>4</v>
      </c>
      <c r="C25" s="14" t="s">
        <v>125</v>
      </c>
      <c r="D25" s="12" t="str">
        <f t="shared" si="1"/>
        <v xml:space="preserve">                        Control Building Basement</v>
      </c>
      <c r="E25" s="12" t="s">
        <v>346</v>
      </c>
      <c r="F25" s="12"/>
      <c r="G25" s="12"/>
      <c r="H25" s="60"/>
      <c r="I25" s="86">
        <f>943.9*1.53</f>
        <v>1444.1669999999999</v>
      </c>
      <c r="J25" s="57" t="s">
        <v>79</v>
      </c>
      <c r="K25" s="15" t="s">
        <v>95</v>
      </c>
      <c r="L25" s="56"/>
      <c r="M25" s="57" t="s">
        <v>81</v>
      </c>
      <c r="N25" s="56"/>
      <c r="O25" s="57">
        <v>2024</v>
      </c>
      <c r="P25" s="57" t="s">
        <v>77</v>
      </c>
      <c r="Q25" s="58"/>
      <c r="R25" s="58"/>
      <c r="S25" s="59"/>
      <c r="T25" s="102"/>
    </row>
    <row r="26" spans="1:20" ht="40.799999999999997" thickBot="1" x14ac:dyDescent="0.35">
      <c r="A26" s="16">
        <v>213.23</v>
      </c>
      <c r="B26" s="55">
        <f t="shared" si="0"/>
        <v>4</v>
      </c>
      <c r="C26" s="14" t="s">
        <v>114</v>
      </c>
      <c r="D26" s="12" t="str">
        <f t="shared" si="1"/>
        <v xml:space="preserve">                        Control Building Walls</v>
      </c>
      <c r="E26" s="12" t="s">
        <v>346</v>
      </c>
      <c r="F26" s="12"/>
      <c r="G26" s="12"/>
      <c r="H26" s="60"/>
      <c r="I26" s="86">
        <f>721.21*1.53</f>
        <v>1103.4513000000002</v>
      </c>
      <c r="J26" s="57" t="s">
        <v>79</v>
      </c>
      <c r="K26" s="15" t="s">
        <v>143</v>
      </c>
      <c r="L26" s="56"/>
      <c r="M26" s="57" t="s">
        <v>81</v>
      </c>
      <c r="N26" s="56"/>
      <c r="O26" s="57">
        <v>2024</v>
      </c>
      <c r="P26" s="57" t="s">
        <v>77</v>
      </c>
      <c r="Q26" s="58"/>
      <c r="R26" s="58"/>
      <c r="S26" s="59"/>
      <c r="T26" s="102"/>
    </row>
    <row r="27" spans="1:20" ht="14.4" thickBot="1" x14ac:dyDescent="0.35">
      <c r="A27" s="16">
        <v>214</v>
      </c>
      <c r="B27" s="55">
        <f t="shared" si="0"/>
        <v>2</v>
      </c>
      <c r="C27" s="14" t="s">
        <v>9</v>
      </c>
      <c r="D27" s="12" t="str">
        <f t="shared" si="1"/>
        <v xml:space="preserve">            Buildings to Support Main Function </v>
      </c>
      <c r="E27" s="12"/>
      <c r="F27" s="12"/>
      <c r="G27" s="12"/>
      <c r="H27" s="60"/>
      <c r="I27" s="86"/>
      <c r="J27" s="56"/>
      <c r="K27" s="61"/>
      <c r="L27" s="56"/>
      <c r="M27" s="56"/>
      <c r="N27" s="56"/>
      <c r="O27" s="56"/>
      <c r="P27" s="56"/>
      <c r="Q27" s="61"/>
      <c r="R27" s="57"/>
      <c r="S27" s="102"/>
      <c r="T27" s="102"/>
    </row>
    <row r="28" spans="1:20" ht="14.4" thickBot="1" x14ac:dyDescent="0.35">
      <c r="A28" s="16">
        <v>214.1</v>
      </c>
      <c r="B28" s="55">
        <f t="shared" si="0"/>
        <v>3</v>
      </c>
      <c r="C28" s="14" t="s">
        <v>126</v>
      </c>
      <c r="D28" s="12" t="str">
        <f t="shared" si="1"/>
        <v xml:space="preserve">                  Fuel Management Buildings</v>
      </c>
      <c r="E28" s="12"/>
      <c r="F28" s="12"/>
      <c r="G28" s="12"/>
      <c r="H28" s="60"/>
      <c r="I28" s="86"/>
      <c r="J28" s="56"/>
      <c r="K28" s="61"/>
      <c r="L28" s="56"/>
      <c r="M28" s="56"/>
      <c r="N28" s="56"/>
      <c r="O28" s="56"/>
      <c r="P28" s="56"/>
      <c r="Q28" s="61"/>
      <c r="R28" s="57"/>
      <c r="S28" s="102"/>
      <c r="T28" s="102"/>
    </row>
    <row r="29" spans="1:20" ht="14.4" thickBot="1" x14ac:dyDescent="0.35">
      <c r="A29" s="16">
        <v>214.11</v>
      </c>
      <c r="B29" s="55">
        <f t="shared" si="0"/>
        <v>4</v>
      </c>
      <c r="C29" s="14" t="s">
        <v>115</v>
      </c>
      <c r="D29" s="12" t="str">
        <f t="shared" si="1"/>
        <v xml:space="preserve">                        Refueling Building</v>
      </c>
      <c r="E29" s="12"/>
      <c r="F29" s="12"/>
      <c r="G29" s="12"/>
      <c r="H29" s="60"/>
      <c r="I29" s="86"/>
      <c r="J29" s="56"/>
      <c r="K29" s="61"/>
      <c r="L29" s="56"/>
      <c r="M29" s="56"/>
      <c r="N29" s="56"/>
      <c r="O29" s="56"/>
      <c r="P29" s="56"/>
      <c r="Q29" s="61"/>
      <c r="R29" s="57"/>
      <c r="S29" s="102"/>
      <c r="T29" s="102"/>
    </row>
    <row r="30" spans="1:20" s="44" customFormat="1" ht="24.6" thickBot="1" x14ac:dyDescent="0.3">
      <c r="A30" s="63">
        <v>214.11099999999999</v>
      </c>
      <c r="B30" s="64">
        <f t="shared" si="0"/>
        <v>5</v>
      </c>
      <c r="C30" s="65" t="s">
        <v>107</v>
      </c>
      <c r="D30" s="43" t="str">
        <f t="shared" si="1"/>
        <v xml:space="preserve">                              Refueling Building Slab Roof</v>
      </c>
      <c r="E30" s="43" t="s">
        <v>346</v>
      </c>
      <c r="F30" s="43"/>
      <c r="G30" s="43"/>
      <c r="H30" s="88"/>
      <c r="I30" s="89">
        <f>1200 *1.53</f>
        <v>1836</v>
      </c>
      <c r="J30" s="67" t="s">
        <v>79</v>
      </c>
      <c r="K30" s="68" t="s">
        <v>88</v>
      </c>
      <c r="L30" s="66"/>
      <c r="M30" s="67" t="s">
        <v>81</v>
      </c>
      <c r="N30" s="66"/>
      <c r="O30" s="67">
        <v>2024</v>
      </c>
      <c r="P30" s="67" t="s">
        <v>77</v>
      </c>
      <c r="Q30" s="69" t="s">
        <v>82</v>
      </c>
      <c r="R30" s="69" t="s">
        <v>83</v>
      </c>
      <c r="S30" s="105" t="s">
        <v>84</v>
      </c>
      <c r="T30" s="106"/>
    </row>
    <row r="31" spans="1:20" s="44" customFormat="1" ht="24.6" thickBot="1" x14ac:dyDescent="0.3">
      <c r="A31" s="63">
        <v>214.11199999999999</v>
      </c>
      <c r="B31" s="64">
        <f t="shared" si="0"/>
        <v>5</v>
      </c>
      <c r="C31" s="65" t="s">
        <v>120</v>
      </c>
      <c r="D31" s="43" t="str">
        <f t="shared" si="1"/>
        <v xml:space="preserve">                              Refueling Building Basement</v>
      </c>
      <c r="E31" s="43" t="s">
        <v>346</v>
      </c>
      <c r="F31" s="43"/>
      <c r="G31" s="43"/>
      <c r="H31" s="88"/>
      <c r="I31" s="89">
        <f>943.9*1.53</f>
        <v>1444.1669999999999</v>
      </c>
      <c r="J31" s="67" t="s">
        <v>79</v>
      </c>
      <c r="K31" s="68" t="s">
        <v>96</v>
      </c>
      <c r="L31" s="66"/>
      <c r="M31" s="67" t="s">
        <v>81</v>
      </c>
      <c r="N31" s="66"/>
      <c r="O31" s="67">
        <v>2024</v>
      </c>
      <c r="P31" s="67" t="s">
        <v>77</v>
      </c>
      <c r="Q31" s="69"/>
      <c r="R31" s="69"/>
      <c r="S31" s="107"/>
      <c r="T31" s="106"/>
    </row>
    <row r="32" spans="1:20" s="44" customFormat="1" ht="36.6" thickBot="1" x14ac:dyDescent="0.3">
      <c r="A32" s="63">
        <v>214.113</v>
      </c>
      <c r="B32" s="64">
        <f t="shared" si="0"/>
        <v>5</v>
      </c>
      <c r="C32" s="65" t="s">
        <v>108</v>
      </c>
      <c r="D32" s="43" t="str">
        <f t="shared" si="1"/>
        <v xml:space="preserve">                              Refueling Building Walls</v>
      </c>
      <c r="E32" s="43" t="s">
        <v>346</v>
      </c>
      <c r="F32" s="43"/>
      <c r="G32" s="43"/>
      <c r="H32" s="88"/>
      <c r="I32" s="89">
        <f>721.21*1.53</f>
        <v>1103.4513000000002</v>
      </c>
      <c r="J32" s="67" t="s">
        <v>79</v>
      </c>
      <c r="K32" s="68" t="s">
        <v>97</v>
      </c>
      <c r="L32" s="66"/>
      <c r="M32" s="67" t="s">
        <v>81</v>
      </c>
      <c r="N32" s="66"/>
      <c r="O32" s="67">
        <v>2024</v>
      </c>
      <c r="P32" s="67" t="s">
        <v>77</v>
      </c>
      <c r="Q32" s="69"/>
      <c r="R32" s="69"/>
      <c r="S32" s="107"/>
      <c r="T32" s="106"/>
    </row>
    <row r="33" spans="1:20" ht="14.4" thickBot="1" x14ac:dyDescent="0.35">
      <c r="A33" s="16">
        <v>214.12</v>
      </c>
      <c r="B33" s="55">
        <f t="shared" si="0"/>
        <v>4</v>
      </c>
      <c r="C33" s="14" t="s">
        <v>116</v>
      </c>
      <c r="D33" s="12" t="str">
        <f t="shared" si="1"/>
        <v xml:space="preserve">                        Spent Fuel Building</v>
      </c>
      <c r="E33" s="12"/>
      <c r="F33" s="12"/>
      <c r="G33" s="12"/>
      <c r="H33" s="60"/>
      <c r="I33" s="86"/>
      <c r="J33" s="56"/>
      <c r="K33" s="61"/>
      <c r="L33" s="56"/>
      <c r="M33" s="56"/>
      <c r="N33" s="56"/>
      <c r="O33" s="56"/>
      <c r="P33" s="56"/>
      <c r="Q33" s="61"/>
      <c r="R33" s="57"/>
      <c r="S33" s="102"/>
      <c r="T33" s="102"/>
    </row>
    <row r="34" spans="1:20" s="44" customFormat="1" ht="24.6" thickBot="1" x14ac:dyDescent="0.3">
      <c r="A34" s="63">
        <v>214.12100000000001</v>
      </c>
      <c r="B34" s="64">
        <f t="shared" si="0"/>
        <v>5</v>
      </c>
      <c r="C34" s="65" t="s">
        <v>109</v>
      </c>
      <c r="D34" s="43" t="str">
        <f t="shared" si="1"/>
        <v xml:space="preserve">                              Spent Fuel Building Slab Roof</v>
      </c>
      <c r="E34" s="43" t="s">
        <v>346</v>
      </c>
      <c r="F34" s="43"/>
      <c r="G34" s="43"/>
      <c r="H34" s="88"/>
      <c r="I34" s="89">
        <f>1200 *1.53</f>
        <v>1836</v>
      </c>
      <c r="J34" s="67" t="s">
        <v>79</v>
      </c>
      <c r="K34" s="68" t="s">
        <v>89</v>
      </c>
      <c r="L34" s="66"/>
      <c r="M34" s="67" t="s">
        <v>81</v>
      </c>
      <c r="N34" s="66"/>
      <c r="O34" s="67">
        <v>2024</v>
      </c>
      <c r="P34" s="66" t="s">
        <v>77</v>
      </c>
      <c r="Q34" s="69" t="s">
        <v>82</v>
      </c>
      <c r="R34" s="69" t="s">
        <v>83</v>
      </c>
      <c r="S34" s="105" t="s">
        <v>84</v>
      </c>
      <c r="T34" s="106"/>
    </row>
    <row r="35" spans="1:20" s="44" customFormat="1" ht="24.6" thickBot="1" x14ac:dyDescent="0.3">
      <c r="A35" s="63">
        <v>214.12200000000001</v>
      </c>
      <c r="B35" s="64">
        <f t="shared" si="0"/>
        <v>5</v>
      </c>
      <c r="C35" s="65" t="s">
        <v>127</v>
      </c>
      <c r="D35" s="43" t="str">
        <f t="shared" si="1"/>
        <v xml:space="preserve">                              Spent Fuel Building Basement</v>
      </c>
      <c r="E35" s="43" t="s">
        <v>346</v>
      </c>
      <c r="F35" s="43"/>
      <c r="G35" s="43"/>
      <c r="H35" s="88"/>
      <c r="I35" s="89">
        <f>943.9*1.53</f>
        <v>1444.1669999999999</v>
      </c>
      <c r="J35" s="67" t="s">
        <v>79</v>
      </c>
      <c r="K35" s="68" t="s">
        <v>98</v>
      </c>
      <c r="L35" s="66"/>
      <c r="M35" s="67" t="s">
        <v>81</v>
      </c>
      <c r="N35" s="66"/>
      <c r="O35" s="67">
        <v>2024</v>
      </c>
      <c r="P35" s="66" t="s">
        <v>77</v>
      </c>
      <c r="Q35" s="69"/>
      <c r="R35" s="69"/>
      <c r="S35" s="107"/>
      <c r="T35" s="106"/>
    </row>
    <row r="36" spans="1:20" s="44" customFormat="1" ht="36.6" thickBot="1" x14ac:dyDescent="0.3">
      <c r="A36" s="63">
        <v>214.12299999999999</v>
      </c>
      <c r="B36" s="64">
        <f t="shared" si="0"/>
        <v>5</v>
      </c>
      <c r="C36" s="65" t="s">
        <v>110</v>
      </c>
      <c r="D36" s="43" t="str">
        <f t="shared" si="1"/>
        <v xml:space="preserve">                              Spent Fuel Building Walls</v>
      </c>
      <c r="E36" s="43" t="s">
        <v>346</v>
      </c>
      <c r="F36" s="43"/>
      <c r="G36" s="43"/>
      <c r="H36" s="88"/>
      <c r="I36" s="89">
        <f>721.21*1.53</f>
        <v>1103.4513000000002</v>
      </c>
      <c r="J36" s="67" t="s">
        <v>79</v>
      </c>
      <c r="K36" s="68" t="s">
        <v>99</v>
      </c>
      <c r="L36" s="66"/>
      <c r="M36" s="67" t="s">
        <v>81</v>
      </c>
      <c r="N36" s="66"/>
      <c r="O36" s="67">
        <v>2024</v>
      </c>
      <c r="P36" s="67" t="s">
        <v>77</v>
      </c>
      <c r="Q36" s="69"/>
      <c r="R36" s="69"/>
      <c r="S36" s="107"/>
      <c r="T36" s="106"/>
    </row>
    <row r="37" spans="1:20" ht="27.6" thickBot="1" x14ac:dyDescent="0.35">
      <c r="A37" s="16">
        <v>214.7</v>
      </c>
      <c r="B37" s="55">
        <f t="shared" si="0"/>
        <v>3</v>
      </c>
      <c r="C37" s="14" t="s">
        <v>145</v>
      </c>
      <c r="D37" s="12" t="str">
        <f t="shared" si="1"/>
        <v xml:space="preserve">                  Emergency and Start-up Power Systems Building</v>
      </c>
      <c r="E37" s="12"/>
      <c r="F37" s="12"/>
      <c r="G37" s="12"/>
      <c r="H37" s="60"/>
      <c r="I37" s="86"/>
      <c r="J37" s="57"/>
      <c r="K37" s="15"/>
      <c r="L37" s="56"/>
      <c r="M37" s="57"/>
      <c r="N37" s="56"/>
      <c r="O37" s="57"/>
      <c r="P37" s="57"/>
      <c r="Q37" s="15"/>
      <c r="R37" s="57"/>
      <c r="S37" s="102"/>
      <c r="T37" s="102"/>
    </row>
    <row r="38" spans="1:20" ht="14.4" thickBot="1" x14ac:dyDescent="0.35">
      <c r="A38" s="16">
        <v>214.71</v>
      </c>
      <c r="B38" s="55">
        <f t="shared" si="0"/>
        <v>4</v>
      </c>
      <c r="C38" s="14" t="s">
        <v>144</v>
      </c>
      <c r="D38" s="12" t="str">
        <f t="shared" si="1"/>
        <v xml:space="preserve">                        Emergency Building</v>
      </c>
      <c r="E38" s="12"/>
      <c r="F38" s="12"/>
      <c r="G38" s="12"/>
      <c r="H38" s="60"/>
      <c r="I38" s="86"/>
      <c r="J38" s="57"/>
      <c r="K38" s="15"/>
      <c r="L38" s="56"/>
      <c r="M38" s="57"/>
      <c r="N38" s="56"/>
      <c r="O38" s="57"/>
      <c r="P38" s="57"/>
      <c r="Q38" s="15"/>
      <c r="R38" s="57"/>
      <c r="S38" s="102"/>
      <c r="T38" s="102"/>
    </row>
    <row r="39" spans="1:20" s="44" customFormat="1" ht="24.6" thickBot="1" x14ac:dyDescent="0.3">
      <c r="A39" s="63">
        <v>214.71100000000001</v>
      </c>
      <c r="B39" s="64">
        <f t="shared" si="0"/>
        <v>5</v>
      </c>
      <c r="C39" s="65" t="s">
        <v>147</v>
      </c>
      <c r="D39" s="43" t="str">
        <f t="shared" si="1"/>
        <v xml:space="preserve">                              Emergency Building Slab Roof</v>
      </c>
      <c r="E39" s="43" t="s">
        <v>346</v>
      </c>
      <c r="F39" s="43"/>
      <c r="G39" s="43"/>
      <c r="H39" s="88"/>
      <c r="I39" s="89">
        <f>1200 *1.53</f>
        <v>1836</v>
      </c>
      <c r="J39" s="67" t="s">
        <v>79</v>
      </c>
      <c r="K39" s="68" t="s">
        <v>150</v>
      </c>
      <c r="L39" s="66"/>
      <c r="M39" s="67" t="s">
        <v>81</v>
      </c>
      <c r="N39" s="66"/>
      <c r="O39" s="67">
        <v>2024</v>
      </c>
      <c r="P39" s="66" t="s">
        <v>77</v>
      </c>
      <c r="Q39" s="69" t="s">
        <v>82</v>
      </c>
      <c r="R39" s="69" t="s">
        <v>83</v>
      </c>
      <c r="S39" s="105" t="s">
        <v>84</v>
      </c>
      <c r="T39" s="106"/>
    </row>
    <row r="40" spans="1:20" s="44" customFormat="1" ht="24.6" thickBot="1" x14ac:dyDescent="0.3">
      <c r="A40" s="63">
        <v>214.71199999999999</v>
      </c>
      <c r="B40" s="64">
        <f t="shared" si="0"/>
        <v>5</v>
      </c>
      <c r="C40" s="65" t="s">
        <v>148</v>
      </c>
      <c r="D40" s="43" t="str">
        <f t="shared" si="1"/>
        <v xml:space="preserve">                              Emergency Building Basement</v>
      </c>
      <c r="E40" s="43" t="s">
        <v>346</v>
      </c>
      <c r="F40" s="43"/>
      <c r="G40" s="43"/>
      <c r="H40" s="88"/>
      <c r="I40" s="89">
        <f>943.9*1.53</f>
        <v>1444.1669999999999</v>
      </c>
      <c r="J40" s="67" t="s">
        <v>79</v>
      </c>
      <c r="K40" s="68" t="s">
        <v>151</v>
      </c>
      <c r="L40" s="66"/>
      <c r="M40" s="67" t="s">
        <v>81</v>
      </c>
      <c r="N40" s="66"/>
      <c r="O40" s="67">
        <v>2024</v>
      </c>
      <c r="P40" s="66" t="s">
        <v>77</v>
      </c>
      <c r="Q40" s="69"/>
      <c r="R40" s="69"/>
      <c r="S40" s="107"/>
      <c r="T40" s="106"/>
    </row>
    <row r="41" spans="1:20" s="44" customFormat="1" ht="36.6" thickBot="1" x14ac:dyDescent="0.3">
      <c r="A41" s="63">
        <v>214.71299999999999</v>
      </c>
      <c r="B41" s="64">
        <f t="shared" si="0"/>
        <v>5</v>
      </c>
      <c r="C41" s="65" t="s">
        <v>149</v>
      </c>
      <c r="D41" s="43" t="str">
        <f t="shared" si="1"/>
        <v xml:space="preserve">                              Emergency Building Walls</v>
      </c>
      <c r="E41" s="43" t="s">
        <v>346</v>
      </c>
      <c r="F41" s="43"/>
      <c r="G41" s="43"/>
      <c r="H41" s="88"/>
      <c r="I41" s="89">
        <f>721.21*1.53</f>
        <v>1103.4513000000002</v>
      </c>
      <c r="J41" s="67" t="s">
        <v>79</v>
      </c>
      <c r="K41" s="68" t="s">
        <v>152</v>
      </c>
      <c r="L41" s="66"/>
      <c r="M41" s="67" t="s">
        <v>81</v>
      </c>
      <c r="N41" s="66"/>
      <c r="O41" s="67">
        <v>2024</v>
      </c>
      <c r="P41" s="67" t="s">
        <v>77</v>
      </c>
      <c r="Q41" s="69"/>
      <c r="R41" s="69"/>
      <c r="S41" s="107"/>
      <c r="T41" s="106"/>
    </row>
    <row r="42" spans="1:20" ht="103.95" customHeight="1" thickBot="1" x14ac:dyDescent="0.35">
      <c r="A42" s="16">
        <v>214.72</v>
      </c>
      <c r="B42" s="55">
        <f t="shared" si="0"/>
        <v>4</v>
      </c>
      <c r="C42" s="72" t="s">
        <v>146</v>
      </c>
      <c r="D42" s="12" t="str">
        <f t="shared" si="1"/>
        <v xml:space="preserve">                        Diesel Generator</v>
      </c>
      <c r="E42" s="12" t="s">
        <v>346</v>
      </c>
      <c r="F42" s="12"/>
      <c r="G42" s="12"/>
      <c r="H42" s="60"/>
      <c r="I42" s="90">
        <f>MARVEL_Cost!C11/L42</f>
        <v>2717311.5662650601</v>
      </c>
      <c r="J42" s="57" t="s">
        <v>154</v>
      </c>
      <c r="K42" s="15" t="s">
        <v>155</v>
      </c>
      <c r="L42" s="57">
        <f>'Design Variables'!B3/1000</f>
        <v>8.3000000000000004E-2</v>
      </c>
      <c r="M42" s="57" t="s">
        <v>153</v>
      </c>
      <c r="N42" s="57">
        <v>0.7</v>
      </c>
      <c r="O42" s="57">
        <v>2024</v>
      </c>
      <c r="P42" s="57" t="s">
        <v>74</v>
      </c>
      <c r="Q42" s="15" t="s">
        <v>156</v>
      </c>
      <c r="R42" s="15" t="s">
        <v>157</v>
      </c>
      <c r="S42" s="70" t="s">
        <v>158</v>
      </c>
      <c r="T42" s="102"/>
    </row>
    <row r="43" spans="1:20" ht="14.4" thickBot="1" x14ac:dyDescent="0.35">
      <c r="A43" s="16">
        <v>215</v>
      </c>
      <c r="B43" s="55">
        <f t="shared" si="0"/>
        <v>2</v>
      </c>
      <c r="C43" s="72" t="s">
        <v>159</v>
      </c>
      <c r="D43" s="12" t="str">
        <f t="shared" si="1"/>
        <v xml:space="preserve">            Supply Chain Buildings</v>
      </c>
      <c r="E43" s="12"/>
      <c r="F43" s="12"/>
      <c r="G43" s="12"/>
      <c r="H43" s="60"/>
      <c r="I43" s="90"/>
      <c r="J43" s="57"/>
      <c r="K43" s="15"/>
      <c r="L43" s="57"/>
      <c r="M43" s="57"/>
      <c r="N43" s="57"/>
      <c r="O43" s="57"/>
      <c r="P43" s="57"/>
      <c r="Q43" s="15"/>
      <c r="R43" s="15"/>
      <c r="S43" s="70"/>
      <c r="T43" s="102"/>
    </row>
    <row r="44" spans="1:20" ht="14.4" thickBot="1" x14ac:dyDescent="0.35">
      <c r="A44" s="16">
        <v>215.1</v>
      </c>
      <c r="B44" s="55">
        <f t="shared" si="0"/>
        <v>3</v>
      </c>
      <c r="C44" s="72" t="s">
        <v>161</v>
      </c>
      <c r="D44" s="12" t="str">
        <f t="shared" si="1"/>
        <v xml:space="preserve">                  Storage Building</v>
      </c>
      <c r="E44" s="12"/>
      <c r="F44" s="12"/>
      <c r="G44" s="12"/>
      <c r="H44" s="60"/>
      <c r="I44" s="90"/>
      <c r="J44" s="57"/>
      <c r="K44" s="15"/>
      <c r="L44" s="57"/>
      <c r="M44" s="57"/>
      <c r="N44" s="57"/>
      <c r="O44" s="57"/>
      <c r="P44" s="57"/>
      <c r="Q44" s="15"/>
      <c r="R44" s="15"/>
      <c r="S44" s="70"/>
      <c r="T44" s="102"/>
    </row>
    <row r="45" spans="1:20" ht="27.6" thickBot="1" x14ac:dyDescent="0.35">
      <c r="A45" s="16">
        <v>215.11</v>
      </c>
      <c r="B45" s="55">
        <f t="shared" si="0"/>
        <v>4</v>
      </c>
      <c r="C45" s="72" t="s">
        <v>162</v>
      </c>
      <c r="D45" s="12" t="str">
        <f t="shared" si="1"/>
        <v xml:space="preserve">                        Storage Building Slab Roof</v>
      </c>
      <c r="E45" s="12" t="s">
        <v>346</v>
      </c>
      <c r="F45" s="12"/>
      <c r="G45" s="12"/>
      <c r="H45" s="60"/>
      <c r="I45" s="86">
        <f>1200 *1.53</f>
        <v>1836</v>
      </c>
      <c r="J45" s="57" t="s">
        <v>79</v>
      </c>
      <c r="K45" s="15" t="s">
        <v>168</v>
      </c>
      <c r="L45" s="57"/>
      <c r="M45" s="57" t="s">
        <v>81</v>
      </c>
      <c r="N45" s="57"/>
      <c r="O45" s="57">
        <v>2024</v>
      </c>
      <c r="P45" s="57" t="s">
        <v>77</v>
      </c>
      <c r="Q45" s="58" t="s">
        <v>82</v>
      </c>
      <c r="R45" s="58" t="s">
        <v>83</v>
      </c>
      <c r="S45" s="103" t="s">
        <v>84</v>
      </c>
      <c r="T45" s="102"/>
    </row>
    <row r="46" spans="1:20" ht="27.6" thickBot="1" x14ac:dyDescent="0.35">
      <c r="A46" s="16">
        <v>215.12</v>
      </c>
      <c r="B46" s="55">
        <f t="shared" si="0"/>
        <v>4</v>
      </c>
      <c r="C46" s="72" t="s">
        <v>163</v>
      </c>
      <c r="D46" s="12" t="str">
        <f t="shared" si="1"/>
        <v xml:space="preserve">                        Storage Building Basement</v>
      </c>
      <c r="E46" s="12" t="s">
        <v>346</v>
      </c>
      <c r="F46" s="12"/>
      <c r="G46" s="12"/>
      <c r="H46" s="60"/>
      <c r="I46" s="86">
        <f>943.9*1.53</f>
        <v>1444.1669999999999</v>
      </c>
      <c r="J46" s="57" t="s">
        <v>79</v>
      </c>
      <c r="K46" s="15" t="s">
        <v>169</v>
      </c>
      <c r="L46" s="57"/>
      <c r="M46" s="57" t="s">
        <v>81</v>
      </c>
      <c r="N46" s="57"/>
      <c r="O46" s="57">
        <v>2024</v>
      </c>
      <c r="P46" s="57" t="s">
        <v>77</v>
      </c>
      <c r="Q46" s="58"/>
      <c r="R46" s="58"/>
      <c r="S46" s="59"/>
      <c r="T46" s="102"/>
    </row>
    <row r="47" spans="1:20" ht="40.799999999999997" thickBot="1" x14ac:dyDescent="0.35">
      <c r="A47" s="16">
        <v>215.13</v>
      </c>
      <c r="B47" s="55">
        <f t="shared" si="0"/>
        <v>4</v>
      </c>
      <c r="C47" s="72" t="s">
        <v>164</v>
      </c>
      <c r="D47" s="12" t="str">
        <f t="shared" si="1"/>
        <v xml:space="preserve">                        Storage Building Walls</v>
      </c>
      <c r="E47" s="12" t="s">
        <v>346</v>
      </c>
      <c r="F47" s="12"/>
      <c r="G47" s="12"/>
      <c r="H47" s="60"/>
      <c r="I47" s="86">
        <f>721.21*1.53</f>
        <v>1103.4513000000002</v>
      </c>
      <c r="J47" s="57" t="s">
        <v>79</v>
      </c>
      <c r="K47" s="15" t="s">
        <v>170</v>
      </c>
      <c r="L47" s="57"/>
      <c r="M47" s="57" t="s">
        <v>81</v>
      </c>
      <c r="N47" s="57"/>
      <c r="O47" s="57">
        <v>2024</v>
      </c>
      <c r="P47" s="57" t="s">
        <v>77</v>
      </c>
      <c r="Q47" s="58"/>
      <c r="R47" s="58"/>
      <c r="S47" s="59"/>
      <c r="T47" s="102"/>
    </row>
    <row r="48" spans="1:20" ht="14.4" thickBot="1" x14ac:dyDescent="0.35">
      <c r="A48" s="16">
        <v>215.4</v>
      </c>
      <c r="B48" s="55">
        <f t="shared" si="0"/>
        <v>3</v>
      </c>
      <c r="C48" s="72" t="s">
        <v>160</v>
      </c>
      <c r="D48" s="12" t="str">
        <f t="shared" si="1"/>
        <v xml:space="preserve">                  Radwaste Building</v>
      </c>
      <c r="E48" s="12"/>
      <c r="F48" s="12"/>
      <c r="G48" s="12"/>
      <c r="H48" s="60"/>
      <c r="I48" s="90"/>
      <c r="J48" s="57"/>
      <c r="K48" s="15"/>
      <c r="L48" s="57"/>
      <c r="M48" s="57"/>
      <c r="N48" s="57"/>
      <c r="O48" s="57"/>
      <c r="P48" s="57"/>
      <c r="Q48" s="15"/>
      <c r="R48" s="15"/>
      <c r="S48" s="70"/>
      <c r="T48" s="102"/>
    </row>
    <row r="49" spans="1:20" ht="27.6" thickBot="1" x14ac:dyDescent="0.35">
      <c r="A49" s="16">
        <v>215.41</v>
      </c>
      <c r="B49" s="55">
        <f t="shared" si="0"/>
        <v>4</v>
      </c>
      <c r="C49" s="72" t="s">
        <v>166</v>
      </c>
      <c r="D49" s="12" t="str">
        <f t="shared" si="1"/>
        <v xml:space="preserve">                        Radwaste Building Slab Roof</v>
      </c>
      <c r="E49" s="12" t="s">
        <v>346</v>
      </c>
      <c r="F49" s="12"/>
      <c r="G49" s="12"/>
      <c r="H49" s="60"/>
      <c r="I49" s="86">
        <f>1200 *1.53</f>
        <v>1836</v>
      </c>
      <c r="J49" s="57" t="s">
        <v>79</v>
      </c>
      <c r="K49" s="15" t="s">
        <v>171</v>
      </c>
      <c r="L49" s="57"/>
      <c r="M49" s="57" t="s">
        <v>81</v>
      </c>
      <c r="N49" s="57"/>
      <c r="O49" s="57">
        <v>2024</v>
      </c>
      <c r="P49" s="57" t="s">
        <v>77</v>
      </c>
      <c r="Q49" s="58" t="s">
        <v>82</v>
      </c>
      <c r="R49" s="58" t="s">
        <v>83</v>
      </c>
      <c r="S49" s="103" t="s">
        <v>84</v>
      </c>
      <c r="T49" s="102"/>
    </row>
    <row r="50" spans="1:20" ht="27.6" thickBot="1" x14ac:dyDescent="0.35">
      <c r="A50" s="16">
        <v>215.42</v>
      </c>
      <c r="B50" s="55">
        <f t="shared" si="0"/>
        <v>4</v>
      </c>
      <c r="C50" s="72" t="s">
        <v>165</v>
      </c>
      <c r="D50" s="12" t="str">
        <f t="shared" si="1"/>
        <v xml:space="preserve">                        Radwaste Building Basement</v>
      </c>
      <c r="E50" s="12" t="s">
        <v>346</v>
      </c>
      <c r="F50" s="12"/>
      <c r="G50" s="12"/>
      <c r="H50" s="60"/>
      <c r="I50" s="86">
        <f>943.9*1.53</f>
        <v>1444.1669999999999</v>
      </c>
      <c r="J50" s="57" t="s">
        <v>79</v>
      </c>
      <c r="K50" s="15" t="s">
        <v>172</v>
      </c>
      <c r="L50" s="57"/>
      <c r="M50" s="57" t="s">
        <v>81</v>
      </c>
      <c r="N50" s="57"/>
      <c r="O50" s="57">
        <v>2024</v>
      </c>
      <c r="P50" s="57" t="s">
        <v>77</v>
      </c>
      <c r="Q50" s="58"/>
      <c r="R50" s="58"/>
      <c r="S50" s="59"/>
      <c r="T50" s="102"/>
    </row>
    <row r="51" spans="1:20" ht="40.799999999999997" thickBot="1" x14ac:dyDescent="0.35">
      <c r="A51" s="16">
        <v>215.43</v>
      </c>
      <c r="B51" s="55">
        <f t="shared" si="0"/>
        <v>4</v>
      </c>
      <c r="C51" s="72" t="s">
        <v>167</v>
      </c>
      <c r="D51" s="12" t="str">
        <f t="shared" si="1"/>
        <v xml:space="preserve">                        Radwaste Building Walls</v>
      </c>
      <c r="E51" s="12" t="s">
        <v>346</v>
      </c>
      <c r="F51" s="12"/>
      <c r="G51" s="12"/>
      <c r="H51" s="60"/>
      <c r="I51" s="86">
        <f>721.21*1.53</f>
        <v>1103.4513000000002</v>
      </c>
      <c r="J51" s="57" t="s">
        <v>79</v>
      </c>
      <c r="K51" s="15" t="s">
        <v>173</v>
      </c>
      <c r="L51" s="57"/>
      <c r="M51" s="57" t="s">
        <v>81</v>
      </c>
      <c r="N51" s="57"/>
      <c r="O51" s="57">
        <v>2024</v>
      </c>
      <c r="P51" s="57" t="s">
        <v>77</v>
      </c>
      <c r="Q51" s="58"/>
      <c r="R51" s="58"/>
      <c r="S51" s="59"/>
      <c r="T51" s="102"/>
    </row>
    <row r="52" spans="1:20" ht="14.4" thickBot="1" x14ac:dyDescent="0.35">
      <c r="A52" s="13">
        <v>22</v>
      </c>
      <c r="B52" s="55">
        <f t="shared" si="0"/>
        <v>1</v>
      </c>
      <c r="C52" s="72" t="s">
        <v>10</v>
      </c>
      <c r="D52" s="12" t="str">
        <f t="shared" si="1"/>
        <v xml:space="preserve">      Reactor System</v>
      </c>
      <c r="E52" s="12"/>
      <c r="F52" s="12"/>
      <c r="G52" s="12"/>
      <c r="H52" s="60"/>
      <c r="I52" s="86"/>
      <c r="J52" s="56"/>
      <c r="K52" s="71"/>
      <c r="L52" s="102"/>
      <c r="M52" s="102"/>
      <c r="N52" s="102"/>
      <c r="O52" s="102"/>
      <c r="P52" s="102"/>
      <c r="Q52" s="71"/>
      <c r="R52" s="102"/>
      <c r="S52" s="102"/>
      <c r="T52" s="102"/>
    </row>
    <row r="53" spans="1:20" ht="14.4" thickBot="1" x14ac:dyDescent="0.35">
      <c r="A53" s="16">
        <v>221</v>
      </c>
      <c r="B53" s="55">
        <f t="shared" si="0"/>
        <v>2</v>
      </c>
      <c r="C53" s="72" t="s">
        <v>11</v>
      </c>
      <c r="D53" s="12" t="str">
        <f t="shared" si="1"/>
        <v xml:space="preserve">            Reactor Components</v>
      </c>
      <c r="E53" s="12"/>
      <c r="F53" s="12"/>
      <c r="G53" s="12"/>
      <c r="H53" s="60"/>
      <c r="I53" s="86"/>
      <c r="J53" s="56"/>
      <c r="K53" s="71"/>
      <c r="L53" s="102"/>
      <c r="M53" s="102"/>
      <c r="N53" s="102"/>
      <c r="O53" s="102"/>
      <c r="P53" s="102"/>
      <c r="Q53" s="71"/>
      <c r="R53" s="102"/>
      <c r="S53" s="102"/>
      <c r="T53" s="102"/>
    </row>
    <row r="54" spans="1:20" ht="30" customHeight="1" thickBot="1" x14ac:dyDescent="0.35">
      <c r="A54" s="16">
        <v>221.1</v>
      </c>
      <c r="B54" s="55">
        <f t="shared" si="0"/>
        <v>3</v>
      </c>
      <c r="C54" s="72" t="s">
        <v>128</v>
      </c>
      <c r="D54" s="12" t="str">
        <f t="shared" si="1"/>
        <v xml:space="preserve">                  Reactor Vessel and Accessories</v>
      </c>
      <c r="E54" s="12"/>
      <c r="F54" s="12"/>
      <c r="G54" s="12"/>
      <c r="H54" s="60"/>
      <c r="I54" s="91"/>
      <c r="J54" s="102"/>
      <c r="K54" s="71"/>
      <c r="L54" s="102"/>
      <c r="M54" s="102"/>
      <c r="N54" s="102"/>
      <c r="O54" s="102"/>
      <c r="P54" s="102"/>
      <c r="Q54" s="71"/>
      <c r="R54" s="102"/>
      <c r="S54" s="102"/>
      <c r="T54" s="102"/>
    </row>
    <row r="55" spans="1:20" ht="63" customHeight="1" thickBot="1" x14ac:dyDescent="0.35">
      <c r="A55" s="16">
        <v>221.11</v>
      </c>
      <c r="B55" s="55">
        <f t="shared" si="0"/>
        <v>4</v>
      </c>
      <c r="C55" s="72" t="s">
        <v>129</v>
      </c>
      <c r="D55" s="12" t="str">
        <f t="shared" si="1"/>
        <v xml:space="preserve">                        Reactor Support</v>
      </c>
      <c r="E55" s="12" t="s">
        <v>346</v>
      </c>
      <c r="F55" s="12"/>
      <c r="G55" s="12"/>
      <c r="H55" s="60"/>
      <c r="I55" s="92">
        <f>3171011/L55</f>
        <v>8.1938268733850137</v>
      </c>
      <c r="J55" s="102" t="s">
        <v>175</v>
      </c>
      <c r="K55" s="71" t="s">
        <v>330</v>
      </c>
      <c r="L55" s="102">
        <v>387000</v>
      </c>
      <c r="M55" s="102" t="s">
        <v>174</v>
      </c>
      <c r="N55" s="102">
        <v>0.85</v>
      </c>
      <c r="O55" s="102">
        <v>2018</v>
      </c>
      <c r="P55" s="102" t="s">
        <v>77</v>
      </c>
      <c r="Q55" s="71" t="s">
        <v>403</v>
      </c>
      <c r="R55" s="71"/>
      <c r="S55" s="72"/>
      <c r="T55" s="71" t="s">
        <v>179</v>
      </c>
    </row>
    <row r="56" spans="1:20" ht="30" customHeight="1" thickBot="1" x14ac:dyDescent="0.35">
      <c r="A56" s="16">
        <v>221.12</v>
      </c>
      <c r="B56" s="55">
        <f t="shared" si="0"/>
        <v>4</v>
      </c>
      <c r="C56" s="72" t="s">
        <v>130</v>
      </c>
      <c r="D56" s="12" t="str">
        <f t="shared" si="1"/>
        <v xml:space="preserve">                        Outer Vessel Structure</v>
      </c>
      <c r="E56" s="12" t="s">
        <v>346</v>
      </c>
      <c r="F56" s="12" t="s">
        <v>452</v>
      </c>
      <c r="G56" s="12" t="s">
        <v>454</v>
      </c>
      <c r="H56" s="60"/>
      <c r="I56" s="92">
        <v>324.08</v>
      </c>
      <c r="J56" s="102" t="s">
        <v>175</v>
      </c>
      <c r="K56" s="71" t="s">
        <v>181</v>
      </c>
      <c r="L56" s="108"/>
      <c r="M56" s="102"/>
      <c r="N56" s="102"/>
      <c r="O56" s="102">
        <v>2017</v>
      </c>
      <c r="P56" s="102" t="s">
        <v>77</v>
      </c>
      <c r="Q56" s="71" t="s">
        <v>404</v>
      </c>
      <c r="R56" s="78" t="s">
        <v>355</v>
      </c>
      <c r="S56" s="72"/>
      <c r="T56" s="102"/>
    </row>
    <row r="57" spans="1:20" ht="30" customHeight="1" thickBot="1" x14ac:dyDescent="0.35">
      <c r="A57" s="16">
        <v>221.12</v>
      </c>
      <c r="B57" s="55">
        <f t="shared" si="0"/>
        <v>4</v>
      </c>
      <c r="C57" s="72" t="s">
        <v>130</v>
      </c>
      <c r="D57" s="12" t="str">
        <f t="shared" si="1"/>
        <v xml:space="preserve">                        Outer Vessel Structure</v>
      </c>
      <c r="E57" s="12" t="s">
        <v>346</v>
      </c>
      <c r="F57" s="12" t="s">
        <v>452</v>
      </c>
      <c r="G57" s="12" t="s">
        <v>455</v>
      </c>
      <c r="H57" s="60"/>
      <c r="I57" s="92">
        <v>154.08000000000001</v>
      </c>
      <c r="J57" s="102" t="s">
        <v>175</v>
      </c>
      <c r="K57" s="71" t="s">
        <v>181</v>
      </c>
      <c r="L57" s="108"/>
      <c r="M57" s="102"/>
      <c r="N57" s="102"/>
      <c r="O57" s="102">
        <v>2017</v>
      </c>
      <c r="P57" s="102" t="s">
        <v>77</v>
      </c>
      <c r="Q57" s="71" t="s">
        <v>404</v>
      </c>
      <c r="R57" s="78"/>
      <c r="S57" s="72"/>
      <c r="T57" s="102"/>
    </row>
    <row r="58" spans="1:20" ht="30" customHeight="1" thickBot="1" x14ac:dyDescent="0.35">
      <c r="A58" s="16">
        <v>221.12</v>
      </c>
      <c r="B58" s="55">
        <f t="shared" ref="B58" si="2">IF(ISNUMBER(A58),
    IF(AND(A58=INT(A58), MOD(A58, 10) = 0), 0,
        IF(AND(A58=INT(A58), LEN(A58)=2), 1,
            IF(AND(A58=INT(A58), LEN(A58)=3), 2,
                LEN(A58) - FIND(".", A58) + 2)
        )
    ),
"")</f>
        <v>4</v>
      </c>
      <c r="C58" s="72" t="s">
        <v>130</v>
      </c>
      <c r="D58" s="12" t="str">
        <f t="shared" ref="D58" si="3">REPT("   ", B58*2) &amp; C58</f>
        <v xml:space="preserve">                        Outer Vessel Structure</v>
      </c>
      <c r="E58" s="12" t="s">
        <v>346</v>
      </c>
      <c r="F58" s="12" t="s">
        <v>452</v>
      </c>
      <c r="G58" s="12" t="s">
        <v>456</v>
      </c>
      <c r="H58" s="60"/>
      <c r="I58" s="92">
        <v>444.08</v>
      </c>
      <c r="J58" s="102" t="s">
        <v>175</v>
      </c>
      <c r="K58" s="71" t="s">
        <v>181</v>
      </c>
      <c r="L58" s="108"/>
      <c r="M58" s="102"/>
      <c r="N58" s="102"/>
      <c r="O58" s="102">
        <v>2017</v>
      </c>
      <c r="P58" s="102" t="s">
        <v>77</v>
      </c>
      <c r="Q58" s="71" t="s">
        <v>404</v>
      </c>
      <c r="R58" s="78"/>
      <c r="S58" s="72"/>
      <c r="T58" s="102"/>
    </row>
    <row r="59" spans="1:20" ht="30" customHeight="1" thickBot="1" x14ac:dyDescent="0.35">
      <c r="A59" s="16">
        <v>221.13</v>
      </c>
      <c r="B59" s="55">
        <f t="shared" si="0"/>
        <v>4</v>
      </c>
      <c r="C59" s="72" t="s">
        <v>131</v>
      </c>
      <c r="D59" s="12" t="str">
        <f t="shared" si="1"/>
        <v xml:space="preserve">                        Inner Vessel Structure</v>
      </c>
      <c r="E59" s="12" t="s">
        <v>346</v>
      </c>
      <c r="F59" s="12" t="s">
        <v>453</v>
      </c>
      <c r="G59" s="12" t="s">
        <v>454</v>
      </c>
      <c r="H59" s="60"/>
      <c r="I59" s="92">
        <v>324.08</v>
      </c>
      <c r="J59" s="102" t="s">
        <v>175</v>
      </c>
      <c r="K59" s="71" t="s">
        <v>178</v>
      </c>
      <c r="L59" s="102"/>
      <c r="M59" s="102"/>
      <c r="N59" s="102"/>
      <c r="O59" s="102">
        <v>2017</v>
      </c>
      <c r="P59" s="102" t="s">
        <v>77</v>
      </c>
      <c r="Q59" s="71" t="s">
        <v>404</v>
      </c>
      <c r="R59" s="78"/>
      <c r="S59" s="72"/>
      <c r="T59" s="71" t="s">
        <v>180</v>
      </c>
    </row>
    <row r="60" spans="1:20" ht="30" customHeight="1" thickBot="1" x14ac:dyDescent="0.35">
      <c r="A60" s="16">
        <v>221.13</v>
      </c>
      <c r="B60" s="55">
        <f t="shared" si="0"/>
        <v>4</v>
      </c>
      <c r="C60" s="72" t="s">
        <v>131</v>
      </c>
      <c r="D60" s="12" t="str">
        <f t="shared" si="1"/>
        <v xml:space="preserve">                        Inner Vessel Structure</v>
      </c>
      <c r="E60" s="12" t="s">
        <v>346</v>
      </c>
      <c r="F60" s="12" t="s">
        <v>453</v>
      </c>
      <c r="G60" s="12" t="s">
        <v>455</v>
      </c>
      <c r="H60" s="60"/>
      <c r="I60" s="92">
        <v>154.08000000000001</v>
      </c>
      <c r="J60" s="102" t="s">
        <v>175</v>
      </c>
      <c r="K60" s="71" t="s">
        <v>178</v>
      </c>
      <c r="L60" s="102"/>
      <c r="M60" s="102"/>
      <c r="N60" s="102"/>
      <c r="O60" s="102">
        <v>2017</v>
      </c>
      <c r="P60" s="102" t="s">
        <v>77</v>
      </c>
      <c r="Q60" s="71" t="s">
        <v>404</v>
      </c>
      <c r="R60" s="78"/>
      <c r="S60" s="72"/>
      <c r="T60" s="71"/>
    </row>
    <row r="61" spans="1:20" ht="30" customHeight="1" thickBot="1" x14ac:dyDescent="0.35">
      <c r="A61" s="16">
        <v>221.13</v>
      </c>
      <c r="B61" s="55">
        <f t="shared" ref="B61" si="4">IF(ISNUMBER(A61),
    IF(AND(A61=INT(A61), MOD(A61, 10) = 0), 0,
        IF(AND(A61=INT(A61), LEN(A61)=2), 1,
            IF(AND(A61=INT(A61), LEN(A61)=3), 2,
                LEN(A61) - FIND(".", A61) + 2)
        )
    ),
"")</f>
        <v>4</v>
      </c>
      <c r="C61" s="72" t="s">
        <v>131</v>
      </c>
      <c r="D61" s="12" t="str">
        <f t="shared" ref="D61" si="5">REPT("   ", B61*2) &amp; C61</f>
        <v xml:space="preserve">                        Inner Vessel Structure</v>
      </c>
      <c r="E61" s="12" t="s">
        <v>346</v>
      </c>
      <c r="F61" s="12" t="s">
        <v>453</v>
      </c>
      <c r="G61" s="12" t="s">
        <v>456</v>
      </c>
      <c r="H61" s="60"/>
      <c r="I61" s="92">
        <v>444.08</v>
      </c>
      <c r="J61" s="102" t="s">
        <v>175</v>
      </c>
      <c r="K61" s="71" t="s">
        <v>178</v>
      </c>
      <c r="L61" s="102"/>
      <c r="M61" s="102"/>
      <c r="N61" s="102"/>
      <c r="O61" s="102">
        <v>2017</v>
      </c>
      <c r="P61" s="102" t="s">
        <v>77</v>
      </c>
      <c r="Q61" s="71" t="s">
        <v>404</v>
      </c>
      <c r="R61" s="78"/>
      <c r="S61" s="72"/>
      <c r="T61" s="71"/>
    </row>
    <row r="62" spans="1:20" ht="30" customHeight="1" thickBot="1" x14ac:dyDescent="0.35">
      <c r="A62" s="16">
        <v>221.2</v>
      </c>
      <c r="B62" s="55">
        <f t="shared" si="0"/>
        <v>3</v>
      </c>
      <c r="C62" s="72" t="s">
        <v>132</v>
      </c>
      <c r="D62" s="12" t="str">
        <f t="shared" si="1"/>
        <v xml:space="preserve">                  Reactor Control Devices</v>
      </c>
      <c r="E62" s="12"/>
      <c r="F62" s="12"/>
      <c r="G62" s="12"/>
      <c r="H62" s="60"/>
      <c r="I62" s="92"/>
      <c r="J62" s="102"/>
      <c r="K62" s="71"/>
      <c r="L62" s="102"/>
      <c r="M62" s="102"/>
      <c r="N62" s="102"/>
      <c r="O62" s="102"/>
      <c r="P62" s="102"/>
      <c r="Q62" s="71"/>
      <c r="R62" s="102"/>
      <c r="S62" s="102"/>
      <c r="T62" s="102"/>
    </row>
    <row r="63" spans="1:20" ht="30" customHeight="1" thickBot="1" x14ac:dyDescent="0.35">
      <c r="A63" s="16">
        <v>221.21</v>
      </c>
      <c r="B63" s="55">
        <f t="shared" si="0"/>
        <v>4</v>
      </c>
      <c r="C63" s="72" t="s">
        <v>133</v>
      </c>
      <c r="D63" s="12" t="str">
        <f t="shared" si="1"/>
        <v xml:space="preserve">                        Reactivity Control System </v>
      </c>
      <c r="E63" s="12"/>
      <c r="F63" s="12"/>
      <c r="G63" s="12"/>
      <c r="H63" s="60"/>
      <c r="I63" s="92"/>
      <c r="J63" s="102"/>
      <c r="K63" s="71"/>
      <c r="L63" s="102"/>
      <c r="M63" s="102"/>
      <c r="N63" s="102"/>
      <c r="O63" s="102"/>
      <c r="P63" s="102"/>
      <c r="Q63" s="71"/>
      <c r="R63" s="102"/>
      <c r="S63" s="102"/>
      <c r="T63" s="102"/>
    </row>
    <row r="64" spans="1:20" s="44" customFormat="1" ht="36.6" thickBot="1" x14ac:dyDescent="0.3">
      <c r="A64" s="63">
        <v>221.21100000000001</v>
      </c>
      <c r="B64" s="64">
        <f t="shared" si="0"/>
        <v>5</v>
      </c>
      <c r="C64" s="109" t="s">
        <v>12</v>
      </c>
      <c r="D64" s="43" t="str">
        <f t="shared" si="1"/>
        <v xml:space="preserve">                              Reactivity Control System Fabrication</v>
      </c>
      <c r="E64" s="43" t="s">
        <v>346</v>
      </c>
      <c r="F64" s="43"/>
      <c r="G64" s="43"/>
      <c r="H64" s="88"/>
      <c r="I64" s="93">
        <f>MARVEL_Cost!C21/'Design Variables'!B21</f>
        <v>347890</v>
      </c>
      <c r="J64" s="106" t="s">
        <v>405</v>
      </c>
      <c r="K64" s="73" t="s">
        <v>406</v>
      </c>
      <c r="L64" s="106"/>
      <c r="M64" s="106"/>
      <c r="N64" s="106"/>
      <c r="O64" s="106">
        <v>2024</v>
      </c>
      <c r="P64" s="106" t="s">
        <v>77</v>
      </c>
      <c r="Q64" s="73" t="s">
        <v>176</v>
      </c>
      <c r="R64" s="110" t="s">
        <v>177</v>
      </c>
      <c r="S64" s="74" t="s">
        <v>463</v>
      </c>
      <c r="T64" s="73" t="s">
        <v>185</v>
      </c>
    </row>
    <row r="65" spans="1:20" s="44" customFormat="1" ht="12.6" thickBot="1" x14ac:dyDescent="0.3">
      <c r="A65" s="63">
        <v>221.21199999999999</v>
      </c>
      <c r="B65" s="64">
        <f t="shared" si="0"/>
        <v>5</v>
      </c>
      <c r="C65" s="109" t="s">
        <v>134</v>
      </c>
      <c r="D65" s="43" t="str">
        <f t="shared" si="1"/>
        <v xml:space="preserve">                              Installation</v>
      </c>
      <c r="E65" s="43" t="s">
        <v>346</v>
      </c>
      <c r="F65" s="43"/>
      <c r="G65" s="43"/>
      <c r="H65" s="88"/>
      <c r="I65" s="93">
        <f>MARVEL_Cost!C22/'Design Variables'!B21</f>
        <v>80665.75</v>
      </c>
      <c r="J65" s="106" t="s">
        <v>405</v>
      </c>
      <c r="K65" s="73" t="s">
        <v>406</v>
      </c>
      <c r="L65" s="106"/>
      <c r="M65" s="106"/>
      <c r="N65" s="106"/>
      <c r="O65" s="106">
        <v>2024</v>
      </c>
      <c r="P65" s="111" t="s">
        <v>85</v>
      </c>
      <c r="Q65" s="73" t="s">
        <v>176</v>
      </c>
      <c r="R65" s="110"/>
      <c r="S65" s="74"/>
      <c r="T65" s="106"/>
    </row>
    <row r="66" spans="1:20" s="44" customFormat="1" ht="30" customHeight="1" thickBot="1" x14ac:dyDescent="0.3">
      <c r="A66" s="63">
        <v>221.21299999999999</v>
      </c>
      <c r="B66" s="64">
        <f t="shared" si="0"/>
        <v>5</v>
      </c>
      <c r="C66" s="109" t="s">
        <v>182</v>
      </c>
      <c r="D66" s="43" t="str">
        <f>REPT("   ", B66*2) &amp; C66</f>
        <v xml:space="preserve">                              Control Drums Materials (Absorber)</v>
      </c>
      <c r="E66" s="43" t="s">
        <v>346</v>
      </c>
      <c r="F66" s="43" t="s">
        <v>329</v>
      </c>
      <c r="G66" s="43" t="s">
        <v>187</v>
      </c>
      <c r="H66" s="88"/>
      <c r="I66" s="93">
        <f>400000/L66</f>
        <v>14285.714285714286</v>
      </c>
      <c r="J66" s="106" t="s">
        <v>175</v>
      </c>
      <c r="K66" s="73" t="s">
        <v>186</v>
      </c>
      <c r="L66" s="106">
        <f>'Design Variables'!B28+'Design Variables'!B29</f>
        <v>28</v>
      </c>
      <c r="M66" s="106" t="s">
        <v>174</v>
      </c>
      <c r="N66" s="106">
        <v>1</v>
      </c>
      <c r="O66" s="106">
        <v>2024</v>
      </c>
      <c r="P66" s="106" t="s">
        <v>73</v>
      </c>
      <c r="Q66" s="73" t="s">
        <v>176</v>
      </c>
      <c r="R66" s="110"/>
      <c r="S66" s="74"/>
      <c r="T66" s="106"/>
    </row>
    <row r="67" spans="1:20" s="44" customFormat="1" ht="30" customHeight="1" thickBot="1" x14ac:dyDescent="0.3">
      <c r="A67" s="63">
        <v>221.21299999999999</v>
      </c>
      <c r="B67" s="64">
        <f t="shared" ref="B67" si="6">IF(ISNUMBER(A67),
    IF(AND(A67=INT(A67), MOD(A67, 10) = 0), 0,
        IF(AND(A67=INT(A67), LEN(A67)=2), 1,
            IF(AND(A67=INT(A67), LEN(A67)=3), 2,
                LEN(A67) - FIND(".", A67) + 2)
        )
    ),
"")</f>
        <v>5</v>
      </c>
      <c r="C67" s="109" t="s">
        <v>182</v>
      </c>
      <c r="D67" s="43" t="str">
        <f>REPT("   ", B67*2) &amp; C67</f>
        <v xml:space="preserve">                              Control Drums Materials (Absorber)</v>
      </c>
      <c r="E67" s="43" t="s">
        <v>346</v>
      </c>
      <c r="F67" s="43" t="s">
        <v>329</v>
      </c>
      <c r="G67" s="43" t="s">
        <v>446</v>
      </c>
      <c r="H67" s="88"/>
      <c r="I67" s="93">
        <v>10064</v>
      </c>
      <c r="J67" s="106" t="s">
        <v>175</v>
      </c>
      <c r="K67" s="73" t="s">
        <v>186</v>
      </c>
      <c r="L67" s="106"/>
      <c r="M67" s="106"/>
      <c r="N67" s="106"/>
      <c r="O67" s="106">
        <v>2023</v>
      </c>
      <c r="P67" s="106" t="s">
        <v>73</v>
      </c>
      <c r="Q67" s="73" t="s">
        <v>447</v>
      </c>
      <c r="R67" s="110"/>
      <c r="S67" s="74"/>
      <c r="T67" s="106"/>
    </row>
    <row r="68" spans="1:20" s="44" customFormat="1" ht="30" customHeight="1" thickBot="1" x14ac:dyDescent="0.3">
      <c r="A68" s="63">
        <v>221.214</v>
      </c>
      <c r="B68" s="64">
        <f t="shared" si="0"/>
        <v>5</v>
      </c>
      <c r="C68" s="109" t="s">
        <v>183</v>
      </c>
      <c r="D68" s="43" t="str">
        <f t="shared" si="1"/>
        <v xml:space="preserve">                              Control Drums Materials (Reflector)</v>
      </c>
      <c r="E68" s="43" t="s">
        <v>346</v>
      </c>
      <c r="F68" s="43" t="s">
        <v>328</v>
      </c>
      <c r="G68" s="43" t="s">
        <v>262</v>
      </c>
      <c r="H68" s="88"/>
      <c r="I68" s="112">
        <f>MARVEL_Cost!C27/L68</f>
        <v>10062.893081761007</v>
      </c>
      <c r="J68" s="106" t="s">
        <v>175</v>
      </c>
      <c r="K68" s="73" t="s">
        <v>184</v>
      </c>
      <c r="L68" s="106">
        <f>'Design Variables'!B17</f>
        <v>318</v>
      </c>
      <c r="M68" s="106" t="s">
        <v>174</v>
      </c>
      <c r="N68" s="106">
        <v>1</v>
      </c>
      <c r="O68" s="106">
        <v>2024</v>
      </c>
      <c r="P68" s="106" t="s">
        <v>73</v>
      </c>
      <c r="Q68" s="73" t="s">
        <v>176</v>
      </c>
      <c r="R68" s="110"/>
      <c r="S68" s="74"/>
      <c r="T68" s="106"/>
    </row>
    <row r="69" spans="1:20" s="44" customFormat="1" ht="30" customHeight="1" thickBot="1" x14ac:dyDescent="0.3">
      <c r="A69" s="63">
        <v>221.215</v>
      </c>
      <c r="B69" s="64">
        <f t="shared" si="0"/>
        <v>5</v>
      </c>
      <c r="C69" s="109" t="s">
        <v>409</v>
      </c>
      <c r="D69" s="43" t="str">
        <f t="shared" si="1"/>
        <v xml:space="preserve">                              Control System Drive Mechanism</v>
      </c>
      <c r="E69" s="43" t="s">
        <v>346</v>
      </c>
      <c r="F69" s="43"/>
      <c r="G69" s="43"/>
      <c r="H69" s="88"/>
      <c r="I69" s="92">
        <v>74759</v>
      </c>
      <c r="J69" s="106" t="s">
        <v>405</v>
      </c>
      <c r="K69" s="73" t="s">
        <v>406</v>
      </c>
      <c r="L69" s="106"/>
      <c r="M69" s="106"/>
      <c r="N69" s="106"/>
      <c r="O69" s="106">
        <v>2023</v>
      </c>
      <c r="P69" s="106" t="s">
        <v>77</v>
      </c>
      <c r="Q69" s="73" t="s">
        <v>447</v>
      </c>
      <c r="R69" s="113" t="s">
        <v>407</v>
      </c>
      <c r="S69" s="75"/>
      <c r="T69" s="106" t="s">
        <v>408</v>
      </c>
    </row>
    <row r="70" spans="1:20" ht="14.4" thickBot="1" x14ac:dyDescent="0.35">
      <c r="A70" s="16">
        <v>221.3</v>
      </c>
      <c r="B70" s="55">
        <f t="shared" si="0"/>
        <v>3</v>
      </c>
      <c r="C70" s="72" t="s">
        <v>135</v>
      </c>
      <c r="D70" s="12" t="str">
        <f t="shared" si="1"/>
        <v xml:space="preserve">                  Non-Fuel Core Internals</v>
      </c>
      <c r="E70" s="12" t="s">
        <v>346</v>
      </c>
      <c r="F70" s="12"/>
      <c r="G70" s="12"/>
      <c r="H70" s="60"/>
      <c r="I70" s="92"/>
      <c r="J70" s="102"/>
      <c r="K70" s="102"/>
      <c r="L70" s="102"/>
      <c r="M70" s="102"/>
      <c r="N70" s="102"/>
      <c r="O70" s="102"/>
      <c r="P70" s="102"/>
      <c r="Q70" s="71"/>
      <c r="R70" s="102"/>
      <c r="S70" s="102"/>
      <c r="T70" s="102"/>
    </row>
    <row r="71" spans="1:20" ht="14.4" customHeight="1" thickBot="1" x14ac:dyDescent="0.35">
      <c r="A71" s="16">
        <v>221.31</v>
      </c>
      <c r="B71" s="55">
        <f t="shared" si="0"/>
        <v>4</v>
      </c>
      <c r="C71" s="72" t="s">
        <v>13</v>
      </c>
      <c r="D71" s="12" t="str">
        <f t="shared" si="1"/>
        <v xml:space="preserve">                        Reflector</v>
      </c>
      <c r="E71" s="12" t="s">
        <v>346</v>
      </c>
      <c r="F71" s="12" t="s">
        <v>13</v>
      </c>
      <c r="G71" s="12" t="s">
        <v>262</v>
      </c>
      <c r="H71" s="60">
        <f>MARVEL_Cost!C29</f>
        <v>120231</v>
      </c>
      <c r="I71" s="114">
        <f>MARVEL_Cost!C27/L71</f>
        <v>10062.893081761007</v>
      </c>
      <c r="J71" s="102" t="s">
        <v>175</v>
      </c>
      <c r="K71" s="71" t="s">
        <v>331</v>
      </c>
      <c r="L71" s="102">
        <f>'Design Variables'!B17</f>
        <v>318</v>
      </c>
      <c r="M71" s="102" t="s">
        <v>174</v>
      </c>
      <c r="N71" s="102">
        <v>1</v>
      </c>
      <c r="O71" s="102">
        <v>2024</v>
      </c>
      <c r="P71" s="102" t="s">
        <v>73</v>
      </c>
      <c r="Q71" s="71" t="s">
        <v>176</v>
      </c>
      <c r="R71" s="71" t="s">
        <v>177</v>
      </c>
      <c r="S71" s="76" t="s">
        <v>464</v>
      </c>
      <c r="T71" s="102"/>
    </row>
    <row r="72" spans="1:20" ht="54" thickBot="1" x14ac:dyDescent="0.35">
      <c r="A72" s="16">
        <v>221.31</v>
      </c>
      <c r="B72" s="55">
        <f t="shared" ref="B72" si="7">IF(ISNUMBER(A72),
    IF(AND(A72=INT(A72), MOD(A72, 10) = 0), 0,
        IF(AND(A72=INT(A72), LEN(A72)=2), 1,
            IF(AND(A72=INT(A72), LEN(A72)=3), 2,
                LEN(A72) - FIND(".", A72) + 2)
        )
    ),
"")</f>
        <v>4</v>
      </c>
      <c r="C72" s="72" t="s">
        <v>13</v>
      </c>
      <c r="D72" s="12" t="str">
        <f t="shared" si="1"/>
        <v xml:space="preserve">                        Reflector</v>
      </c>
      <c r="E72" s="12" t="s">
        <v>346</v>
      </c>
      <c r="F72" s="12" t="s">
        <v>13</v>
      </c>
      <c r="G72" s="12" t="s">
        <v>338</v>
      </c>
      <c r="H72" s="60"/>
      <c r="I72" s="114">
        <v>80</v>
      </c>
      <c r="J72" s="102" t="s">
        <v>175</v>
      </c>
      <c r="K72" s="71" t="s">
        <v>331</v>
      </c>
      <c r="L72" s="102"/>
      <c r="M72" s="102"/>
      <c r="N72" s="102"/>
      <c r="O72" s="102">
        <v>2022</v>
      </c>
      <c r="P72" s="102" t="s">
        <v>73</v>
      </c>
      <c r="Q72" s="71" t="s">
        <v>410</v>
      </c>
      <c r="R72" s="71" t="s">
        <v>411</v>
      </c>
      <c r="S72" s="76"/>
      <c r="T72" s="102"/>
    </row>
    <row r="73" spans="1:20" ht="14.4" thickBot="1" x14ac:dyDescent="0.35">
      <c r="A73" s="16">
        <v>221.31</v>
      </c>
      <c r="B73" s="55">
        <f t="shared" ref="B73" si="8">IF(ISNUMBER(A73),
    IF(AND(A73=INT(A73), MOD(A73, 10) = 0), 0,
        IF(AND(A73=INT(A73), LEN(A73)=2), 1,
            IF(AND(A73=INT(A73), LEN(A73)=3), 2,
                LEN(A73) - FIND(".", A73) + 2)
        )
    ),
"")</f>
        <v>4</v>
      </c>
      <c r="C73" s="72" t="s">
        <v>13</v>
      </c>
      <c r="D73" s="12" t="str">
        <f t="shared" ref="D73" si="9">REPT("   ", B73*2) &amp; C73</f>
        <v xml:space="preserve">                        Reflector</v>
      </c>
      <c r="E73" s="12" t="s">
        <v>346</v>
      </c>
      <c r="F73" s="12" t="s">
        <v>13</v>
      </c>
      <c r="G73" s="12" t="s">
        <v>412</v>
      </c>
      <c r="H73" s="60"/>
      <c r="I73" s="114">
        <v>134.1</v>
      </c>
      <c r="J73" s="102" t="s">
        <v>175</v>
      </c>
      <c r="K73" s="71" t="s">
        <v>331</v>
      </c>
      <c r="L73" s="102"/>
      <c r="M73" s="102"/>
      <c r="N73" s="102"/>
      <c r="O73" s="102">
        <v>2017</v>
      </c>
      <c r="P73" s="102" t="s">
        <v>73</v>
      </c>
      <c r="Q73" s="71" t="s">
        <v>414</v>
      </c>
      <c r="R73" s="71"/>
      <c r="S73" s="76"/>
      <c r="T73" s="102"/>
    </row>
    <row r="74" spans="1:20" ht="14.4" thickBot="1" x14ac:dyDescent="0.35">
      <c r="A74" s="16">
        <v>221.32</v>
      </c>
      <c r="B74" s="55">
        <f t="shared" si="0"/>
        <v>4</v>
      </c>
      <c r="C74" s="72" t="s">
        <v>14</v>
      </c>
      <c r="D74" s="12" t="str">
        <f t="shared" si="1"/>
        <v xml:space="preserve">                        Shield</v>
      </c>
      <c r="E74" s="12"/>
      <c r="F74" s="12"/>
      <c r="G74" s="12"/>
      <c r="H74" s="60"/>
      <c r="I74" s="92"/>
      <c r="J74" s="102"/>
      <c r="K74" s="71"/>
      <c r="L74" s="102"/>
      <c r="M74" s="102"/>
      <c r="N74" s="102"/>
      <c r="O74" s="102"/>
      <c r="P74" s="102"/>
      <c r="Q74" s="71"/>
      <c r="R74" s="71"/>
      <c r="S74" s="76"/>
      <c r="T74" s="102"/>
    </row>
    <row r="75" spans="1:20" s="44" customFormat="1" ht="30" customHeight="1" thickBot="1" x14ac:dyDescent="0.3">
      <c r="A75" s="63">
        <v>221.321</v>
      </c>
      <c r="B75" s="64">
        <f t="shared" si="0"/>
        <v>5</v>
      </c>
      <c r="C75" s="109" t="s">
        <v>136</v>
      </c>
      <c r="D75" s="43" t="str">
        <f t="shared" si="1"/>
        <v xml:space="preserve">                              In Vessel Shield Materials</v>
      </c>
      <c r="E75" s="43" t="s">
        <v>346</v>
      </c>
      <c r="F75" s="43" t="s">
        <v>332</v>
      </c>
      <c r="G75" s="43" t="s">
        <v>187</v>
      </c>
      <c r="H75" s="88">
        <f>MARVEL_Cost!C30</f>
        <v>647990.6</v>
      </c>
      <c r="I75" s="93">
        <f>I66</f>
        <v>14285.714285714286</v>
      </c>
      <c r="J75" s="106" t="s">
        <v>175</v>
      </c>
      <c r="K75" s="73" t="s">
        <v>335</v>
      </c>
      <c r="L75" s="106">
        <f>L66</f>
        <v>28</v>
      </c>
      <c r="M75" s="106" t="s">
        <v>174</v>
      </c>
      <c r="N75" s="106">
        <v>1</v>
      </c>
      <c r="O75" s="106">
        <v>2024</v>
      </c>
      <c r="P75" s="106" t="s">
        <v>73</v>
      </c>
      <c r="Q75" s="73" t="s">
        <v>176</v>
      </c>
      <c r="R75" s="71"/>
      <c r="S75" s="76"/>
      <c r="T75" s="106"/>
    </row>
    <row r="76" spans="1:20" s="44" customFormat="1" ht="30" customHeight="1" thickBot="1" x14ac:dyDescent="0.3">
      <c r="A76" s="63">
        <v>221.322</v>
      </c>
      <c r="B76" s="64">
        <f t="shared" si="0"/>
        <v>5</v>
      </c>
      <c r="C76" s="109" t="s">
        <v>137</v>
      </c>
      <c r="D76" s="43" t="str">
        <f t="shared" si="1"/>
        <v xml:space="preserve">                              Out The Vessel Shield Materials</v>
      </c>
      <c r="E76" s="43" t="s">
        <v>346</v>
      </c>
      <c r="F76" s="43" t="s">
        <v>333</v>
      </c>
      <c r="G76" s="43" t="s">
        <v>334</v>
      </c>
      <c r="H76" s="88"/>
      <c r="I76" s="93">
        <v>20</v>
      </c>
      <c r="J76" s="106" t="s">
        <v>175</v>
      </c>
      <c r="K76" s="73" t="s">
        <v>336</v>
      </c>
      <c r="L76" s="106">
        <f>'Design Variables'!B43</f>
        <v>925.3</v>
      </c>
      <c r="M76" s="106" t="s">
        <v>174</v>
      </c>
      <c r="N76" s="106">
        <v>1</v>
      </c>
      <c r="O76" s="106">
        <v>2024</v>
      </c>
      <c r="P76" s="106" t="s">
        <v>73</v>
      </c>
      <c r="Q76" s="73" t="s">
        <v>176</v>
      </c>
      <c r="R76" s="71"/>
      <c r="S76" s="76"/>
      <c r="T76" s="106"/>
    </row>
    <row r="77" spans="1:20" ht="69" customHeight="1" thickBot="1" x14ac:dyDescent="0.35">
      <c r="A77" s="16">
        <v>221.33</v>
      </c>
      <c r="B77" s="55">
        <f t="shared" si="0"/>
        <v>4</v>
      </c>
      <c r="C77" s="72" t="s">
        <v>460</v>
      </c>
      <c r="D77" s="12" t="str">
        <f>REPT("   ", B78*2) &amp; C77</f>
        <v xml:space="preserve">                        Moderator (Booster)</v>
      </c>
      <c r="E77" s="12" t="s">
        <v>346</v>
      </c>
      <c r="F77" s="12" t="s">
        <v>457</v>
      </c>
      <c r="G77" s="12" t="s">
        <v>337</v>
      </c>
      <c r="H77" s="60"/>
      <c r="I77" s="92">
        <v>1520</v>
      </c>
      <c r="J77" s="102" t="s">
        <v>175</v>
      </c>
      <c r="K77" s="71" t="s">
        <v>458</v>
      </c>
      <c r="L77" s="102"/>
      <c r="M77" s="102" t="s">
        <v>174</v>
      </c>
      <c r="N77" s="102"/>
      <c r="O77" s="102">
        <v>2017</v>
      </c>
      <c r="P77" s="102" t="s">
        <v>73</v>
      </c>
      <c r="Q77" s="71" t="s">
        <v>340</v>
      </c>
      <c r="R77" s="81" t="s">
        <v>341</v>
      </c>
      <c r="S77" s="77"/>
      <c r="T77" s="102"/>
    </row>
    <row r="78" spans="1:20" ht="30" customHeight="1" thickBot="1" x14ac:dyDescent="0.35">
      <c r="A78" s="16">
        <v>221.33</v>
      </c>
      <c r="B78" s="55">
        <f t="shared" si="0"/>
        <v>4</v>
      </c>
      <c r="C78" s="72" t="s">
        <v>200</v>
      </c>
      <c r="D78" s="12" t="str">
        <f>REPT("   ", B79*2) &amp; C78</f>
        <v xml:space="preserve">            Moderator</v>
      </c>
      <c r="E78" s="12" t="s">
        <v>346</v>
      </c>
      <c r="F78" s="12" t="s">
        <v>200</v>
      </c>
      <c r="G78" s="12" t="s">
        <v>338</v>
      </c>
      <c r="H78" s="60"/>
      <c r="I78" s="92">
        <v>80</v>
      </c>
      <c r="J78" s="102" t="s">
        <v>175</v>
      </c>
      <c r="K78" s="71" t="s">
        <v>339</v>
      </c>
      <c r="L78" s="102"/>
      <c r="M78" s="102" t="s">
        <v>174</v>
      </c>
      <c r="N78" s="102"/>
      <c r="O78" s="102">
        <v>2022</v>
      </c>
      <c r="P78" s="102" t="s">
        <v>73</v>
      </c>
      <c r="Q78" s="71" t="s">
        <v>410</v>
      </c>
      <c r="R78" s="81" t="s">
        <v>411</v>
      </c>
      <c r="S78" s="77"/>
      <c r="T78" s="102"/>
    </row>
    <row r="79" spans="1:20" ht="30" customHeight="1" thickBot="1" x14ac:dyDescent="0.35">
      <c r="A79" s="16">
        <v>222</v>
      </c>
      <c r="B79" s="55">
        <f t="shared" si="0"/>
        <v>2</v>
      </c>
      <c r="C79" s="72" t="s">
        <v>15</v>
      </c>
      <c r="D79" s="12" t="str">
        <f t="shared" si="1"/>
        <v xml:space="preserve">            Main Heat Transport System</v>
      </c>
      <c r="E79" s="12"/>
      <c r="F79" s="12"/>
      <c r="G79" s="12"/>
      <c r="H79" s="60"/>
      <c r="I79" s="92"/>
      <c r="J79" s="102"/>
      <c r="K79" s="71"/>
      <c r="L79" s="102"/>
      <c r="M79" s="102"/>
      <c r="N79" s="102"/>
      <c r="O79" s="102"/>
      <c r="P79" s="102"/>
      <c r="Q79" s="71"/>
      <c r="R79" s="81"/>
      <c r="S79" s="102"/>
      <c r="T79" s="102"/>
    </row>
    <row r="80" spans="1:20" ht="14.4" thickBot="1" x14ac:dyDescent="0.35">
      <c r="A80" s="16">
        <v>222.1</v>
      </c>
      <c r="B80" s="55">
        <f t="shared" ref="B80:B85" si="10">IF(ISNUMBER(A80),
    IF(AND(A80=INT(A80), MOD(A80, 10) = 0), 0,
        IF(AND(A80=INT(A80), LEN(A80)=2), 1,
            IF(AND(A80=INT(A80), LEN(A80)=3), 2,
                LEN(A80) - FIND(".", A80) + 2)
        )
    ),
"")</f>
        <v>3</v>
      </c>
      <c r="C80" s="72" t="s">
        <v>357</v>
      </c>
      <c r="D80" s="12" t="str">
        <f t="shared" si="1"/>
        <v xml:space="preserve">                  Fluid Circulation Drive System</v>
      </c>
      <c r="E80" s="12"/>
      <c r="F80" s="12"/>
      <c r="G80" s="12"/>
      <c r="H80" s="60"/>
      <c r="I80" s="94"/>
      <c r="J80" s="102"/>
      <c r="K80" s="71"/>
      <c r="L80" s="102"/>
      <c r="M80" s="102"/>
      <c r="N80" s="102"/>
      <c r="O80" s="102"/>
      <c r="P80" s="102"/>
      <c r="Q80" s="71"/>
      <c r="R80" s="102"/>
      <c r="S80" s="102"/>
      <c r="T80" s="102"/>
    </row>
    <row r="81" spans="1:20" ht="61.05" customHeight="1" thickBot="1" x14ac:dyDescent="0.35">
      <c r="A81" s="14">
        <v>222.11</v>
      </c>
      <c r="B81" s="55">
        <f t="shared" si="10"/>
        <v>4</v>
      </c>
      <c r="C81" s="72" t="s">
        <v>353</v>
      </c>
      <c r="D81" s="12" t="str">
        <f>REPT("   ", B81*2) &amp; C81</f>
        <v xml:space="preserve">                        Primary Pump</v>
      </c>
      <c r="E81" s="12" t="s">
        <v>347</v>
      </c>
      <c r="F81" s="12" t="s">
        <v>353</v>
      </c>
      <c r="G81" s="12" t="s">
        <v>360</v>
      </c>
      <c r="H81" s="60"/>
      <c r="I81" s="92">
        <f>12.5*705.48</f>
        <v>8818.5</v>
      </c>
      <c r="J81" s="102" t="s">
        <v>350</v>
      </c>
      <c r="K81" s="71" t="s">
        <v>342</v>
      </c>
      <c r="L81" s="102"/>
      <c r="M81" s="102"/>
      <c r="N81" s="102">
        <v>0.71</v>
      </c>
      <c r="O81" s="102">
        <v>2003</v>
      </c>
      <c r="P81" s="102" t="s">
        <v>77</v>
      </c>
      <c r="Q81" s="71" t="s">
        <v>348</v>
      </c>
      <c r="R81" s="78" t="s">
        <v>465</v>
      </c>
      <c r="S81" s="79" t="s">
        <v>349</v>
      </c>
      <c r="T81" s="78"/>
    </row>
    <row r="82" spans="1:20" ht="27.6" thickBot="1" x14ac:dyDescent="0.35">
      <c r="A82" s="14">
        <v>222.12</v>
      </c>
      <c r="B82" s="55">
        <f t="shared" si="10"/>
        <v>4</v>
      </c>
      <c r="C82" s="72" t="s">
        <v>352</v>
      </c>
      <c r="D82" s="12" t="str">
        <f t="shared" si="1"/>
        <v xml:space="preserve">                        Secondary Pump</v>
      </c>
      <c r="E82" s="12" t="s">
        <v>347</v>
      </c>
      <c r="F82" s="12" t="s">
        <v>352</v>
      </c>
      <c r="G82" s="12" t="s">
        <v>360</v>
      </c>
      <c r="H82" s="60"/>
      <c r="I82" s="92">
        <v>705.48</v>
      </c>
      <c r="J82" s="102" t="s">
        <v>350</v>
      </c>
      <c r="K82" s="71" t="s">
        <v>343</v>
      </c>
      <c r="L82" s="102"/>
      <c r="M82" s="102"/>
      <c r="N82" s="102">
        <v>0.71</v>
      </c>
      <c r="O82" s="102">
        <v>2003</v>
      </c>
      <c r="P82" s="102" t="s">
        <v>77</v>
      </c>
      <c r="Q82" s="71" t="s">
        <v>344</v>
      </c>
      <c r="R82" s="78"/>
      <c r="S82" s="80"/>
      <c r="T82" s="78"/>
    </row>
    <row r="83" spans="1:20" ht="54" thickBot="1" x14ac:dyDescent="0.35">
      <c r="A83" s="14">
        <v>222.13</v>
      </c>
      <c r="B83" s="55">
        <f t="shared" si="10"/>
        <v>4</v>
      </c>
      <c r="C83" s="72" t="s">
        <v>358</v>
      </c>
      <c r="D83" s="12" t="str">
        <f t="shared" ref="D83" si="11">REPT("   ", B83*2) &amp; C83</f>
        <v xml:space="preserve">                        Compressor</v>
      </c>
      <c r="E83" s="12" t="s">
        <v>347</v>
      </c>
      <c r="F83" s="12"/>
      <c r="G83" s="12"/>
      <c r="H83" s="60"/>
      <c r="I83" s="92">
        <v>7100000</v>
      </c>
      <c r="J83" s="102" t="s">
        <v>420</v>
      </c>
      <c r="K83" s="71"/>
      <c r="L83" s="102"/>
      <c r="M83" s="102"/>
      <c r="N83" s="102"/>
      <c r="O83" s="102">
        <v>2020</v>
      </c>
      <c r="P83" s="102" t="s">
        <v>77</v>
      </c>
      <c r="Q83" s="71" t="s">
        <v>413</v>
      </c>
      <c r="R83" s="81" t="s">
        <v>416</v>
      </c>
      <c r="S83" s="82"/>
      <c r="T83" s="81" t="s">
        <v>415</v>
      </c>
    </row>
    <row r="84" spans="1:20" ht="30" customHeight="1" thickBot="1" x14ac:dyDescent="0.35">
      <c r="A84" s="16">
        <v>222.2</v>
      </c>
      <c r="B84" s="55">
        <f t="shared" si="10"/>
        <v>3</v>
      </c>
      <c r="C84" s="72" t="s">
        <v>16</v>
      </c>
      <c r="D84" s="12" t="str">
        <f t="shared" si="1"/>
        <v xml:space="preserve">                  Reactor Heat Transfer Piping System</v>
      </c>
      <c r="E84" s="12" t="s">
        <v>346</v>
      </c>
      <c r="F84" s="12"/>
      <c r="G84" s="12"/>
      <c r="H84" s="60"/>
      <c r="I84" s="92">
        <v>20000</v>
      </c>
      <c r="J84" s="102" t="s">
        <v>67</v>
      </c>
      <c r="K84" s="57" t="s">
        <v>71</v>
      </c>
      <c r="L84" s="102"/>
      <c r="M84" s="102"/>
      <c r="N84" s="102"/>
      <c r="O84" s="102">
        <v>2017</v>
      </c>
      <c r="P84" s="102" t="s">
        <v>74</v>
      </c>
      <c r="Q84" s="71" t="s">
        <v>354</v>
      </c>
      <c r="R84" s="71" t="s">
        <v>355</v>
      </c>
      <c r="S84" s="102"/>
      <c r="T84" s="102"/>
    </row>
    <row r="85" spans="1:20" ht="14.4" thickBot="1" x14ac:dyDescent="0.35">
      <c r="A85" s="16">
        <v>222.3</v>
      </c>
      <c r="B85" s="55">
        <f t="shared" si="10"/>
        <v>3</v>
      </c>
      <c r="C85" s="72" t="s">
        <v>17</v>
      </c>
      <c r="D85" s="12" t="str">
        <f t="shared" si="1"/>
        <v xml:space="preserve">                  Heat Exchangers</v>
      </c>
      <c r="E85" s="12"/>
      <c r="F85" s="12"/>
      <c r="G85" s="12"/>
      <c r="H85" s="60"/>
      <c r="I85" s="92"/>
      <c r="J85" s="102"/>
      <c r="K85" s="71"/>
      <c r="L85" s="102"/>
      <c r="M85" s="102"/>
      <c r="N85" s="102"/>
      <c r="O85" s="102"/>
      <c r="P85" s="102"/>
      <c r="Q85" s="71"/>
      <c r="R85" s="102"/>
      <c r="S85" s="102"/>
      <c r="T85" s="102"/>
    </row>
    <row r="86" spans="1:20" ht="30" customHeight="1" thickBot="1" x14ac:dyDescent="0.35">
      <c r="A86" s="16">
        <v>222.31</v>
      </c>
      <c r="B86" s="55">
        <f t="shared" ref="B86" si="12">IF(ISNUMBER(A86),
    IF(AND(A86=INT(A86), MOD(A86, 10) = 0), 0,
        IF(AND(A86=INT(A86), LEN(A86)=2), 1,
            IF(AND(A86=INT(A86), LEN(A86)=3), 2,
                LEN(A86) - FIND(".", A86) + 2)
        )
    ),
"")</f>
        <v>4</v>
      </c>
      <c r="C86" s="72" t="s">
        <v>361</v>
      </c>
      <c r="D86" s="12" t="str">
        <f t="shared" ref="D86" si="13">REPT("   ", B86*2) &amp; C86</f>
        <v xml:space="preserve">                        Primary Heat Exchanger</v>
      </c>
      <c r="E86" s="12" t="s">
        <v>346</v>
      </c>
      <c r="F86" s="12" t="s">
        <v>418</v>
      </c>
      <c r="G86" s="12" t="s">
        <v>417</v>
      </c>
      <c r="H86" s="60"/>
      <c r="I86" s="92">
        <v>50</v>
      </c>
      <c r="J86" s="102" t="s">
        <v>175</v>
      </c>
      <c r="K86" s="71" t="s">
        <v>362</v>
      </c>
      <c r="L86" s="102"/>
      <c r="M86" s="102" t="s">
        <v>174</v>
      </c>
      <c r="N86" s="102"/>
      <c r="O86" s="102">
        <v>2004</v>
      </c>
      <c r="P86" s="102" t="s">
        <v>74</v>
      </c>
      <c r="Q86" s="71" t="s">
        <v>364</v>
      </c>
      <c r="R86" s="81" t="s">
        <v>365</v>
      </c>
      <c r="S86" s="102"/>
      <c r="T86" s="102"/>
    </row>
    <row r="87" spans="1:20" ht="30" customHeight="1" thickBot="1" x14ac:dyDescent="0.35">
      <c r="A87" s="16">
        <v>222.31</v>
      </c>
      <c r="B87" s="55">
        <f t="shared" ref="B87" si="14">IF(ISNUMBER(A87),
    IF(AND(A87=INT(A87), MOD(A87, 10) = 0), 0,
        IF(AND(A87=INT(A87), LEN(A87)=2), 1,
            IF(AND(A87=INT(A87), LEN(A87)=3), 2,
                LEN(A87) - FIND(".", A87) + 2)
        )
    ),
"")</f>
        <v>4</v>
      </c>
      <c r="C87" s="72" t="s">
        <v>361</v>
      </c>
      <c r="D87" s="12" t="str">
        <f t="shared" ref="D87" si="15">REPT("   ", B87*2) &amp; C87</f>
        <v xml:space="preserve">                        Primary Heat Exchanger</v>
      </c>
      <c r="E87" s="12" t="s">
        <v>346</v>
      </c>
      <c r="F87" s="12" t="s">
        <v>418</v>
      </c>
      <c r="G87" s="12" t="s">
        <v>419</v>
      </c>
      <c r="H87" s="60"/>
      <c r="I87" s="92">
        <v>120</v>
      </c>
      <c r="J87" s="102" t="s">
        <v>175</v>
      </c>
      <c r="K87" s="71" t="s">
        <v>362</v>
      </c>
      <c r="L87" s="102"/>
      <c r="M87" s="102" t="s">
        <v>174</v>
      </c>
      <c r="N87" s="102"/>
      <c r="O87" s="102">
        <v>2013</v>
      </c>
      <c r="P87" s="102" t="s">
        <v>74</v>
      </c>
      <c r="Q87" s="71" t="s">
        <v>364</v>
      </c>
      <c r="R87" s="81" t="s">
        <v>366</v>
      </c>
      <c r="S87" s="102"/>
      <c r="T87" s="102"/>
    </row>
    <row r="88" spans="1:20" ht="30" customHeight="1" thickBot="1" x14ac:dyDescent="0.35">
      <c r="A88" s="16">
        <v>222.32</v>
      </c>
      <c r="B88" s="55">
        <f t="shared" ref="B88" si="16">IF(ISNUMBER(A88),
    IF(AND(A88=INT(A88), MOD(A88, 10) = 0), 0,
        IF(AND(A88=INT(A88), LEN(A88)=2), 1,
            IF(AND(A88=INT(A88), LEN(A88)=3), 2,
                LEN(A88) - FIND(".", A88) + 2)
        )
    ),
"")</f>
        <v>4</v>
      </c>
      <c r="C88" s="72" t="s">
        <v>18</v>
      </c>
      <c r="D88" s="12" t="str">
        <f t="shared" ref="D88" si="17">REPT("   ", B88*2) &amp; C88</f>
        <v xml:space="preserve">                        Secondary Heat Exchanger</v>
      </c>
      <c r="E88" s="12" t="s">
        <v>346</v>
      </c>
      <c r="F88" s="12" t="s">
        <v>418</v>
      </c>
      <c r="G88" s="12" t="s">
        <v>417</v>
      </c>
      <c r="H88" s="60"/>
      <c r="I88" s="92">
        <v>50</v>
      </c>
      <c r="J88" s="102" t="s">
        <v>175</v>
      </c>
      <c r="K88" s="71" t="s">
        <v>363</v>
      </c>
      <c r="L88" s="102"/>
      <c r="M88" s="102" t="s">
        <v>174</v>
      </c>
      <c r="N88" s="102"/>
      <c r="O88" s="102">
        <v>2004</v>
      </c>
      <c r="P88" s="102" t="s">
        <v>74</v>
      </c>
      <c r="Q88" s="71" t="s">
        <v>364</v>
      </c>
      <c r="R88" s="81" t="s">
        <v>365</v>
      </c>
      <c r="S88" s="102"/>
      <c r="T88" s="102"/>
    </row>
    <row r="89" spans="1:20" ht="30" customHeight="1" thickBot="1" x14ac:dyDescent="0.35">
      <c r="A89" s="16">
        <v>222.32</v>
      </c>
      <c r="B89" s="55">
        <f t="shared" ref="B89" si="18">IF(ISNUMBER(A89),
    IF(AND(A89=INT(A89), MOD(A89, 10) = 0), 0,
        IF(AND(A89=INT(A89), LEN(A89)=2), 1,
            IF(AND(A89=INT(A89), LEN(A89)=3), 2,
                LEN(A89) - FIND(".", A89) + 2)
        )
    ),
"")</f>
        <v>4</v>
      </c>
      <c r="C89" s="72" t="s">
        <v>18</v>
      </c>
      <c r="D89" s="12" t="str">
        <f t="shared" ref="D89" si="19">REPT("   ", B89*2) &amp; C89</f>
        <v xml:space="preserve">                        Secondary Heat Exchanger</v>
      </c>
      <c r="E89" s="12" t="s">
        <v>346</v>
      </c>
      <c r="F89" s="12" t="s">
        <v>418</v>
      </c>
      <c r="G89" s="12" t="s">
        <v>419</v>
      </c>
      <c r="H89" s="60"/>
      <c r="I89" s="92">
        <v>120</v>
      </c>
      <c r="J89" s="102" t="s">
        <v>175</v>
      </c>
      <c r="K89" s="71" t="s">
        <v>363</v>
      </c>
      <c r="L89" s="102"/>
      <c r="M89" s="102" t="s">
        <v>174</v>
      </c>
      <c r="N89" s="102"/>
      <c r="O89" s="102">
        <v>2013</v>
      </c>
      <c r="P89" s="102" t="s">
        <v>74</v>
      </c>
      <c r="Q89" s="71" t="s">
        <v>364</v>
      </c>
      <c r="R89" s="81" t="s">
        <v>366</v>
      </c>
      <c r="S89" s="102"/>
      <c r="T89" s="102"/>
    </row>
    <row r="90" spans="1:20" ht="14.4" thickBot="1" x14ac:dyDescent="0.35">
      <c r="A90" s="16">
        <v>223</v>
      </c>
      <c r="B90" s="55">
        <f t="shared" si="0"/>
        <v>2</v>
      </c>
      <c r="C90" s="72" t="s">
        <v>19</v>
      </c>
      <c r="D90" s="12" t="str">
        <f t="shared" si="1"/>
        <v xml:space="preserve">            Safety Systems</v>
      </c>
      <c r="E90" s="12"/>
      <c r="F90" s="12"/>
      <c r="G90" s="12"/>
      <c r="H90" s="60"/>
      <c r="I90" s="92"/>
      <c r="J90" s="102"/>
      <c r="K90" s="71"/>
      <c r="L90" s="102"/>
      <c r="M90" s="102"/>
      <c r="N90" s="102"/>
      <c r="O90" s="102"/>
      <c r="P90" s="102"/>
      <c r="Q90" s="71"/>
      <c r="R90" s="102"/>
      <c r="S90" s="102"/>
      <c r="T90" s="102"/>
    </row>
    <row r="91" spans="1:20" ht="27.6" thickBot="1" x14ac:dyDescent="0.35">
      <c r="A91" s="16">
        <v>223.2</v>
      </c>
      <c r="B91" s="55">
        <f t="shared" si="0"/>
        <v>3</v>
      </c>
      <c r="C91" s="72" t="s">
        <v>138</v>
      </c>
      <c r="D91" s="12" t="str">
        <f t="shared" si="1"/>
        <v xml:space="preserve">                  Reactor Cavity Cooling System (Rvacs)</v>
      </c>
      <c r="E91" s="12"/>
      <c r="F91" s="12"/>
      <c r="G91" s="12"/>
      <c r="H91" s="60"/>
      <c r="I91" s="92"/>
      <c r="J91" s="102"/>
      <c r="K91" s="71"/>
      <c r="L91" s="102"/>
      <c r="M91" s="102"/>
      <c r="N91" s="102"/>
      <c r="O91" s="102"/>
      <c r="P91" s="102"/>
      <c r="Q91" s="71"/>
      <c r="R91" s="102"/>
      <c r="S91" s="102"/>
      <c r="T91" s="102"/>
    </row>
    <row r="92" spans="1:20" ht="30" customHeight="1" thickBot="1" x14ac:dyDescent="0.35">
      <c r="A92" s="16">
        <v>223.21</v>
      </c>
      <c r="B92" s="55">
        <f t="shared" si="0"/>
        <v>4</v>
      </c>
      <c r="C92" s="72" t="s">
        <v>139</v>
      </c>
      <c r="D92" s="12" t="str">
        <f t="shared" si="1"/>
        <v xml:space="preserve">                        Rvacs (Cooling Vessel)</v>
      </c>
      <c r="E92" s="12" t="s">
        <v>346</v>
      </c>
      <c r="F92" s="12" t="s">
        <v>448</v>
      </c>
      <c r="G92" s="57" t="s">
        <v>449</v>
      </c>
      <c r="H92" s="94"/>
      <c r="I92" s="92">
        <f>I56</f>
        <v>324.08</v>
      </c>
      <c r="J92" s="102" t="s">
        <v>175</v>
      </c>
      <c r="K92" s="71" t="s">
        <v>367</v>
      </c>
      <c r="L92" s="102"/>
      <c r="M92" s="102"/>
      <c r="N92" s="102"/>
      <c r="O92" s="102">
        <v>2017</v>
      </c>
      <c r="P92" s="102" t="s">
        <v>77</v>
      </c>
      <c r="Q92" s="71" t="s">
        <v>404</v>
      </c>
      <c r="R92" s="81" t="s">
        <v>355</v>
      </c>
      <c r="S92" s="102"/>
      <c r="T92" s="102"/>
    </row>
    <row r="93" spans="1:20" ht="30" customHeight="1" thickBot="1" x14ac:dyDescent="0.35">
      <c r="A93" s="16">
        <v>223.21</v>
      </c>
      <c r="B93" s="55">
        <f t="shared" ref="B93" si="20">IF(ISNUMBER(A93),
    IF(AND(A93=INT(A93), MOD(A93, 10) = 0), 0,
        IF(AND(A93=INT(A93), LEN(A93)=2), 1,
            IF(AND(A93=INT(A93), LEN(A93)=3), 2,
                LEN(A93) - FIND(".", A93) + 2)
        )
    ),
"")</f>
        <v>4</v>
      </c>
      <c r="C93" s="72" t="s">
        <v>139</v>
      </c>
      <c r="D93" s="12" t="str">
        <f t="shared" ref="D93" si="21">REPT("   ", B93*2) &amp; C93</f>
        <v xml:space="preserve">                        Rvacs (Cooling Vessel)</v>
      </c>
      <c r="E93" s="12" t="s">
        <v>346</v>
      </c>
      <c r="F93" s="12" t="s">
        <v>448</v>
      </c>
      <c r="G93" s="57" t="s">
        <v>421</v>
      </c>
      <c r="H93" s="94"/>
      <c r="I93" s="92">
        <f>17192142.03/150.8</f>
        <v>114006.24688328912</v>
      </c>
      <c r="J93" s="102" t="s">
        <v>420</v>
      </c>
      <c r="K93" s="71" t="s">
        <v>421</v>
      </c>
      <c r="L93" s="102">
        <v>150.80000000000001</v>
      </c>
      <c r="M93" s="102" t="s">
        <v>422</v>
      </c>
      <c r="N93" s="102">
        <v>1.21</v>
      </c>
      <c r="O93" s="102">
        <v>2023</v>
      </c>
      <c r="P93" s="102" t="s">
        <v>77</v>
      </c>
      <c r="Q93" s="71" t="s">
        <v>423</v>
      </c>
      <c r="R93" s="81"/>
      <c r="S93" s="102"/>
      <c r="T93" s="102"/>
    </row>
    <row r="94" spans="1:20" ht="30" customHeight="1" thickBot="1" x14ac:dyDescent="0.35">
      <c r="A94" s="16">
        <v>223.22</v>
      </c>
      <c r="B94" s="55">
        <f t="shared" si="0"/>
        <v>4</v>
      </c>
      <c r="C94" s="72" t="s">
        <v>140</v>
      </c>
      <c r="D94" s="12" t="str">
        <f>REPT("   ", B94*2) &amp; C94</f>
        <v xml:space="preserve">                        Rvacs (Intake Vessel)</v>
      </c>
      <c r="E94" s="12" t="s">
        <v>346</v>
      </c>
      <c r="F94" s="12" t="s">
        <v>448</v>
      </c>
      <c r="G94" s="57" t="s">
        <v>449</v>
      </c>
      <c r="H94" s="94"/>
      <c r="I94" s="92">
        <f>I92</f>
        <v>324.08</v>
      </c>
      <c r="J94" s="102" t="s">
        <v>175</v>
      </c>
      <c r="K94" s="71" t="s">
        <v>368</v>
      </c>
      <c r="L94" s="102"/>
      <c r="M94" s="102"/>
      <c r="N94" s="102"/>
      <c r="O94" s="102">
        <v>2017</v>
      </c>
      <c r="P94" s="102" t="s">
        <v>77</v>
      </c>
      <c r="Q94" s="71" t="s">
        <v>404</v>
      </c>
      <c r="R94" s="81" t="s">
        <v>355</v>
      </c>
      <c r="S94" s="102"/>
      <c r="T94" s="102"/>
    </row>
    <row r="95" spans="1:20" ht="30" customHeight="1" thickBot="1" x14ac:dyDescent="0.35">
      <c r="A95" s="16">
        <v>226</v>
      </c>
      <c r="B95" s="55">
        <f t="shared" si="0"/>
        <v>2</v>
      </c>
      <c r="C95" s="72" t="s">
        <v>209</v>
      </c>
      <c r="D95" s="12" t="str">
        <f>REPT("   ", B95*2) &amp; C95</f>
        <v xml:space="preserve">            Other Reactor Plant Equipment</v>
      </c>
      <c r="E95" s="12" t="s">
        <v>346</v>
      </c>
      <c r="F95" s="12" t="s">
        <v>356</v>
      </c>
      <c r="G95" s="57" t="s">
        <v>424</v>
      </c>
      <c r="H95" s="92">
        <f>MARVEL_Cost!C42</f>
        <v>456297</v>
      </c>
      <c r="I95" s="92"/>
      <c r="J95" s="102"/>
      <c r="K95" s="71"/>
      <c r="L95" s="102"/>
      <c r="M95" s="102"/>
      <c r="N95" s="102"/>
      <c r="O95" s="102">
        <v>2024</v>
      </c>
      <c r="P95" s="102" t="s">
        <v>74</v>
      </c>
      <c r="Q95" s="71" t="s">
        <v>369</v>
      </c>
      <c r="R95" s="102"/>
      <c r="S95" s="102"/>
      <c r="T95" s="102"/>
    </row>
    <row r="96" spans="1:20" ht="30" customHeight="1" thickBot="1" x14ac:dyDescent="0.35">
      <c r="A96" s="16">
        <v>226</v>
      </c>
      <c r="B96" s="55">
        <v>2</v>
      </c>
      <c r="C96" s="72" t="s">
        <v>209</v>
      </c>
      <c r="D96" s="12" t="str">
        <f>REPT("   ", B96*2) &amp; C96</f>
        <v xml:space="preserve">            Other Reactor Plant Equipment</v>
      </c>
      <c r="E96" s="12" t="s">
        <v>346</v>
      </c>
      <c r="F96" s="12" t="s">
        <v>356</v>
      </c>
      <c r="G96" s="57" t="s">
        <v>359</v>
      </c>
      <c r="H96" s="92"/>
      <c r="I96" s="92">
        <f>8844770/L96*8.15527886031535</f>
        <v>118207.77405377067</v>
      </c>
      <c r="J96" s="102" t="s">
        <v>420</v>
      </c>
      <c r="K96" s="71" t="s">
        <v>451</v>
      </c>
      <c r="L96" s="102">
        <v>610.21</v>
      </c>
      <c r="M96" s="102" t="s">
        <v>425</v>
      </c>
      <c r="N96" s="102">
        <v>0.6</v>
      </c>
      <c r="O96" s="102">
        <v>2023</v>
      </c>
      <c r="P96" s="102" t="s">
        <v>77</v>
      </c>
      <c r="Q96" s="71" t="s">
        <v>426</v>
      </c>
      <c r="R96" s="102" t="s">
        <v>427</v>
      </c>
      <c r="S96" s="115" t="s">
        <v>428</v>
      </c>
      <c r="T96" s="102" t="s">
        <v>429</v>
      </c>
    </row>
    <row r="97" spans="1:20" ht="54" thickBot="1" x14ac:dyDescent="0.35">
      <c r="A97" s="16">
        <v>227</v>
      </c>
      <c r="B97" s="55">
        <f t="shared" ref="B97:B139" si="22">IF(ISNUMBER(A97),
    IF(AND(A97=INT(A97), MOD(A97, 10) = 0), 0,
        IF(AND(A97=INT(A97), LEN(A97)=2), 1,
            IF(AND(A97=INT(A97), LEN(A97)=3), 2,
                LEN(A97) - FIND(".", A97) + 2)
        )
    ),
"")</f>
        <v>2</v>
      </c>
      <c r="C97" s="72" t="s">
        <v>20</v>
      </c>
      <c r="D97" s="12" t="str">
        <f t="shared" ref="D97:D139" si="23">REPT("   ", B97*2) &amp; C97</f>
        <v xml:space="preserve">            Reactor Instrumentation and Control (I&amp;C)</v>
      </c>
      <c r="E97" s="12" t="s">
        <v>346</v>
      </c>
      <c r="F97" s="12"/>
      <c r="G97" s="57"/>
      <c r="H97" s="92">
        <v>8500000</v>
      </c>
      <c r="I97" s="92"/>
      <c r="J97" s="102"/>
      <c r="K97" s="71"/>
      <c r="L97" s="102"/>
      <c r="M97" s="102"/>
      <c r="N97" s="102"/>
      <c r="O97" s="102">
        <v>2023</v>
      </c>
      <c r="P97" s="102" t="s">
        <v>85</v>
      </c>
      <c r="Q97" s="71" t="s">
        <v>430</v>
      </c>
      <c r="R97" s="71" t="s">
        <v>436</v>
      </c>
      <c r="S97" s="115" t="s">
        <v>431</v>
      </c>
      <c r="T97" s="102" t="s">
        <v>450</v>
      </c>
    </row>
    <row r="98" spans="1:20" ht="14.4" thickBot="1" x14ac:dyDescent="0.35">
      <c r="A98" s="16">
        <v>228</v>
      </c>
      <c r="B98" s="55">
        <f t="shared" si="22"/>
        <v>2</v>
      </c>
      <c r="C98" s="72" t="s">
        <v>212</v>
      </c>
      <c r="D98" s="12" t="str">
        <f t="shared" si="23"/>
        <v xml:space="preserve">            Reactor Plant Miscellaneous Items</v>
      </c>
      <c r="E98" s="12" t="s">
        <v>346</v>
      </c>
      <c r="F98" s="12"/>
      <c r="G98" s="57"/>
      <c r="H98" s="92">
        <f>MARVEL_Cost!C44</f>
        <v>30960</v>
      </c>
      <c r="I98" s="92"/>
      <c r="J98" s="102"/>
      <c r="K98" s="71"/>
      <c r="L98" s="102"/>
      <c r="M98" s="102"/>
      <c r="N98" s="102"/>
      <c r="O98" s="102">
        <v>2024</v>
      </c>
      <c r="P98" s="102" t="s">
        <v>77</v>
      </c>
      <c r="Q98" s="71" t="s">
        <v>369</v>
      </c>
      <c r="R98" s="102"/>
      <c r="S98" s="102"/>
      <c r="T98" s="102"/>
    </row>
    <row r="99" spans="1:20" ht="14.4" thickBot="1" x14ac:dyDescent="0.35">
      <c r="A99" s="13">
        <v>23</v>
      </c>
      <c r="B99" s="55">
        <f t="shared" si="22"/>
        <v>1</v>
      </c>
      <c r="C99" s="72" t="s">
        <v>21</v>
      </c>
      <c r="D99" s="12" t="str">
        <f t="shared" si="23"/>
        <v xml:space="preserve">      Energy Conversion System </v>
      </c>
      <c r="E99" s="12"/>
      <c r="F99" s="12"/>
      <c r="G99" s="57"/>
      <c r="H99" s="94"/>
      <c r="I99" s="92"/>
      <c r="J99" s="102"/>
      <c r="K99" s="71"/>
      <c r="L99" s="102"/>
      <c r="M99" s="102"/>
      <c r="N99" s="102"/>
      <c r="O99" s="102"/>
      <c r="P99" s="102"/>
      <c r="Q99" s="71"/>
      <c r="R99" s="102"/>
      <c r="S99" s="102"/>
      <c r="T99" s="102"/>
    </row>
    <row r="100" spans="1:20" ht="14.4" thickBot="1" x14ac:dyDescent="0.35">
      <c r="A100" s="16">
        <v>232</v>
      </c>
      <c r="B100" s="55">
        <f t="shared" si="22"/>
        <v>2</v>
      </c>
      <c r="C100" s="72" t="s">
        <v>22</v>
      </c>
      <c r="D100" s="12" t="str">
        <f t="shared" si="23"/>
        <v xml:space="preserve">            Energy Applications</v>
      </c>
      <c r="E100" s="12"/>
      <c r="F100" s="12"/>
      <c r="G100" s="57"/>
      <c r="H100" s="94"/>
      <c r="I100" s="92"/>
      <c r="J100" s="102"/>
      <c r="K100" s="71"/>
      <c r="L100" s="102"/>
      <c r="M100" s="102"/>
      <c r="N100" s="102"/>
      <c r="O100" s="102"/>
      <c r="P100" s="102"/>
      <c r="Q100" s="71"/>
      <c r="R100" s="102"/>
      <c r="S100" s="102"/>
      <c r="T100" s="102"/>
    </row>
    <row r="101" spans="1:20" ht="15" thickBot="1" x14ac:dyDescent="0.35">
      <c r="A101" s="16">
        <v>232.1</v>
      </c>
      <c r="B101" s="55">
        <f t="shared" si="22"/>
        <v>3</v>
      </c>
      <c r="C101" s="72" t="s">
        <v>214</v>
      </c>
      <c r="D101" s="12" t="str">
        <f>REPT("   ", B101*2) &amp; C101</f>
        <v xml:space="preserve">                  Electricity Generation Systems</v>
      </c>
      <c r="E101" s="12" t="s">
        <v>346</v>
      </c>
      <c r="F101" s="12"/>
      <c r="G101" s="57"/>
      <c r="H101" s="94"/>
      <c r="I101" s="95">
        <v>12504</v>
      </c>
      <c r="J101" s="102" t="s">
        <v>432</v>
      </c>
      <c r="K101" s="57" t="s">
        <v>459</v>
      </c>
      <c r="L101" s="102">
        <v>1</v>
      </c>
      <c r="M101" s="102"/>
      <c r="N101" s="57">
        <v>0.77700000000000002</v>
      </c>
      <c r="O101" s="102">
        <v>2023</v>
      </c>
      <c r="P101" s="102" t="s">
        <v>77</v>
      </c>
      <c r="Q101" s="71" t="s">
        <v>433</v>
      </c>
      <c r="R101" s="71" t="s">
        <v>433</v>
      </c>
      <c r="S101" s="115" t="s">
        <v>434</v>
      </c>
      <c r="T101" s="102"/>
    </row>
    <row r="102" spans="1:20" ht="54" thickBot="1" x14ac:dyDescent="0.35">
      <c r="A102" s="16">
        <v>236</v>
      </c>
      <c r="B102" s="55">
        <f t="shared" si="22"/>
        <v>2</v>
      </c>
      <c r="C102" s="72" t="s">
        <v>435</v>
      </c>
      <c r="D102" s="12" t="str">
        <f>REPT("   ", B102*2) &amp; C102</f>
        <v xml:space="preserve">            Common Instrumentation &amp; Controls</v>
      </c>
      <c r="E102" s="12" t="s">
        <v>346</v>
      </c>
      <c r="F102" s="12"/>
      <c r="G102" s="57"/>
      <c r="H102" s="95">
        <v>1000000</v>
      </c>
      <c r="I102" s="95"/>
      <c r="J102" s="102"/>
      <c r="K102" s="57"/>
      <c r="L102" s="102"/>
      <c r="M102" s="102"/>
      <c r="N102" s="57"/>
      <c r="O102" s="102">
        <v>2023</v>
      </c>
      <c r="P102" s="102" t="s">
        <v>77</v>
      </c>
      <c r="Q102" s="71" t="s">
        <v>430</v>
      </c>
      <c r="R102" s="71" t="s">
        <v>436</v>
      </c>
      <c r="S102" s="115" t="s">
        <v>431</v>
      </c>
      <c r="T102" s="102"/>
    </row>
    <row r="103" spans="1:20" ht="14.4" thickBot="1" x14ac:dyDescent="0.35">
      <c r="A103" s="13">
        <v>24</v>
      </c>
      <c r="B103" s="55">
        <f t="shared" si="22"/>
        <v>1</v>
      </c>
      <c r="C103" s="72" t="s">
        <v>23</v>
      </c>
      <c r="D103" s="12" t="str">
        <f t="shared" si="23"/>
        <v xml:space="preserve">      Electrical Equipment</v>
      </c>
      <c r="E103" s="12"/>
      <c r="F103" s="12"/>
      <c r="G103" s="57"/>
      <c r="H103" s="94"/>
      <c r="I103" s="92"/>
      <c r="J103" s="102"/>
      <c r="K103" s="71"/>
      <c r="L103" s="102"/>
      <c r="M103" s="102"/>
      <c r="N103" s="102"/>
      <c r="O103" s="102"/>
      <c r="P103" s="102"/>
      <c r="Q103" s="71"/>
      <c r="R103" s="102"/>
      <c r="S103" s="102"/>
      <c r="T103" s="102"/>
    </row>
    <row r="104" spans="1:20" ht="15" thickBot="1" x14ac:dyDescent="0.35">
      <c r="A104" s="13">
        <v>241</v>
      </c>
      <c r="B104" s="55">
        <f t="shared" si="22"/>
        <v>2</v>
      </c>
      <c r="C104" s="116" t="s">
        <v>438</v>
      </c>
      <c r="D104" s="12" t="str">
        <f t="shared" si="23"/>
        <v xml:space="preserve">            Switchgear</v>
      </c>
      <c r="E104" s="12" t="s">
        <v>346</v>
      </c>
      <c r="F104" s="12"/>
      <c r="G104" s="57"/>
      <c r="H104" s="94"/>
      <c r="I104" s="92">
        <f>14424707.2061682/L104</f>
        <v>12609.009795601574</v>
      </c>
      <c r="J104" s="102" t="s">
        <v>67</v>
      </c>
      <c r="K104" s="57" t="s">
        <v>71</v>
      </c>
      <c r="L104" s="102">
        <v>1144</v>
      </c>
      <c r="M104" s="102" t="s">
        <v>69</v>
      </c>
      <c r="N104" s="57">
        <v>0.6</v>
      </c>
      <c r="O104" s="102">
        <v>2018</v>
      </c>
      <c r="P104" s="102" t="s">
        <v>77</v>
      </c>
      <c r="Q104" s="83" t="s">
        <v>437</v>
      </c>
      <c r="R104" s="83" t="s">
        <v>370</v>
      </c>
      <c r="S104" s="102"/>
      <c r="T104" s="102"/>
    </row>
    <row r="105" spans="1:20" ht="15" thickBot="1" x14ac:dyDescent="0.35">
      <c r="A105" s="13">
        <v>242</v>
      </c>
      <c r="B105" s="55">
        <f t="shared" si="22"/>
        <v>2</v>
      </c>
      <c r="C105" s="116" t="s">
        <v>439</v>
      </c>
      <c r="D105" s="12" t="str">
        <f t="shared" si="23"/>
        <v xml:space="preserve">            Station Service Equipment</v>
      </c>
      <c r="E105" s="12" t="s">
        <v>346</v>
      </c>
      <c r="F105" s="12"/>
      <c r="G105" s="57"/>
      <c r="H105" s="94"/>
      <c r="I105" s="92">
        <f>11992641.3775456/L104</f>
        <v>10483.078127225175</v>
      </c>
      <c r="J105" s="102" t="s">
        <v>67</v>
      </c>
      <c r="K105" s="57" t="s">
        <v>71</v>
      </c>
      <c r="L105" s="102">
        <v>1144</v>
      </c>
      <c r="M105" s="102" t="s">
        <v>69</v>
      </c>
      <c r="N105" s="57">
        <v>0.6</v>
      </c>
      <c r="O105" s="102">
        <v>2018</v>
      </c>
      <c r="P105" s="102" t="s">
        <v>77</v>
      </c>
      <c r="Q105" s="83"/>
      <c r="R105" s="83"/>
      <c r="S105" s="102"/>
      <c r="T105" s="102"/>
    </row>
    <row r="106" spans="1:20" ht="15" thickBot="1" x14ac:dyDescent="0.35">
      <c r="A106" s="13">
        <v>243</v>
      </c>
      <c r="B106" s="55">
        <f t="shared" si="22"/>
        <v>2</v>
      </c>
      <c r="C106" s="116" t="s">
        <v>440</v>
      </c>
      <c r="D106" s="12" t="str">
        <f t="shared" si="23"/>
        <v xml:space="preserve">            Switchboards</v>
      </c>
      <c r="E106" s="12" t="s">
        <v>346</v>
      </c>
      <c r="F106" s="12"/>
      <c r="G106" s="57"/>
      <c r="H106" s="94"/>
      <c r="I106" s="92">
        <f>3894246.37400843/L104</f>
        <v>3404.0615157416346</v>
      </c>
      <c r="J106" s="102" t="s">
        <v>67</v>
      </c>
      <c r="K106" s="57" t="s">
        <v>71</v>
      </c>
      <c r="L106" s="102">
        <v>1144</v>
      </c>
      <c r="M106" s="102" t="s">
        <v>69</v>
      </c>
      <c r="N106" s="57">
        <v>0.6</v>
      </c>
      <c r="O106" s="102">
        <v>2018</v>
      </c>
      <c r="P106" s="102" t="s">
        <v>77</v>
      </c>
      <c r="Q106" s="83"/>
      <c r="R106" s="83"/>
      <c r="S106" s="102"/>
      <c r="T106" s="102"/>
    </row>
    <row r="107" spans="1:20" ht="15" thickBot="1" x14ac:dyDescent="0.35">
      <c r="A107" s="13">
        <v>244</v>
      </c>
      <c r="B107" s="55">
        <f t="shared" si="22"/>
        <v>2</v>
      </c>
      <c r="C107" s="116" t="s">
        <v>441</v>
      </c>
      <c r="D107" s="12" t="str">
        <f t="shared" si="23"/>
        <v xml:space="preserve">            Protective Equipment</v>
      </c>
      <c r="E107" s="12" t="s">
        <v>346</v>
      </c>
      <c r="F107" s="12"/>
      <c r="G107" s="57"/>
      <c r="H107" s="94"/>
      <c r="I107" s="92">
        <f>11183911.9256997/L104</f>
        <v>9776.1467881990375</v>
      </c>
      <c r="J107" s="102" t="s">
        <v>67</v>
      </c>
      <c r="K107" s="57" t="s">
        <v>71</v>
      </c>
      <c r="L107" s="102">
        <v>1144</v>
      </c>
      <c r="M107" s="102" t="s">
        <v>69</v>
      </c>
      <c r="N107" s="57">
        <v>0.6</v>
      </c>
      <c r="O107" s="102">
        <v>2018</v>
      </c>
      <c r="P107" s="102" t="s">
        <v>77</v>
      </c>
      <c r="Q107" s="83"/>
      <c r="R107" s="83"/>
      <c r="S107" s="102"/>
      <c r="T107" s="102"/>
    </row>
    <row r="108" spans="1:20" ht="28.8" thickBot="1" x14ac:dyDescent="0.35">
      <c r="A108" s="13">
        <v>245</v>
      </c>
      <c r="B108" s="55">
        <f t="shared" si="22"/>
        <v>2</v>
      </c>
      <c r="C108" s="116" t="s">
        <v>442</v>
      </c>
      <c r="D108" s="12" t="str">
        <f t="shared" si="23"/>
        <v xml:space="preserve">            Electrical Structure &amp; Wiring Container</v>
      </c>
      <c r="E108" s="12" t="s">
        <v>346</v>
      </c>
      <c r="F108" s="12"/>
      <c r="G108" s="57"/>
      <c r="H108" s="94"/>
      <c r="I108" s="92">
        <f>60312483.673456/L104</f>
        <v>52720.70251176224</v>
      </c>
      <c r="J108" s="102" t="s">
        <v>67</v>
      </c>
      <c r="K108" s="57" t="s">
        <v>71</v>
      </c>
      <c r="L108" s="102">
        <v>1144</v>
      </c>
      <c r="M108" s="102" t="s">
        <v>69</v>
      </c>
      <c r="N108" s="57">
        <v>0.6</v>
      </c>
      <c r="O108" s="102">
        <v>2018</v>
      </c>
      <c r="P108" s="102" t="s">
        <v>77</v>
      </c>
      <c r="Q108" s="83"/>
      <c r="R108" s="83"/>
      <c r="S108" s="102"/>
      <c r="T108" s="102"/>
    </row>
    <row r="109" spans="1:20" ht="15" thickBot="1" x14ac:dyDescent="0.35">
      <c r="A109" s="13">
        <v>256</v>
      </c>
      <c r="B109" s="55">
        <f t="shared" si="22"/>
        <v>2</v>
      </c>
      <c r="C109" s="116" t="s">
        <v>443</v>
      </c>
      <c r="D109" s="12" t="str">
        <f t="shared" si="23"/>
        <v xml:space="preserve">            Power &amp; Control Wiring</v>
      </c>
      <c r="E109" s="12" t="s">
        <v>346</v>
      </c>
      <c r="F109" s="12"/>
      <c r="G109" s="57"/>
      <c r="H109" s="94"/>
      <c r="I109" s="92">
        <f>45613077.4753702/L104</f>
        <v>39871.571219729194</v>
      </c>
      <c r="J109" s="102" t="s">
        <v>67</v>
      </c>
      <c r="K109" s="57" t="s">
        <v>71</v>
      </c>
      <c r="L109" s="102">
        <v>1144</v>
      </c>
      <c r="M109" s="102" t="s">
        <v>69</v>
      </c>
      <c r="N109" s="57">
        <v>0.6</v>
      </c>
      <c r="O109" s="102">
        <v>2018</v>
      </c>
      <c r="P109" s="102" t="s">
        <v>77</v>
      </c>
      <c r="Q109" s="83"/>
      <c r="R109" s="83"/>
      <c r="S109" s="102"/>
      <c r="T109" s="102"/>
    </row>
    <row r="110" spans="1:20" ht="14.4" thickBot="1" x14ac:dyDescent="0.35">
      <c r="A110" s="13">
        <v>25</v>
      </c>
      <c r="B110" s="55">
        <f t="shared" si="22"/>
        <v>1</v>
      </c>
      <c r="C110" s="72" t="s">
        <v>24</v>
      </c>
      <c r="D110" s="12" t="str">
        <f t="shared" si="23"/>
        <v xml:space="preserve">      Initial Fuel Inventory</v>
      </c>
      <c r="E110" s="12"/>
      <c r="F110" s="12"/>
      <c r="G110" s="57"/>
      <c r="H110" s="94"/>
      <c r="I110" s="92"/>
      <c r="J110" s="102"/>
      <c r="K110" s="71"/>
      <c r="L110" s="102"/>
      <c r="M110" s="102"/>
      <c r="N110" s="102"/>
      <c r="O110" s="102"/>
      <c r="P110" s="102"/>
      <c r="Q110" s="71"/>
      <c r="R110" s="102"/>
      <c r="S110" s="102"/>
      <c r="T110" s="102"/>
    </row>
    <row r="111" spans="1:20" ht="16.05" customHeight="1" thickBot="1" x14ac:dyDescent="0.35">
      <c r="A111" s="16">
        <v>251</v>
      </c>
      <c r="B111" s="55">
        <f t="shared" si="22"/>
        <v>2</v>
      </c>
      <c r="C111" s="72" t="s">
        <v>25</v>
      </c>
      <c r="D111" s="12" t="str">
        <f t="shared" si="23"/>
        <v xml:space="preserve">            First Core Mining</v>
      </c>
      <c r="E111" s="12" t="s">
        <v>346</v>
      </c>
      <c r="F111" s="12"/>
      <c r="G111" s="57"/>
      <c r="H111" s="94"/>
      <c r="I111" s="94">
        <v>184</v>
      </c>
      <c r="J111" s="102" t="s">
        <v>175</v>
      </c>
      <c r="K111" s="57" t="s">
        <v>372</v>
      </c>
      <c r="L111" s="102"/>
      <c r="M111" s="102"/>
      <c r="N111" s="102"/>
      <c r="O111" s="102">
        <v>2022</v>
      </c>
      <c r="P111" s="102" t="s">
        <v>73</v>
      </c>
      <c r="Q111" s="78" t="s">
        <v>374</v>
      </c>
      <c r="R111" s="78" t="s">
        <v>375</v>
      </c>
      <c r="S111" s="102"/>
      <c r="T111" s="102"/>
    </row>
    <row r="112" spans="1:20" ht="14.4" thickBot="1" x14ac:dyDescent="0.35">
      <c r="A112" s="16">
        <v>252</v>
      </c>
      <c r="B112" s="55">
        <f t="shared" si="22"/>
        <v>2</v>
      </c>
      <c r="C112" s="72" t="s">
        <v>26</v>
      </c>
      <c r="D112" s="12" t="str">
        <f t="shared" si="23"/>
        <v xml:space="preserve">            First Core Conversion </v>
      </c>
      <c r="E112" s="12" t="s">
        <v>346</v>
      </c>
      <c r="F112" s="12"/>
      <c r="G112" s="57"/>
      <c r="H112" s="94"/>
      <c r="I112" s="94">
        <v>15.1</v>
      </c>
      <c r="J112" s="102" t="s">
        <v>175</v>
      </c>
      <c r="K112" s="57" t="s">
        <v>372</v>
      </c>
      <c r="L112" s="102"/>
      <c r="M112" s="102"/>
      <c r="N112" s="102"/>
      <c r="O112" s="102">
        <v>2022</v>
      </c>
      <c r="P112" s="102" t="s">
        <v>73</v>
      </c>
      <c r="Q112" s="78"/>
      <c r="R112" s="78"/>
      <c r="S112" s="102"/>
      <c r="T112" s="102"/>
    </row>
    <row r="113" spans="1:26" ht="27.6" thickBot="1" x14ac:dyDescent="0.35">
      <c r="A113" s="16">
        <v>253</v>
      </c>
      <c r="B113" s="55">
        <f t="shared" si="22"/>
        <v>2</v>
      </c>
      <c r="C113" s="72" t="s">
        <v>27</v>
      </c>
      <c r="D113" s="12" t="str">
        <f t="shared" si="23"/>
        <v xml:space="preserve">            First Core Enrichment </v>
      </c>
      <c r="E113" s="12" t="s">
        <v>347</v>
      </c>
      <c r="F113" s="12"/>
      <c r="G113" s="57"/>
      <c r="H113" s="94"/>
      <c r="I113" s="94">
        <v>184.2</v>
      </c>
      <c r="J113" s="102" t="s">
        <v>371</v>
      </c>
      <c r="K113" s="71" t="s">
        <v>373</v>
      </c>
      <c r="L113" s="102"/>
      <c r="M113" s="102"/>
      <c r="N113" s="102">
        <v>1</v>
      </c>
      <c r="O113" s="102">
        <v>2022</v>
      </c>
      <c r="P113" s="102" t="s">
        <v>73</v>
      </c>
      <c r="Q113" s="78"/>
      <c r="R113" s="78"/>
      <c r="S113" s="102"/>
      <c r="T113" s="102"/>
    </row>
    <row r="114" spans="1:26" ht="27.6" thickBot="1" x14ac:dyDescent="0.35">
      <c r="A114" s="16">
        <v>254</v>
      </c>
      <c r="B114" s="55">
        <f t="shared" si="22"/>
        <v>2</v>
      </c>
      <c r="C114" s="72" t="s">
        <v>28</v>
      </c>
      <c r="D114" s="12" t="str">
        <f t="shared" si="23"/>
        <v xml:space="preserve">            First Core Fuel Assembly Fabrication </v>
      </c>
      <c r="E114" s="12" t="s">
        <v>346</v>
      </c>
      <c r="F114" s="12" t="s">
        <v>377</v>
      </c>
      <c r="G114" s="57" t="s">
        <v>378</v>
      </c>
      <c r="H114" s="94"/>
      <c r="I114" s="94">
        <v>1520</v>
      </c>
      <c r="J114" s="102" t="s">
        <v>175</v>
      </c>
      <c r="K114" s="71" t="s">
        <v>376</v>
      </c>
      <c r="L114" s="102"/>
      <c r="M114" s="102"/>
      <c r="N114" s="102"/>
      <c r="O114" s="102">
        <v>2023</v>
      </c>
      <c r="P114" s="102" t="s">
        <v>73</v>
      </c>
      <c r="Q114" s="78"/>
      <c r="R114" s="78"/>
      <c r="S114" s="102"/>
      <c r="T114" s="102"/>
    </row>
    <row r="115" spans="1:26" ht="27.6" thickBot="1" x14ac:dyDescent="0.35">
      <c r="A115" s="16">
        <v>254</v>
      </c>
      <c r="B115" s="55">
        <f t="shared" ref="B115" si="24">IF(ISNUMBER(A115),
    IF(AND(A115=INT(A115), MOD(A115, 10) = 0), 0,
        IF(AND(A115=INT(A115), LEN(A115)=2), 1,
            IF(AND(A115=INT(A115), LEN(A115)=3), 2,
                LEN(A115) - FIND(".", A115) + 2)
        )
    ),
"")</f>
        <v>2</v>
      </c>
      <c r="C115" s="72" t="s">
        <v>28</v>
      </c>
      <c r="D115" s="12" t="str">
        <f t="shared" ref="D115" si="25">REPT("   ", B115*2) &amp; C115</f>
        <v xml:space="preserve">            First Core Fuel Assembly Fabrication </v>
      </c>
      <c r="E115" s="12" t="s">
        <v>346</v>
      </c>
      <c r="F115" s="12" t="s">
        <v>377</v>
      </c>
      <c r="G115" s="57" t="s">
        <v>360</v>
      </c>
      <c r="H115" s="94"/>
      <c r="I115" s="94">
        <v>10000</v>
      </c>
      <c r="J115" s="102" t="s">
        <v>175</v>
      </c>
      <c r="K115" s="71" t="s">
        <v>376</v>
      </c>
      <c r="L115" s="102"/>
      <c r="M115" s="102"/>
      <c r="N115" s="102"/>
      <c r="O115" s="102">
        <v>2009</v>
      </c>
      <c r="P115" s="102" t="s">
        <v>73</v>
      </c>
      <c r="Q115" s="78"/>
      <c r="R115" s="78"/>
      <c r="S115" s="102"/>
      <c r="T115" s="102"/>
    </row>
    <row r="116" spans="1:26" ht="30" customHeight="1" thickBot="1" x14ac:dyDescent="0.35">
      <c r="A116" s="13">
        <v>26</v>
      </c>
      <c r="B116" s="55">
        <f t="shared" si="22"/>
        <v>1</v>
      </c>
      <c r="C116" s="72" t="s">
        <v>141</v>
      </c>
      <c r="D116" s="12" t="str">
        <f t="shared" si="23"/>
        <v xml:space="preserve">      Miscellaneous Equipment (Cranes)</v>
      </c>
      <c r="E116" s="12" t="s">
        <v>346</v>
      </c>
      <c r="F116" s="12"/>
      <c r="G116" s="12"/>
      <c r="H116" s="92">
        <v>1000000</v>
      </c>
      <c r="I116" s="94"/>
      <c r="J116" s="102"/>
      <c r="K116" s="71"/>
      <c r="L116" s="102"/>
      <c r="M116" s="102"/>
      <c r="N116" s="102"/>
      <c r="O116" s="102">
        <v>2021</v>
      </c>
      <c r="P116" s="102" t="s">
        <v>74</v>
      </c>
      <c r="Q116" s="71" t="s">
        <v>379</v>
      </c>
      <c r="R116" s="71" t="s">
        <v>380</v>
      </c>
      <c r="S116" s="102"/>
      <c r="T116" s="102"/>
    </row>
    <row r="117" spans="1:26" ht="27.6" thickBot="1" x14ac:dyDescent="0.35">
      <c r="A117" s="53">
        <v>30</v>
      </c>
      <c r="B117" s="55">
        <f>IF(ISNUMBER(A117),
    IF(AND(A117=INT(A117), MOD(A117, 10) = 0), 0,
        IF(AND(A117=INT(A117), LEN(A117)=2), 1,
            IF(AND(A117=INT(A117), LEN(A117)=3), 2,
                LEN(A117) - FIND(".", A117) + 2)
        )
    ),
"")</f>
        <v>0</v>
      </c>
      <c r="C117" s="72" t="s">
        <v>29</v>
      </c>
      <c r="D117" s="12" t="str">
        <f t="shared" si="23"/>
        <v>Capitalized Indirect Services Cost</v>
      </c>
      <c r="E117" s="12"/>
      <c r="F117" s="12"/>
      <c r="G117" s="12"/>
      <c r="H117" s="84"/>
      <c r="I117" s="87"/>
      <c r="J117" s="53"/>
      <c r="K117" s="53"/>
      <c r="L117" s="53"/>
      <c r="M117" s="53"/>
      <c r="N117" s="53"/>
      <c r="O117" s="53"/>
      <c r="P117" s="53"/>
      <c r="Q117" s="53"/>
      <c r="R117" s="53"/>
      <c r="S117" s="53"/>
      <c r="T117" s="53"/>
    </row>
    <row r="118" spans="1:26" ht="28.95" customHeight="1" thickBot="1" x14ac:dyDescent="0.35">
      <c r="A118" s="53">
        <v>31</v>
      </c>
      <c r="B118" s="55">
        <v>1</v>
      </c>
      <c r="C118" s="72" t="s">
        <v>381</v>
      </c>
      <c r="D118" s="12" t="str">
        <f t="shared" si="23"/>
        <v xml:space="preserve">      Factory &amp; field indirect costs</v>
      </c>
      <c r="E118" s="12"/>
      <c r="F118" s="12"/>
      <c r="G118" s="12"/>
      <c r="H118" s="84"/>
      <c r="I118" s="96"/>
      <c r="J118" s="102"/>
      <c r="K118" s="71"/>
      <c r="L118" s="53"/>
      <c r="M118" s="53"/>
      <c r="N118" s="53"/>
      <c r="O118" s="102"/>
      <c r="P118" s="102"/>
      <c r="Q118" s="53"/>
      <c r="R118" s="53"/>
      <c r="S118" s="53"/>
      <c r="T118" s="53"/>
    </row>
    <row r="119" spans="1:26" ht="27.6" thickBot="1" x14ac:dyDescent="0.35">
      <c r="A119" s="53">
        <v>32</v>
      </c>
      <c r="B119" s="55">
        <v>1</v>
      </c>
      <c r="C119" s="72" t="s">
        <v>382</v>
      </c>
      <c r="D119" s="12" t="str">
        <f t="shared" si="23"/>
        <v xml:space="preserve">      Factory and construction supervision</v>
      </c>
      <c r="E119" s="12"/>
      <c r="F119" s="12"/>
      <c r="G119" s="12"/>
      <c r="H119" s="84"/>
      <c r="I119" s="87"/>
      <c r="J119" s="53"/>
      <c r="K119" s="53"/>
      <c r="L119" s="53"/>
      <c r="M119" s="53"/>
      <c r="N119" s="53"/>
      <c r="O119" s="102"/>
      <c r="P119" s="102"/>
      <c r="Q119" s="53"/>
      <c r="R119" s="53"/>
      <c r="S119" s="53"/>
      <c r="T119" s="53"/>
    </row>
    <row r="120" spans="1:26" ht="14.4" thickBot="1" x14ac:dyDescent="0.35">
      <c r="A120" s="13">
        <v>33</v>
      </c>
      <c r="B120" s="55">
        <f t="shared" si="22"/>
        <v>1</v>
      </c>
      <c r="C120" s="72" t="s">
        <v>31</v>
      </c>
      <c r="D120" s="12" t="str">
        <f t="shared" si="23"/>
        <v xml:space="preserve">      Startup Costs</v>
      </c>
      <c r="E120" s="12" t="s">
        <v>346</v>
      </c>
      <c r="F120" s="12"/>
      <c r="G120" s="12"/>
      <c r="H120" s="60">
        <f>MARVEL_Cost!C58</f>
        <v>2407166.4000000004</v>
      </c>
      <c r="I120" s="86"/>
      <c r="J120" s="56"/>
      <c r="K120" s="61"/>
      <c r="L120" s="56"/>
      <c r="M120" s="56"/>
      <c r="N120" s="56"/>
      <c r="O120" s="102">
        <v>2024</v>
      </c>
      <c r="P120" s="117" t="s">
        <v>85</v>
      </c>
      <c r="Q120" s="58" t="s">
        <v>369</v>
      </c>
      <c r="R120" s="56"/>
      <c r="S120" s="56"/>
      <c r="T120" s="56"/>
      <c r="U120" s="11"/>
      <c r="V120" s="11"/>
      <c r="W120" s="11"/>
      <c r="X120" s="11"/>
      <c r="Y120" s="11"/>
      <c r="Z120" s="11"/>
    </row>
    <row r="121" spans="1:26" ht="30" customHeight="1" thickBot="1" x14ac:dyDescent="0.35">
      <c r="A121" s="13">
        <v>34</v>
      </c>
      <c r="B121" s="55">
        <f t="shared" si="22"/>
        <v>1</v>
      </c>
      <c r="C121" s="72" t="s">
        <v>32</v>
      </c>
      <c r="D121" s="12" t="str">
        <f t="shared" si="23"/>
        <v xml:space="preserve">      Shipping and Transportation Costs</v>
      </c>
      <c r="E121" s="12" t="s">
        <v>346</v>
      </c>
      <c r="F121" s="12"/>
      <c r="G121" s="12"/>
      <c r="H121" s="60">
        <f>MARVEL_Cost!C62</f>
        <v>1665282.7999999998</v>
      </c>
      <c r="I121" s="86"/>
      <c r="J121" s="56"/>
      <c r="K121" s="61"/>
      <c r="L121" s="56"/>
      <c r="M121" s="56"/>
      <c r="N121" s="56"/>
      <c r="O121" s="102">
        <v>2024</v>
      </c>
      <c r="P121" s="117" t="s">
        <v>85</v>
      </c>
      <c r="Q121" s="58"/>
      <c r="R121" s="56"/>
      <c r="S121" s="56"/>
      <c r="T121" s="56"/>
      <c r="U121" s="11"/>
      <c r="V121" s="11"/>
      <c r="W121" s="11"/>
      <c r="X121" s="11"/>
      <c r="Y121" s="11"/>
      <c r="Z121" s="11"/>
    </row>
    <row r="122" spans="1:26" ht="14.4" thickBot="1" x14ac:dyDescent="0.35">
      <c r="A122" s="13">
        <v>35</v>
      </c>
      <c r="B122" s="55">
        <f t="shared" si="22"/>
        <v>1</v>
      </c>
      <c r="C122" s="72" t="s">
        <v>33</v>
      </c>
      <c r="D122" s="12" t="str">
        <f t="shared" si="23"/>
        <v xml:space="preserve">      Engineering Services</v>
      </c>
      <c r="E122" s="12" t="s">
        <v>346</v>
      </c>
      <c r="F122" s="12"/>
      <c r="G122" s="12"/>
      <c r="H122" s="60">
        <f>MARVEL_Cost!C65</f>
        <v>620313.58773783164</v>
      </c>
      <c r="I122" s="92"/>
      <c r="J122" s="102"/>
      <c r="K122" s="71"/>
      <c r="L122" s="102"/>
      <c r="M122" s="102"/>
      <c r="N122" s="102"/>
      <c r="O122" s="102">
        <v>2024</v>
      </c>
      <c r="P122" s="102" t="s">
        <v>72</v>
      </c>
      <c r="Q122" s="58"/>
      <c r="R122" s="102"/>
      <c r="S122" s="102"/>
      <c r="T122" s="102"/>
      <c r="U122" s="11"/>
    </row>
    <row r="123" spans="1:26" ht="14.4" thickBot="1" x14ac:dyDescent="0.35">
      <c r="A123" s="13">
        <v>36</v>
      </c>
      <c r="B123" s="55">
        <f t="shared" si="22"/>
        <v>1</v>
      </c>
      <c r="C123" s="72" t="s">
        <v>231</v>
      </c>
      <c r="D123" s="12" t="str">
        <f t="shared" si="23"/>
        <v xml:space="preserve">      PM/CM Services</v>
      </c>
      <c r="E123" s="12" t="s">
        <v>346</v>
      </c>
      <c r="F123" s="12"/>
      <c r="G123" s="12"/>
      <c r="H123" s="60">
        <f>MARVEL_Cost!C68</f>
        <v>416958.9359999997</v>
      </c>
      <c r="I123" s="92"/>
      <c r="J123" s="102"/>
      <c r="K123" s="71"/>
      <c r="L123" s="102"/>
      <c r="M123" s="102"/>
      <c r="N123" s="102"/>
      <c r="O123" s="102">
        <v>2024</v>
      </c>
      <c r="P123" s="102" t="s">
        <v>72</v>
      </c>
      <c r="Q123" s="58"/>
      <c r="R123" s="102"/>
      <c r="S123" s="102"/>
      <c r="T123" s="102"/>
      <c r="U123" s="11"/>
    </row>
    <row r="124" spans="1:26" ht="14.4" thickBot="1" x14ac:dyDescent="0.35">
      <c r="A124" s="13">
        <v>40</v>
      </c>
      <c r="B124" s="55">
        <f t="shared" si="22"/>
        <v>0</v>
      </c>
      <c r="C124" s="72" t="s">
        <v>383</v>
      </c>
      <c r="D124" s="12" t="str">
        <f t="shared" si="23"/>
        <v>Capitalized training costs</v>
      </c>
      <c r="E124" s="12"/>
      <c r="F124" s="12"/>
      <c r="G124" s="12"/>
      <c r="H124" s="60"/>
      <c r="I124" s="92"/>
      <c r="J124" s="102"/>
      <c r="K124" s="71"/>
      <c r="L124" s="102"/>
      <c r="M124" s="102"/>
      <c r="N124" s="102"/>
      <c r="O124" s="102"/>
      <c r="P124" s="102"/>
      <c r="Q124" s="53"/>
      <c r="R124" s="102"/>
      <c r="S124" s="102"/>
      <c r="T124" s="102"/>
      <c r="U124" s="11"/>
    </row>
    <row r="125" spans="1:26" ht="14.4" thickBot="1" x14ac:dyDescent="0.35">
      <c r="A125" s="13">
        <v>41</v>
      </c>
      <c r="B125" s="55">
        <f t="shared" si="22"/>
        <v>1</v>
      </c>
      <c r="C125" s="72" t="s">
        <v>384</v>
      </c>
      <c r="D125" s="12" t="str">
        <f t="shared" si="23"/>
        <v xml:space="preserve">      staff recruitment and training</v>
      </c>
      <c r="E125" s="12" t="s">
        <v>346</v>
      </c>
      <c r="F125" s="12"/>
      <c r="G125" s="12"/>
      <c r="H125" s="60">
        <f>MARVEL_Cost!C72</f>
        <v>4169765</v>
      </c>
      <c r="I125" s="92"/>
      <c r="J125" s="102"/>
      <c r="K125" s="71"/>
      <c r="L125" s="102"/>
      <c r="M125" s="102"/>
      <c r="N125" s="102"/>
      <c r="O125" s="102">
        <v>2024</v>
      </c>
      <c r="P125" s="102" t="s">
        <v>72</v>
      </c>
      <c r="Q125" s="14" t="s">
        <v>369</v>
      </c>
      <c r="R125" s="102"/>
      <c r="S125" s="102"/>
      <c r="T125" s="102"/>
      <c r="U125" s="11"/>
    </row>
    <row r="126" spans="1:26" ht="14.4" thickBot="1" x14ac:dyDescent="0.35">
      <c r="A126" s="53">
        <v>60</v>
      </c>
      <c r="B126" s="55">
        <f t="shared" si="22"/>
        <v>0</v>
      </c>
      <c r="C126" s="72" t="s">
        <v>34</v>
      </c>
      <c r="D126" s="12" t="str">
        <f t="shared" si="23"/>
        <v xml:space="preserve">Capitalized Financial Costs </v>
      </c>
      <c r="E126" s="12"/>
      <c r="F126" s="12"/>
      <c r="G126" s="12"/>
      <c r="H126" s="84"/>
      <c r="I126" s="87"/>
      <c r="J126" s="53"/>
      <c r="K126" s="53"/>
      <c r="L126" s="53"/>
      <c r="M126" s="53"/>
      <c r="N126" s="53"/>
      <c r="O126" s="53"/>
      <c r="P126" s="53"/>
      <c r="Q126" s="53"/>
      <c r="R126" s="53"/>
      <c r="S126" s="53"/>
      <c r="T126" s="53"/>
      <c r="U126" s="11"/>
    </row>
    <row r="127" spans="1:26" ht="14.4" thickBot="1" x14ac:dyDescent="0.35">
      <c r="A127" s="13">
        <v>62</v>
      </c>
      <c r="B127" s="55">
        <f t="shared" si="22"/>
        <v>1</v>
      </c>
      <c r="C127" s="72" t="s">
        <v>35</v>
      </c>
      <c r="D127" s="12" t="str">
        <f t="shared" si="23"/>
        <v xml:space="preserve">      Interest</v>
      </c>
      <c r="E127" s="12"/>
      <c r="F127" s="12"/>
      <c r="G127" s="12"/>
      <c r="H127" s="60"/>
      <c r="I127" s="92"/>
      <c r="J127" s="102"/>
      <c r="K127" s="71"/>
      <c r="L127" s="102"/>
      <c r="M127" s="102"/>
      <c r="N127" s="102"/>
      <c r="O127" s="102"/>
      <c r="P127" s="102"/>
      <c r="Q127" s="71"/>
      <c r="R127" s="102"/>
      <c r="S127" s="102"/>
      <c r="T127" s="102"/>
      <c r="U127" s="11"/>
    </row>
    <row r="128" spans="1:26" ht="14.4" thickBot="1" x14ac:dyDescent="0.35">
      <c r="A128" s="13">
        <v>70</v>
      </c>
      <c r="B128" s="55">
        <f t="shared" si="22"/>
        <v>0</v>
      </c>
      <c r="C128" s="118" t="s">
        <v>36</v>
      </c>
      <c r="D128" s="12" t="str">
        <f t="shared" si="23"/>
        <v xml:space="preserve">Annualized O&amp;M Cost </v>
      </c>
      <c r="E128" s="12"/>
      <c r="F128" s="12"/>
      <c r="G128" s="12"/>
      <c r="H128" s="85"/>
      <c r="I128" s="85"/>
      <c r="J128" s="55"/>
      <c r="K128" s="54"/>
      <c r="L128" s="55"/>
      <c r="M128" s="55"/>
      <c r="N128" s="55"/>
      <c r="O128" s="55"/>
      <c r="P128" s="55"/>
      <c r="Q128" s="54"/>
      <c r="R128" s="55"/>
      <c r="S128" s="55"/>
      <c r="T128" s="55"/>
      <c r="U128" s="11"/>
    </row>
    <row r="129" spans="1:21" ht="14.4" thickBot="1" x14ac:dyDescent="0.35">
      <c r="A129" s="13">
        <v>71</v>
      </c>
      <c r="B129" s="55">
        <f t="shared" si="22"/>
        <v>1</v>
      </c>
      <c r="C129" s="72" t="s">
        <v>37</v>
      </c>
      <c r="D129" s="12" t="str">
        <f t="shared" si="23"/>
        <v xml:space="preserve">      O&amp;M Staff</v>
      </c>
      <c r="E129" s="12"/>
      <c r="F129" s="12"/>
      <c r="G129" s="12"/>
      <c r="H129" s="60"/>
      <c r="I129" s="92"/>
      <c r="J129" s="102"/>
      <c r="K129" s="71"/>
      <c r="L129" s="102"/>
      <c r="M129" s="102"/>
      <c r="N129" s="102"/>
      <c r="O129" s="102"/>
      <c r="P129" s="102"/>
      <c r="Q129" s="71"/>
      <c r="R129" s="102"/>
      <c r="S129" s="102"/>
      <c r="T129" s="102"/>
      <c r="U129" s="11"/>
    </row>
    <row r="130" spans="1:21" ht="70.95" customHeight="1" thickBot="1" x14ac:dyDescent="0.35">
      <c r="A130" s="16">
        <v>711</v>
      </c>
      <c r="B130" s="55">
        <f t="shared" si="22"/>
        <v>2</v>
      </c>
      <c r="C130" s="72" t="s">
        <v>38</v>
      </c>
      <c r="D130" s="12" t="str">
        <f t="shared" si="23"/>
        <v xml:space="preserve">            Operators </v>
      </c>
      <c r="E130" s="12" t="s">
        <v>347</v>
      </c>
      <c r="F130" s="12"/>
      <c r="G130" s="12"/>
      <c r="H130" s="60"/>
      <c r="I130" s="92">
        <v>178500</v>
      </c>
      <c r="J130" s="102" t="s">
        <v>388</v>
      </c>
      <c r="K130" s="71" t="s">
        <v>389</v>
      </c>
      <c r="L130" s="102"/>
      <c r="M130" s="102"/>
      <c r="N130" s="102">
        <v>1</v>
      </c>
      <c r="O130" s="102">
        <v>2024</v>
      </c>
      <c r="P130" s="102" t="s">
        <v>72</v>
      </c>
      <c r="Q130" s="71"/>
      <c r="R130" s="71" t="s">
        <v>390</v>
      </c>
      <c r="S130" s="102"/>
      <c r="T130" s="102"/>
      <c r="U130" s="11"/>
    </row>
    <row r="131" spans="1:21" ht="30" customHeight="1" thickBot="1" x14ac:dyDescent="0.35">
      <c r="A131" s="16">
        <v>712</v>
      </c>
      <c r="B131" s="55">
        <f t="shared" si="22"/>
        <v>2</v>
      </c>
      <c r="C131" s="72" t="s">
        <v>39</v>
      </c>
      <c r="D131" s="12" t="str">
        <f t="shared" si="23"/>
        <v xml:space="preserve">            Remote Monitoring Technicians </v>
      </c>
      <c r="E131" s="12" t="s">
        <v>347</v>
      </c>
      <c r="F131" s="12" t="s">
        <v>393</v>
      </c>
      <c r="G131" s="12" t="s">
        <v>394</v>
      </c>
      <c r="H131" s="60"/>
      <c r="I131" s="92">
        <v>178500</v>
      </c>
      <c r="J131" s="102" t="s">
        <v>388</v>
      </c>
      <c r="K131" s="71" t="s">
        <v>392</v>
      </c>
      <c r="L131" s="102"/>
      <c r="M131" s="102"/>
      <c r="N131" s="102">
        <v>1</v>
      </c>
      <c r="O131" s="102">
        <v>2024</v>
      </c>
      <c r="P131" s="102" t="s">
        <v>72</v>
      </c>
      <c r="Q131" s="71"/>
      <c r="R131" s="71" t="s">
        <v>390</v>
      </c>
      <c r="S131" s="102"/>
      <c r="T131" s="102"/>
      <c r="U131" s="11"/>
    </row>
    <row r="132" spans="1:21" ht="93.6" thickBot="1" x14ac:dyDescent="0.35">
      <c r="A132" s="16">
        <v>713</v>
      </c>
      <c r="B132" s="55">
        <f t="shared" si="22"/>
        <v>2</v>
      </c>
      <c r="C132" s="72" t="s">
        <v>40</v>
      </c>
      <c r="D132" s="12" t="str">
        <f t="shared" si="23"/>
        <v xml:space="preserve">            Security Staff </v>
      </c>
      <c r="E132" s="12" t="s">
        <v>347</v>
      </c>
      <c r="F132" s="12"/>
      <c r="G132" s="12"/>
      <c r="H132" s="60"/>
      <c r="I132" s="92">
        <v>178500</v>
      </c>
      <c r="J132" s="102" t="s">
        <v>388</v>
      </c>
      <c r="K132" s="71" t="s">
        <v>395</v>
      </c>
      <c r="L132" s="102"/>
      <c r="M132" s="102"/>
      <c r="N132" s="102">
        <v>1</v>
      </c>
      <c r="O132" s="102">
        <v>2024</v>
      </c>
      <c r="P132" s="102" t="s">
        <v>72</v>
      </c>
      <c r="Q132" s="71"/>
      <c r="R132" s="71" t="s">
        <v>390</v>
      </c>
      <c r="S132" s="102"/>
      <c r="T132" s="102"/>
      <c r="U132" s="11"/>
    </row>
    <row r="133" spans="1:21" ht="27.6" thickBot="1" x14ac:dyDescent="0.35">
      <c r="A133" s="13">
        <v>72</v>
      </c>
      <c r="B133" s="55">
        <f t="shared" si="22"/>
        <v>1</v>
      </c>
      <c r="C133" s="72" t="s">
        <v>444</v>
      </c>
      <c r="D133" s="12" t="str">
        <f t="shared" si="23"/>
        <v xml:space="preserve">      Variable Non-Fuel Costs</v>
      </c>
      <c r="E133" s="12" t="s">
        <v>347</v>
      </c>
      <c r="F133" s="12" t="s">
        <v>356</v>
      </c>
      <c r="G133" s="12" t="s">
        <v>445</v>
      </c>
      <c r="H133" s="60"/>
      <c r="I133" s="92"/>
      <c r="J133" s="102"/>
      <c r="K133" s="71"/>
      <c r="L133" s="102"/>
      <c r="M133" s="102"/>
      <c r="N133" s="102"/>
      <c r="O133" s="102"/>
      <c r="P133" s="102"/>
      <c r="Q133" s="71"/>
      <c r="R133" s="71"/>
      <c r="S133" s="102"/>
      <c r="T133" s="102"/>
      <c r="U133" s="11"/>
    </row>
    <row r="134" spans="1:21" ht="14.4" thickBot="1" x14ac:dyDescent="0.35">
      <c r="A134" s="13">
        <v>75</v>
      </c>
      <c r="B134" s="55">
        <f t="shared" si="22"/>
        <v>1</v>
      </c>
      <c r="C134" s="72" t="s">
        <v>41</v>
      </c>
      <c r="D134" s="12" t="str">
        <f t="shared" si="23"/>
        <v xml:space="preserve">      Capital Plant Expenditures</v>
      </c>
      <c r="E134" s="12"/>
      <c r="F134" s="12"/>
      <c r="G134" s="12"/>
      <c r="H134" s="60"/>
      <c r="I134" s="92"/>
      <c r="J134" s="102"/>
      <c r="K134" s="71"/>
      <c r="L134" s="102"/>
      <c r="M134" s="102"/>
      <c r="N134" s="102"/>
      <c r="O134" s="102"/>
      <c r="P134" s="102"/>
      <c r="Q134" s="71"/>
      <c r="R134" s="71"/>
      <c r="S134" s="102"/>
      <c r="T134" s="102"/>
      <c r="U134" s="11"/>
    </row>
    <row r="135" spans="1:21" ht="30" customHeight="1" thickBot="1" x14ac:dyDescent="0.35">
      <c r="A135" s="13">
        <v>78</v>
      </c>
      <c r="B135" s="55">
        <f t="shared" ref="B135" si="26">IF(ISNUMBER(A135),
    IF(AND(A135=INT(A135), MOD(A135, 10) = 0), 0,
        IF(AND(A135=INT(A135), LEN(A135)=2), 1,
            IF(AND(A135=INT(A135), LEN(A135)=3), 2,
                LEN(A135) - FIND(".", A135) + 2)
        )
    ),
"")</f>
        <v>1</v>
      </c>
      <c r="C135" s="72" t="s">
        <v>42</v>
      </c>
      <c r="D135" s="12" t="str">
        <f t="shared" ref="D135" si="27">REPT("   ", B135*2) &amp; C135</f>
        <v xml:space="preserve">      Annualized Decommissioning Cost</v>
      </c>
      <c r="E135" s="12"/>
      <c r="F135" s="12"/>
      <c r="G135" s="12"/>
      <c r="H135" s="60"/>
      <c r="I135" s="97"/>
      <c r="J135" s="102"/>
      <c r="K135" s="57"/>
      <c r="L135" s="102"/>
      <c r="M135" s="102"/>
      <c r="N135" s="102"/>
      <c r="O135" s="102"/>
      <c r="P135" s="119"/>
      <c r="Q135" s="71"/>
      <c r="R135" s="71"/>
      <c r="S135" s="102"/>
      <c r="T135" s="102"/>
      <c r="U135" s="11"/>
    </row>
    <row r="136" spans="1:21" ht="14.4" thickBot="1" x14ac:dyDescent="0.35">
      <c r="A136" s="13">
        <v>80</v>
      </c>
      <c r="B136" s="55">
        <f t="shared" si="22"/>
        <v>0</v>
      </c>
      <c r="C136" s="118" t="s">
        <v>43</v>
      </c>
      <c r="D136" s="12" t="str">
        <f t="shared" si="23"/>
        <v>Annualized Fuel Cost</v>
      </c>
      <c r="E136" s="12"/>
      <c r="F136" s="12"/>
      <c r="G136" s="12"/>
      <c r="H136" s="85"/>
      <c r="I136" s="85"/>
      <c r="J136" s="55"/>
      <c r="K136" s="54"/>
      <c r="L136" s="55"/>
      <c r="M136" s="55"/>
      <c r="N136" s="55"/>
      <c r="O136" s="55"/>
      <c r="P136" s="55"/>
      <c r="Q136" s="54"/>
      <c r="R136" s="55"/>
      <c r="S136" s="55"/>
      <c r="T136" s="55"/>
    </row>
    <row r="137" spans="1:21" ht="93.6" thickBot="1" x14ac:dyDescent="0.35">
      <c r="A137" s="13">
        <v>81</v>
      </c>
      <c r="B137" s="55">
        <f t="shared" si="22"/>
        <v>1</v>
      </c>
      <c r="C137" s="72" t="s">
        <v>44</v>
      </c>
      <c r="D137" s="12" t="str">
        <f t="shared" si="23"/>
        <v xml:space="preserve">      Refueling Operations</v>
      </c>
      <c r="E137" s="12" t="s">
        <v>347</v>
      </c>
      <c r="F137" s="12"/>
      <c r="G137" s="12"/>
      <c r="H137" s="60"/>
      <c r="I137" s="92">
        <v>178500</v>
      </c>
      <c r="J137" s="102" t="s">
        <v>388</v>
      </c>
      <c r="K137" s="71" t="s">
        <v>389</v>
      </c>
      <c r="L137" s="102"/>
      <c r="M137" s="102"/>
      <c r="N137" s="102">
        <v>1</v>
      </c>
      <c r="O137" s="102">
        <v>2024</v>
      </c>
      <c r="P137" s="119" t="s">
        <v>72</v>
      </c>
      <c r="Q137" s="71"/>
      <c r="R137" s="71" t="s">
        <v>390</v>
      </c>
      <c r="S137" s="102"/>
      <c r="T137" s="102"/>
    </row>
    <row r="138" spans="1:21" ht="14.4" thickBot="1" x14ac:dyDescent="0.35">
      <c r="A138" s="13">
        <v>82</v>
      </c>
      <c r="B138" s="55">
        <f t="shared" si="22"/>
        <v>1</v>
      </c>
      <c r="C138" s="72" t="s">
        <v>45</v>
      </c>
      <c r="D138" s="12" t="str">
        <f t="shared" si="23"/>
        <v xml:space="preserve">      Additional Nuclear Fuel</v>
      </c>
      <c r="E138" s="12"/>
      <c r="F138" s="12"/>
      <c r="G138" s="12"/>
      <c r="H138" s="60"/>
      <c r="I138" s="92"/>
      <c r="J138" s="102"/>
      <c r="K138" s="71"/>
      <c r="L138" s="102"/>
      <c r="M138" s="102"/>
      <c r="N138" s="102"/>
      <c r="O138" s="102"/>
      <c r="P138" s="102"/>
      <c r="Q138" s="71"/>
      <c r="R138" s="102"/>
      <c r="S138" s="102"/>
      <c r="T138" s="102"/>
    </row>
    <row r="139" spans="1:21" ht="27.6" thickBot="1" x14ac:dyDescent="0.35">
      <c r="A139" s="13">
        <v>83</v>
      </c>
      <c r="B139" s="55">
        <f t="shared" si="22"/>
        <v>1</v>
      </c>
      <c r="C139" s="72" t="s">
        <v>46</v>
      </c>
      <c r="D139" s="12" t="str">
        <f t="shared" si="23"/>
        <v xml:space="preserve">      Spent Fuel Management</v>
      </c>
      <c r="E139" s="12" t="s">
        <v>346</v>
      </c>
      <c r="F139" s="12"/>
      <c r="G139" s="12"/>
      <c r="H139" s="60"/>
      <c r="I139" s="92">
        <v>1</v>
      </c>
      <c r="J139" s="102" t="s">
        <v>401</v>
      </c>
      <c r="K139" s="71" t="s">
        <v>402</v>
      </c>
      <c r="L139" s="102"/>
      <c r="M139" s="102"/>
      <c r="N139" s="102">
        <v>1</v>
      </c>
      <c r="O139" s="102">
        <v>2024</v>
      </c>
      <c r="P139" s="102" t="s">
        <v>77</v>
      </c>
      <c r="Q139" s="71"/>
      <c r="R139" s="102"/>
      <c r="S139" s="102"/>
      <c r="T139" s="102"/>
    </row>
  </sheetData>
  <autoFilter ref="A1:Z139" xr:uid="{F5330BDA-7164-B946-A942-FFAE4F744BBA}"/>
  <mergeCells count="43">
    <mergeCell ref="Q120:Q123"/>
    <mergeCell ref="Q39:Q41"/>
    <mergeCell ref="Q45:Q47"/>
    <mergeCell ref="Q49:Q51"/>
    <mergeCell ref="Q111:Q115"/>
    <mergeCell ref="Q104:Q109"/>
    <mergeCell ref="R39:R41"/>
    <mergeCell ref="Q20:Q22"/>
    <mergeCell ref="Q24:Q26"/>
    <mergeCell ref="Q30:Q32"/>
    <mergeCell ref="Q34:Q36"/>
    <mergeCell ref="R111:R115"/>
    <mergeCell ref="R81:R82"/>
    <mergeCell ref="S81:S82"/>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R104:R109"/>
    <mergeCell ref="T81:T82"/>
    <mergeCell ref="R45:R47"/>
    <mergeCell ref="R49:R51"/>
    <mergeCell ref="S45:S47"/>
    <mergeCell ref="S49:S51"/>
    <mergeCell ref="S71:S76"/>
    <mergeCell ref="R64:R68"/>
    <mergeCell ref="S64:S68"/>
    <mergeCell ref="R56:R61"/>
  </mergeCells>
  <conditionalFormatting sqref="A81:F83 A84:T84 A104:B109 S104:T109 A110:T110 L111:T111 L112:P112 S112:T116 I113:P113 A116:R116 R120:T125 A126:T129 A130:H131 A132:J133 A134:Q134 A136:T136 A138:T139 S86:T89 R137:T137 S134:T135 R133:R135">
    <cfRule type="expression" dxfId="117" priority="195">
      <formula>$B81=3</formula>
    </cfRule>
    <cfRule type="expression" dxfId="116" priority="196">
      <formula>$B81=2</formula>
    </cfRule>
    <cfRule type="expression" dxfId="115" priority="197">
      <formula>$B81&lt;2</formula>
    </cfRule>
  </conditionalFormatting>
  <conditionalFormatting sqref="A81:F83 A84:T84 A110:T110 L111:T111 L112:P112 I113:P113 A116:R116 A126:T129 A130:H131 A132:J133 A134:Q134 A136:T136 A138:T139 A104:B109 S104:T109 S112:T116 R120:T125 S86:T89 A92:N94 R137:T137 A95:T103 S134:T135 R133:R135">
    <cfRule type="expression" dxfId="114" priority="198">
      <formula>$B81=0</formula>
    </cfRule>
  </conditionalFormatting>
  <conditionalFormatting sqref="A111:H113 A85:I89 K86:Q89 A135:Q135">
    <cfRule type="expression" dxfId="113" priority="159">
      <formula>$B85=3</formula>
    </cfRule>
    <cfRule type="expression" dxfId="112" priority="160">
      <formula>$B85=2</formula>
    </cfRule>
    <cfRule type="expression" dxfId="111" priority="161">
      <formula>$B85&lt;2</formula>
    </cfRule>
    <cfRule type="expression" dxfId="110" priority="162">
      <formula>$B85=0</formula>
    </cfRule>
  </conditionalFormatting>
  <conditionalFormatting sqref="A114:P115">
    <cfRule type="expression" dxfId="109" priority="143">
      <formula>$B114=3</formula>
    </cfRule>
    <cfRule type="expression" dxfId="108" priority="144">
      <formula>$B114=2</formula>
    </cfRule>
    <cfRule type="expression" dxfId="107" priority="145">
      <formula>$B114&lt;2</formula>
    </cfRule>
    <cfRule type="expression" dxfId="106" priority="146">
      <formula>$B114=0</formula>
    </cfRule>
  </conditionalFormatting>
  <conditionalFormatting sqref="A118:P125">
    <cfRule type="expression" dxfId="105" priority="91">
      <formula>$B118=3</formula>
    </cfRule>
    <cfRule type="expression" dxfId="104" priority="92">
      <formula>$B118=2</formula>
    </cfRule>
    <cfRule type="expression" dxfId="103" priority="93">
      <formula>$B118&lt;2</formula>
    </cfRule>
    <cfRule type="expression" dxfId="102" priority="94">
      <formula>$B118=0</formula>
    </cfRule>
  </conditionalFormatting>
  <conditionalFormatting sqref="A137:Q137">
    <cfRule type="expression" dxfId="101" priority="59">
      <formula>$B137=3</formula>
    </cfRule>
    <cfRule type="expression" dxfId="100" priority="60">
      <formula>$B137=2</formula>
    </cfRule>
    <cfRule type="expression" dxfId="99" priority="61">
      <formula>$B137&lt;2</formula>
    </cfRule>
    <cfRule type="expression" dxfId="98" priority="62">
      <formula>$B137=0</formula>
    </cfRule>
  </conditionalFormatting>
  <conditionalFormatting sqref="A80:S80">
    <cfRule type="expression" dxfId="97" priority="199">
      <formula>$B80=3</formula>
    </cfRule>
    <cfRule type="expression" dxfId="96" priority="200">
      <formula>$B80=2</formula>
    </cfRule>
    <cfRule type="expression" dxfId="95" priority="201">
      <formula>$B80&lt;2</formula>
    </cfRule>
    <cfRule type="expression" dxfId="94" priority="202">
      <formula>$B80=0</formula>
    </cfRule>
  </conditionalFormatting>
  <conditionalFormatting sqref="A1:T55 A70:T71 A72:P73 A74:T79 H81:R81 H82:Q82 G83:Q83 K85:T85 T80:T83 S59:T61 K59:N61 A56:G61 A62:T68">
    <cfRule type="expression" dxfId="4" priority="206">
      <formula>$B1=0</formula>
    </cfRule>
  </conditionalFormatting>
  <conditionalFormatting sqref="A1:T55 T80:T83 H81:R81 H82:Q82 G83:Q83 K85:T85 S59:T61 A56:G61">
    <cfRule type="expression" dxfId="3" priority="203">
      <formula>$B1=3</formula>
    </cfRule>
    <cfRule type="expression" dxfId="2" priority="204">
      <formula>$B1=2</formula>
    </cfRule>
    <cfRule type="expression" dxfId="1" priority="205">
      <formula>$B1&lt;2</formula>
    </cfRule>
  </conditionalFormatting>
  <conditionalFormatting sqref="A62:T79">
    <cfRule type="expression" dxfId="11" priority="33">
      <formula>$B62=3</formula>
    </cfRule>
    <cfRule type="expression" dxfId="10" priority="34">
      <formula>$B62=2</formula>
    </cfRule>
    <cfRule type="expression" dxfId="9" priority="35">
      <formula>$B62&lt;2</formula>
    </cfRule>
  </conditionalFormatting>
  <conditionalFormatting sqref="A69:T69">
    <cfRule type="expression" dxfId="93" priority="41">
      <formula>$B69=0</formula>
    </cfRule>
  </conditionalFormatting>
  <conditionalFormatting sqref="A90:T91">
    <cfRule type="expression" dxfId="92" priority="166">
      <formula>$B90=0</formula>
    </cfRule>
  </conditionalFormatting>
  <conditionalFormatting sqref="A90:T91 A95:T103 A92:Q94 S92:T94">
    <cfRule type="expression" dxfId="91" priority="29">
      <formula>$B90=3</formula>
    </cfRule>
    <cfRule type="expression" dxfId="90" priority="30">
      <formula>$B90=2</formula>
    </cfRule>
    <cfRule type="expression" dxfId="89" priority="31">
      <formula>$B90&lt;2</formula>
    </cfRule>
  </conditionalFormatting>
  <conditionalFormatting sqref="A117:T117">
    <cfRule type="expression" dxfId="88" priority="127">
      <formula>$B117=3</formula>
    </cfRule>
    <cfRule type="expression" dxfId="87" priority="128">
      <formula>$B117=2</formula>
    </cfRule>
    <cfRule type="expression" dxfId="86" priority="129">
      <formula>$B117&lt;2</formula>
    </cfRule>
    <cfRule type="expression" dxfId="85" priority="130">
      <formula>$B117=0</formula>
    </cfRule>
  </conditionalFormatting>
  <conditionalFormatting sqref="C104:R104 C105:P109">
    <cfRule type="expression" dxfId="84" priority="18">
      <formula>$B104=3</formula>
    </cfRule>
    <cfRule type="expression" dxfId="83" priority="19">
      <formula>$B104=2</formula>
    </cfRule>
    <cfRule type="expression" dxfId="82" priority="20">
      <formula>$B104&lt;2</formula>
    </cfRule>
    <cfRule type="expression" dxfId="81" priority="21">
      <formula>$B104=0</formula>
    </cfRule>
  </conditionalFormatting>
  <conditionalFormatting sqref="D69">
    <cfRule type="colorScale" priority="42">
      <colorScale>
        <cfvo type="min"/>
        <cfvo type="max"/>
        <color rgb="FFFF7128"/>
        <color rgb="FFFFEF9C"/>
      </colorScale>
    </cfRule>
  </conditionalFormatting>
  <conditionalFormatting sqref="D104:D109">
    <cfRule type="colorScale" priority="22">
      <colorScale>
        <cfvo type="min"/>
        <cfvo type="max"/>
        <color rgb="FFFF7128"/>
        <color rgb="FFFFEF9C"/>
      </colorScale>
    </cfRule>
  </conditionalFormatting>
  <conditionalFormatting sqref="E1:O55 E95:O103 K59:N61 E56:G61 E92:N94 E110:O168 E62:O68 E70:O91">
    <cfRule type="expression" dxfId="0" priority="58">
      <formula>_xlfn.ISFORMULA(E1)</formula>
    </cfRule>
  </conditionalFormatting>
  <conditionalFormatting sqref="E69:O69">
    <cfRule type="expression" dxfId="80" priority="37">
      <formula>_xlfn.ISFORMULA(E69)</formula>
    </cfRule>
  </conditionalFormatting>
  <conditionalFormatting sqref="E104:O109">
    <cfRule type="expression" dxfId="79" priority="17">
      <formula>_xlfn.ISFORMULA(E104)</formula>
    </cfRule>
  </conditionalFormatting>
  <conditionalFormatting sqref="G81:G82">
    <cfRule type="expression" dxfId="78" priority="191">
      <formula>$B81=3</formula>
    </cfRule>
    <cfRule type="expression" dxfId="77" priority="192">
      <formula>$B81=2</formula>
    </cfRule>
    <cfRule type="expression" dxfId="76" priority="193">
      <formula>$B81&lt;2</formula>
    </cfRule>
    <cfRule type="expression" dxfId="75" priority="194">
      <formula>$B81=0</formula>
    </cfRule>
  </conditionalFormatting>
  <conditionalFormatting sqref="H59:J61">
    <cfRule type="expression" dxfId="74" priority="48">
      <formula>_xlfn.ISFORMULA(H59)</formula>
    </cfRule>
    <cfRule type="expression" dxfId="73" priority="52">
      <formula>$B59=0</formula>
    </cfRule>
  </conditionalFormatting>
  <conditionalFormatting sqref="H56:O58">
    <cfRule type="expression" dxfId="72" priority="53">
      <formula>_xlfn.ISFORMULA(H56)</formula>
    </cfRule>
  </conditionalFormatting>
  <conditionalFormatting sqref="H59:Q61">
    <cfRule type="expression" dxfId="71" priority="44">
      <formula>$B59=3</formula>
    </cfRule>
    <cfRule type="expression" dxfId="70" priority="45">
      <formula>$B59=2</formula>
    </cfRule>
    <cfRule type="expression" dxfId="69" priority="46">
      <formula>$B59&lt;2</formula>
    </cfRule>
  </conditionalFormatting>
  <conditionalFormatting sqref="H56:T56 H57:Q58 S57:T58">
    <cfRule type="expression" dxfId="68" priority="54">
      <formula>$B56=3</formula>
    </cfRule>
    <cfRule type="expression" dxfId="67" priority="55">
      <formula>$B56=2</formula>
    </cfRule>
    <cfRule type="expression" dxfId="66" priority="56">
      <formula>$B56&lt;2</formula>
    </cfRule>
    <cfRule type="expression" dxfId="65" priority="57">
      <formula>$B56=0</formula>
    </cfRule>
  </conditionalFormatting>
  <conditionalFormatting sqref="I130:J131">
    <cfRule type="expression" dxfId="64" priority="75">
      <formula>$B131=3</formula>
    </cfRule>
    <cfRule type="expression" dxfId="63" priority="76">
      <formula>$B131=2</formula>
    </cfRule>
    <cfRule type="expression" dxfId="62" priority="77">
      <formula>$B131&lt;2</formula>
    </cfRule>
    <cfRule type="expression" dxfId="61" priority="78">
      <formula>$B131=0</formula>
    </cfRule>
  </conditionalFormatting>
  <conditionalFormatting sqref="I111:K112">
    <cfRule type="expression" dxfId="60" priority="155">
      <formula>$B111=3</formula>
    </cfRule>
    <cfRule type="expression" dxfId="59" priority="156">
      <formula>$B111=2</formula>
    </cfRule>
    <cfRule type="expression" dxfId="58" priority="157">
      <formula>$B111&lt;2</formula>
    </cfRule>
    <cfRule type="expression" dxfId="57" priority="158">
      <formula>$B111=0</formula>
    </cfRule>
  </conditionalFormatting>
  <conditionalFormatting sqref="O117">
    <cfRule type="expression" dxfId="56" priority="213">
      <formula>$B118=2</formula>
    </cfRule>
    <cfRule type="expression" dxfId="55" priority="214">
      <formula>$B118&lt;2</formula>
    </cfRule>
    <cfRule type="expression" dxfId="54" priority="215">
      <formula>$B118=0</formula>
    </cfRule>
  </conditionalFormatting>
  <conditionalFormatting sqref="K130:Q133 S130:T133">
    <cfRule type="expression" dxfId="53" priority="67">
      <formula>$B130=3</formula>
    </cfRule>
    <cfRule type="expression" dxfId="52" priority="68">
      <formula>$B130=2</formula>
    </cfRule>
    <cfRule type="expression" dxfId="51" priority="69">
      <formula>$B130&lt;2</formula>
    </cfRule>
    <cfRule type="expression" dxfId="50" priority="70">
      <formula>$B130=0</formula>
    </cfRule>
  </conditionalFormatting>
  <conditionalFormatting sqref="O59:O61">
    <cfRule type="expression" dxfId="49" priority="43">
      <formula>_xlfn.ISFORMULA(O59)</formula>
    </cfRule>
  </conditionalFormatting>
  <conditionalFormatting sqref="O92:O94">
    <cfRule type="expression" dxfId="48" priority="28">
      <formula>_xlfn.ISFORMULA(O92)</formula>
    </cfRule>
  </conditionalFormatting>
  <conditionalFormatting sqref="O117">
    <cfRule type="expression" dxfId="47" priority="212">
      <formula>$B118=3</formula>
    </cfRule>
  </conditionalFormatting>
  <conditionalFormatting sqref="O59:Q61">
    <cfRule type="expression" dxfId="46" priority="47">
      <formula>$B59=0</formula>
    </cfRule>
  </conditionalFormatting>
  <conditionalFormatting sqref="O92:Q94 S92:T94">
    <cfRule type="expression" dxfId="45" priority="32">
      <formula>$B92=0</formula>
    </cfRule>
  </conditionalFormatting>
  <conditionalFormatting sqref="Q120">
    <cfRule type="expression" dxfId="44" priority="139">
      <formula>$B120=3</formula>
    </cfRule>
    <cfRule type="expression" dxfId="43" priority="140">
      <formula>$B120=2</formula>
    </cfRule>
    <cfRule type="expression" dxfId="42" priority="141">
      <formula>$B120&lt;2</formula>
    </cfRule>
    <cfRule type="expression" dxfId="41" priority="142">
      <formula>$B120=0</formula>
    </cfRule>
  </conditionalFormatting>
  <conditionalFormatting sqref="Q124:Q125">
    <cfRule type="expression" dxfId="40" priority="135">
      <formula>$B124=3</formula>
    </cfRule>
    <cfRule type="expression" dxfId="39" priority="136">
      <formula>$B124=2</formula>
    </cfRule>
    <cfRule type="expression" dxfId="38" priority="137">
      <formula>$B124&lt;2</formula>
    </cfRule>
    <cfRule type="expression" dxfId="37" priority="138">
      <formula>$B124=0</formula>
    </cfRule>
  </conditionalFormatting>
  <conditionalFormatting sqref="Q72:T73">
    <cfRule type="expression" dxfId="36" priority="36">
      <formula>$B72=0</formula>
    </cfRule>
  </conditionalFormatting>
  <conditionalFormatting sqref="Q118:T119">
    <cfRule type="expression" dxfId="35" priority="99">
      <formula>$B118=3</formula>
    </cfRule>
    <cfRule type="expression" dxfId="34" priority="100">
      <formula>$B118=2</formula>
    </cfRule>
    <cfRule type="expression" dxfId="33" priority="101">
      <formula>$B118&lt;2</formula>
    </cfRule>
    <cfRule type="expression" dxfId="32" priority="102">
      <formula>$B118=0</formula>
    </cfRule>
  </conditionalFormatting>
  <conditionalFormatting sqref="S81">
    <cfRule type="expression" dxfId="31" priority="220">
      <formula>$B80=3</formula>
    </cfRule>
    <cfRule type="expression" dxfId="30" priority="221">
      <formula>$B80=2</formula>
    </cfRule>
    <cfRule type="expression" dxfId="29" priority="222">
      <formula>$B80&lt;2</formula>
    </cfRule>
    <cfRule type="expression" dxfId="28" priority="223">
      <formula>$B80=0</formula>
    </cfRule>
  </conditionalFormatting>
  <conditionalFormatting sqref="J85">
    <cfRule type="expression" dxfId="27" priority="394">
      <formula>#REF!=2</formula>
    </cfRule>
    <cfRule type="expression" dxfId="26" priority="395">
      <formula>#REF!&lt;2</formula>
    </cfRule>
    <cfRule type="expression" dxfId="25" priority="396">
      <formula>#REF!=0</formula>
    </cfRule>
  </conditionalFormatting>
  <conditionalFormatting sqref="J85">
    <cfRule type="expression" dxfId="24" priority="397">
      <formula>#REF!=3</formula>
    </cfRule>
  </conditionalFormatting>
  <conditionalFormatting sqref="R130">
    <cfRule type="expression" dxfId="23" priority="13">
      <formula>$B130=3</formula>
    </cfRule>
    <cfRule type="expression" dxfId="22" priority="14">
      <formula>$B130=2</formula>
    </cfRule>
    <cfRule type="expression" dxfId="21" priority="15">
      <formula>$B130&lt;2</formula>
    </cfRule>
    <cfRule type="expression" dxfId="20" priority="16">
      <formula>$B130=0</formula>
    </cfRule>
  </conditionalFormatting>
  <conditionalFormatting sqref="R131">
    <cfRule type="expression" dxfId="19" priority="9">
      <formula>$B131=3</formula>
    </cfRule>
    <cfRule type="expression" dxfId="18" priority="10">
      <formula>$B131=2</formula>
    </cfRule>
    <cfRule type="expression" dxfId="17" priority="11">
      <formula>$B131&lt;2</formula>
    </cfRule>
    <cfRule type="expression" dxfId="16" priority="12">
      <formula>$B131=0</formula>
    </cfRule>
  </conditionalFormatting>
  <conditionalFormatting sqref="R132">
    <cfRule type="expression" dxfId="15" priority="5">
      <formula>$B132=3</formula>
    </cfRule>
    <cfRule type="expression" dxfId="14" priority="6">
      <formula>$B132=2</formula>
    </cfRule>
    <cfRule type="expression" dxfId="13" priority="7">
      <formula>$B132&lt;2</formula>
    </cfRule>
    <cfRule type="expression" dxfId="12" priority="8">
      <formula>$B132=0</formula>
    </cfRule>
  </conditionalFormatting>
  <conditionalFormatting sqref="D110:D139 D70:D103 D2:D68">
    <cfRule type="colorScale" priority="418">
      <colorScale>
        <cfvo type="min"/>
        <cfvo type="max"/>
        <color rgb="FFFF7128"/>
        <color rgb="FFFFEF9C"/>
      </colorScale>
    </cfRule>
  </conditionalFormatting>
  <conditionalFormatting sqref="J85">
    <cfRule type="expression" dxfId="8" priority="1">
      <formula>$B85=3</formula>
    </cfRule>
    <cfRule type="expression" dxfId="7" priority="2">
      <formula>$B85=2</formula>
    </cfRule>
    <cfRule type="expression" dxfId="6" priority="3">
      <formula>$B85&lt;2</formula>
    </cfRule>
  </conditionalFormatting>
  <conditionalFormatting sqref="J85">
    <cfRule type="expression" dxfId="5" priority="4">
      <formula>$B85=0</formula>
    </cfRule>
  </conditionalFormatting>
  <dataValidations count="14">
    <dataValidation type="whole" allowBlank="1" showInputMessage="1" showErrorMessage="1" sqref="O140:P147 O2:O117 O119:O139" xr:uid="{7C199008-9AB6-6549-A861-AD474C13E949}">
      <formula1>1950</formula1>
      <formula2>2025</formula2>
    </dataValidation>
    <dataValidation type="decimal" operator="greaterThan" allowBlank="1" showInputMessage="1" showErrorMessage="1" sqref="I2:I9 I11:I41 I45:I47 I49:I51 L1:L55 I70 L71:L78 I74:I79 H99:H100 H103:H110 I55:I67 L59:L69 I81:I115 H2:H96 L80:L1048576 H114:H139 I117:I139" xr:uid="{66ABF627-CC97-3E44-B6AC-09E441BED0CD}">
      <formula1>0</formula1>
    </dataValidation>
    <dataValidation type="list" allowBlank="1" showInputMessage="1" showErrorMessage="1" sqref="K314:K324"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40:J1048576" xr:uid="{EEDF1E2A-32DC-6242-8EBD-BD01BBD19C77}">
      <formula1>"$/acres, $/MWe, $/m^3, $/MWt"</formula1>
    </dataValidation>
    <dataValidation type="list" allowBlank="1" showInputMessage="1" showErrorMessage="1" sqref="E2:E10 E14 E18:E19 E23 E27:E29 E33 E37:E38 E43:E44 E48 E52:E54 E63 E74 E79:E139" xr:uid="{E571E7A1-C2F9-2E4D-99A9-8FA0C5D45C39}">
      <formula1>"standard, nonstandard"</formula1>
    </dataValidation>
    <dataValidation type="whole" allowBlank="1" showInputMessage="1" showErrorMessage="1" sqref="N140:N293" xr:uid="{6D536505-A5B6-E145-A4B9-9C3C8E6B8527}">
      <formula1>0</formula1>
      <formula2>2</formula2>
    </dataValidation>
    <dataValidation type="decimal" allowBlank="1" showInputMessage="1" showErrorMessage="1" sqref="N2:N103 N110:N139" xr:uid="{1C0096F5-23AB-5A48-8F14-E27BC72A38A6}">
      <formula1>0</formula1>
      <formula2>2</formula2>
    </dataValidation>
    <dataValidation type="list" allowBlank="1" showInputMessage="1" showErrorMessage="1" sqref="M103 M2:M100 M110:M139" xr:uid="{127B7473-9D01-354E-A3BD-12180E660A5C}">
      <formula1>"acres, MWe, m^3, MWt, Kg, Drums, kW, $, m^2, kg/s"</formula1>
    </dataValidation>
    <dataValidation type="list" allowBlank="1" showInputMessage="1" showErrorMessage="1" sqref="J110:J139 J2:J103" xr:uid="{0FCCEC2F-487A-5A42-9C52-ED538456C753}">
      <formula1>"$/MWeHour,$/FTE, $/acres, $/MWe, $/m^3, $/MWt, $/Kg, $/Drum, $/(kg.sec), $/SWU, unitless, $/kWe"</formula1>
    </dataValidation>
    <dataValidation type="list" allowBlank="1" showInputMessage="1" showErrorMessage="1" sqref="M101:M102" xr:uid="{3DD8CB7E-F66A-4C30-8943-BB08D88ABA07}">
      <formula1>"acres, MWe, m^3, MWt, Kg, Drums, kW, $, m^2, kg/s, kWe"</formula1>
    </dataValidation>
    <dataValidation type="list" allowBlank="1" showInputMessage="1" showErrorMessage="1" sqref="J104:J109" xr:uid="{C16DBC1B-3C9C-41C9-938B-EDB37E52B5AE}">
      <formula1>"$/MWeHour,$/FTE, $/acres, $/MWe, $/m^3, $/MWt, $/Kg, $/Drum, $/(kg.sec), $/SWU, unitless"</formula1>
    </dataValidation>
    <dataValidation type="list" allowBlank="1" showInputMessage="1" showErrorMessage="1" sqref="M104:M109" xr:uid="{D3B885B1-E20F-47DA-80AD-4B608DA1A8DB}">
      <formula1>"acres, MWe, m^3, MWt, Kg, Drums, kW, $"</formula1>
    </dataValidation>
    <dataValidation type="decimal" allowBlank="1" showInputMessage="1" showErrorMessage="1" sqref="N104:N109" xr:uid="{68CE29B1-8A74-4C55-81EE-3E98A1DF9596}">
      <formula1>0</formula1>
      <formula2>1</formula2>
    </dataValidation>
    <dataValidation type="list" allowBlank="1" showInputMessage="1" showErrorMessage="1" sqref="P2:P139"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1" r:id="rId3" display="https://www.sciencedirect.com/science/article/pii/S1290072903000218" xr:uid="{FB986645-DAA7-E546-AB13-44635CD5B6AC}"/>
    <hyperlink ref="S96" r:id="rId4" xr:uid="{22457633-A12F-48B5-9254-21F42C65D36E}"/>
    <hyperlink ref="S101" r:id="rId5" xr:uid="{9733E874-F01F-4A23-AD17-429EACFE0390}"/>
    <hyperlink ref="S102" r:id="rId6" xr:uid="{9C11E421-3DD6-4772-9616-7E50D5AE12D8}"/>
    <hyperlink ref="S97" r:id="rId7" xr:uid="{393EA17C-0C00-46CE-9606-5006E4E9652C}"/>
  </hyperlinks>
  <pageMargins left="0.7" right="0.7" top="0.75" bottom="0.75" header="0.3" footer="0.3"/>
  <pageSetup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29" zoomScale="183" workbookViewId="0">
      <selection activeCell="A29" sqref="A29"/>
    </sheetView>
  </sheetViews>
  <sheetFormatPr defaultColWidth="11.5546875" defaultRowHeight="14.4" x14ac:dyDescent="0.3"/>
  <cols>
    <col min="1" max="1" width="11.6640625" style="40" customWidth="1"/>
    <col min="2" max="2" width="35.6640625" style="25" customWidth="1"/>
    <col min="3" max="3" width="20.77734375" style="26" customWidth="1"/>
    <col min="5" max="5" width="12.6640625" bestFit="1" customWidth="1"/>
  </cols>
  <sheetData>
    <row r="1" spans="1:5" ht="15" customHeight="1" x14ac:dyDescent="0.3">
      <c r="A1" s="46" t="s">
        <v>190</v>
      </c>
      <c r="B1" s="47" t="s">
        <v>1</v>
      </c>
      <c r="C1" s="48" t="s">
        <v>319</v>
      </c>
    </row>
    <row r="2" spans="1:5" x14ac:dyDescent="0.3">
      <c r="A2" s="46"/>
      <c r="B2" s="47"/>
      <c r="C2" s="49"/>
    </row>
    <row r="3" spans="1:5" x14ac:dyDescent="0.3">
      <c r="A3" s="38">
        <v>10</v>
      </c>
      <c r="B3" s="22" t="s">
        <v>2</v>
      </c>
      <c r="C3" s="23">
        <f>C4</f>
        <v>5210451</v>
      </c>
    </row>
    <row r="4" spans="1:5" x14ac:dyDescent="0.3">
      <c r="A4" s="39">
        <v>15</v>
      </c>
      <c r="B4" s="20" t="s">
        <v>5</v>
      </c>
      <c r="C4" s="21">
        <v>5210451</v>
      </c>
      <c r="E4" s="21"/>
    </row>
    <row r="5" spans="1:5" x14ac:dyDescent="0.3">
      <c r="A5" s="38">
        <v>20</v>
      </c>
      <c r="B5" s="22" t="s">
        <v>6</v>
      </c>
      <c r="C5" s="23">
        <f>C6+C13+C45+C48+C52+C54</f>
        <v>30295715.421999998</v>
      </c>
    </row>
    <row r="6" spans="1:5" x14ac:dyDescent="0.3">
      <c r="A6" s="39">
        <v>21</v>
      </c>
      <c r="B6" s="20" t="s">
        <v>7</v>
      </c>
      <c r="C6" s="21">
        <f>C7+C8+C9+C10</f>
        <v>2799006.7319999975</v>
      </c>
    </row>
    <row r="7" spans="1:5" x14ac:dyDescent="0.3">
      <c r="A7" s="39">
        <v>211</v>
      </c>
      <c r="B7" s="20" t="s">
        <v>192</v>
      </c>
      <c r="C7" s="21"/>
    </row>
    <row r="8" spans="1:5" x14ac:dyDescent="0.3">
      <c r="A8" s="39">
        <v>212</v>
      </c>
      <c r="B8" s="20" t="s">
        <v>8</v>
      </c>
      <c r="C8" s="21">
        <v>2573469.8719999976</v>
      </c>
    </row>
    <row r="9" spans="1:5" x14ac:dyDescent="0.3">
      <c r="A9" s="39">
        <v>213</v>
      </c>
      <c r="B9" s="20" t="s">
        <v>123</v>
      </c>
      <c r="C9" s="21"/>
    </row>
    <row r="10" spans="1:5" x14ac:dyDescent="0.3">
      <c r="A10" s="39">
        <v>214</v>
      </c>
      <c r="B10" s="20" t="s">
        <v>9</v>
      </c>
      <c r="C10" s="21">
        <f>SUM(C11:C11)</f>
        <v>225536.86</v>
      </c>
    </row>
    <row r="11" spans="1:5" x14ac:dyDescent="0.3">
      <c r="A11" s="39">
        <v>214.7</v>
      </c>
      <c r="B11" s="20" t="s">
        <v>193</v>
      </c>
      <c r="C11" s="21">
        <v>225536.86</v>
      </c>
      <c r="E11" s="42"/>
    </row>
    <row r="12" spans="1:5" x14ac:dyDescent="0.3">
      <c r="A12" s="39">
        <v>217</v>
      </c>
      <c r="B12" s="20" t="s">
        <v>194</v>
      </c>
      <c r="C12" s="21"/>
    </row>
    <row r="13" spans="1:5" x14ac:dyDescent="0.3">
      <c r="A13" s="39">
        <v>22</v>
      </c>
      <c r="B13" s="20" t="s">
        <v>10</v>
      </c>
      <c r="C13" s="21">
        <f>C14+C32+C41+C42+C43+C44</f>
        <v>17586712.57</v>
      </c>
    </row>
    <row r="14" spans="1:5" x14ac:dyDescent="0.3">
      <c r="A14" s="39">
        <v>221</v>
      </c>
      <c r="B14" s="20" t="s">
        <v>11</v>
      </c>
      <c r="C14" s="21">
        <f>C15+C19+C25</f>
        <v>8937296.5999999996</v>
      </c>
    </row>
    <row r="15" spans="1:5" x14ac:dyDescent="0.3">
      <c r="A15" s="39">
        <v>221.1</v>
      </c>
      <c r="B15" s="20" t="s">
        <v>189</v>
      </c>
      <c r="C15" s="21">
        <f>C16+C17+C18</f>
        <v>2004852</v>
      </c>
    </row>
    <row r="16" spans="1:5" x14ac:dyDescent="0.3">
      <c r="A16" s="39">
        <v>221.11</v>
      </c>
      <c r="B16" s="20" t="s">
        <v>188</v>
      </c>
      <c r="C16" s="21">
        <v>762382.4</v>
      </c>
    </row>
    <row r="17" spans="1:4" x14ac:dyDescent="0.3">
      <c r="A17" s="39">
        <v>221.12</v>
      </c>
      <c r="B17" s="24" t="s">
        <v>195</v>
      </c>
      <c r="C17" s="21">
        <v>1201688.6000000001</v>
      </c>
    </row>
    <row r="18" spans="1:4" x14ac:dyDescent="0.3">
      <c r="A18" s="39">
        <v>221.13</v>
      </c>
      <c r="B18" s="24" t="s">
        <v>196</v>
      </c>
      <c r="C18" s="21">
        <v>40781</v>
      </c>
    </row>
    <row r="19" spans="1:4" x14ac:dyDescent="0.3">
      <c r="A19" s="39">
        <v>221.2</v>
      </c>
      <c r="B19" s="24" t="s">
        <v>197</v>
      </c>
      <c r="C19" s="21">
        <f>C20</f>
        <v>2114223</v>
      </c>
    </row>
    <row r="20" spans="1:4" ht="15" thickBot="1" x14ac:dyDescent="0.35">
      <c r="A20" s="39">
        <v>221.21</v>
      </c>
      <c r="B20" s="24" t="s">
        <v>198</v>
      </c>
      <c r="C20" s="21">
        <f>SUM(C21:C23)</f>
        <v>2114223</v>
      </c>
    </row>
    <row r="21" spans="1:4" ht="15" thickBot="1" x14ac:dyDescent="0.35">
      <c r="A21" s="18">
        <v>221.21100000000001</v>
      </c>
      <c r="B21" s="19" t="s">
        <v>12</v>
      </c>
      <c r="C21" s="21">
        <v>1391560</v>
      </c>
      <c r="D21" s="8"/>
    </row>
    <row r="22" spans="1:4" ht="15" thickBot="1" x14ac:dyDescent="0.35">
      <c r="A22" s="18">
        <v>221.21199999999999</v>
      </c>
      <c r="B22" s="19" t="s">
        <v>134</v>
      </c>
      <c r="C22" s="21">
        <v>322663</v>
      </c>
    </row>
    <row r="23" spans="1:4" ht="15" thickBot="1" x14ac:dyDescent="0.35">
      <c r="A23" s="18">
        <v>221.21299999999999</v>
      </c>
      <c r="B23" s="19" t="s">
        <v>182</v>
      </c>
      <c r="C23" s="21">
        <v>400000</v>
      </c>
    </row>
    <row r="24" spans="1:4" ht="15" thickBot="1" x14ac:dyDescent="0.35">
      <c r="A24" s="18">
        <v>221.214</v>
      </c>
      <c r="B24" s="19" t="s">
        <v>183</v>
      </c>
    </row>
    <row r="25" spans="1:4" x14ac:dyDescent="0.3">
      <c r="A25" s="39">
        <v>221.3</v>
      </c>
      <c r="B25" s="24" t="s">
        <v>199</v>
      </c>
      <c r="C25" s="21">
        <f>C26+C30+C31</f>
        <v>4818221.5999999996</v>
      </c>
    </row>
    <row r="26" spans="1:4" x14ac:dyDescent="0.3">
      <c r="A26" s="39">
        <v>221.31</v>
      </c>
      <c r="B26" s="24" t="s">
        <v>13</v>
      </c>
      <c r="C26" s="21">
        <v>4170231</v>
      </c>
    </row>
    <row r="27" spans="1:4" x14ac:dyDescent="0.3">
      <c r="A27" s="41">
        <v>221.31100000000001</v>
      </c>
      <c r="B27" s="24" t="s">
        <v>323</v>
      </c>
      <c r="C27" s="21">
        <v>3200000</v>
      </c>
    </row>
    <row r="28" spans="1:4" x14ac:dyDescent="0.3">
      <c r="A28" s="41">
        <v>221.31200000000001</v>
      </c>
      <c r="B28" s="24" t="s">
        <v>325</v>
      </c>
      <c r="C28" s="21">
        <v>850000</v>
      </c>
    </row>
    <row r="29" spans="1:4" x14ac:dyDescent="0.3">
      <c r="A29" s="41">
        <v>221.31299999999999</v>
      </c>
      <c r="B29" s="24" t="s">
        <v>324</v>
      </c>
      <c r="C29" s="21">
        <v>120231</v>
      </c>
    </row>
    <row r="30" spans="1:4" x14ac:dyDescent="0.3">
      <c r="A30" s="39">
        <v>221.32</v>
      </c>
      <c r="B30" s="24" t="s">
        <v>14</v>
      </c>
      <c r="C30" s="21">
        <v>647990.6</v>
      </c>
    </row>
    <row r="31" spans="1:4" x14ac:dyDescent="0.3">
      <c r="A31" s="39">
        <v>221.33</v>
      </c>
      <c r="B31" s="24" t="s">
        <v>200</v>
      </c>
      <c r="C31" s="21">
        <v>0</v>
      </c>
    </row>
    <row r="32" spans="1:4" x14ac:dyDescent="0.3">
      <c r="A32" s="39" t="s">
        <v>201</v>
      </c>
      <c r="B32" s="20" t="s">
        <v>15</v>
      </c>
      <c r="C32" s="21">
        <f>C33+C34+C38+C39+C40</f>
        <v>5908950.5999999996</v>
      </c>
    </row>
    <row r="33" spans="1:3" x14ac:dyDescent="0.3">
      <c r="A33" s="39">
        <v>222.1</v>
      </c>
      <c r="B33" s="20" t="s">
        <v>202</v>
      </c>
      <c r="C33" s="21">
        <v>0</v>
      </c>
    </row>
    <row r="34" spans="1:3" x14ac:dyDescent="0.3">
      <c r="A34" s="39">
        <v>222.2</v>
      </c>
      <c r="B34" s="20" t="s">
        <v>203</v>
      </c>
      <c r="C34" s="21">
        <v>4890230.5999999996</v>
      </c>
    </row>
    <row r="35" spans="1:3" ht="28.8" x14ac:dyDescent="0.3">
      <c r="A35" s="39">
        <v>222.21</v>
      </c>
      <c r="B35" s="20" t="s">
        <v>320</v>
      </c>
      <c r="C35" s="21">
        <v>1520786</v>
      </c>
    </row>
    <row r="36" spans="1:3" ht="28.8" x14ac:dyDescent="0.3">
      <c r="A36" s="39">
        <v>222.22</v>
      </c>
      <c r="B36" s="20" t="s">
        <v>321</v>
      </c>
      <c r="C36" s="21">
        <v>3341486</v>
      </c>
    </row>
    <row r="37" spans="1:3" ht="28.8" x14ac:dyDescent="0.3">
      <c r="A37" s="39">
        <v>222.23</v>
      </c>
      <c r="B37" s="20" t="s">
        <v>322</v>
      </c>
      <c r="C37" s="21">
        <v>27958.6</v>
      </c>
    </row>
    <row r="38" spans="1:3" x14ac:dyDescent="0.3">
      <c r="A38" s="39">
        <v>222.3</v>
      </c>
      <c r="B38" s="20" t="s">
        <v>17</v>
      </c>
      <c r="C38" s="21">
        <v>0</v>
      </c>
    </row>
    <row r="39" spans="1:3" x14ac:dyDescent="0.3">
      <c r="A39" s="39">
        <v>222.4</v>
      </c>
      <c r="B39" s="20" t="s">
        <v>204</v>
      </c>
      <c r="C39" s="21">
        <v>0</v>
      </c>
    </row>
    <row r="40" spans="1:3" x14ac:dyDescent="0.3">
      <c r="A40" s="39">
        <v>222.5</v>
      </c>
      <c r="B40" s="20" t="s">
        <v>205</v>
      </c>
      <c r="C40" s="21">
        <v>1018720</v>
      </c>
    </row>
    <row r="41" spans="1:3" ht="28.8" x14ac:dyDescent="0.3">
      <c r="A41" s="39" t="s">
        <v>206</v>
      </c>
      <c r="B41" s="20" t="s">
        <v>207</v>
      </c>
      <c r="C41" s="21"/>
    </row>
    <row r="42" spans="1:3" x14ac:dyDescent="0.3">
      <c r="A42" s="39" t="s">
        <v>208</v>
      </c>
      <c r="B42" s="20" t="s">
        <v>209</v>
      </c>
      <c r="C42" s="21">
        <v>456297</v>
      </c>
    </row>
    <row r="43" spans="1:3" ht="28.8" x14ac:dyDescent="0.3">
      <c r="A43" s="39" t="s">
        <v>210</v>
      </c>
      <c r="B43" s="20" t="s">
        <v>20</v>
      </c>
      <c r="C43" s="21">
        <v>2253208.37</v>
      </c>
    </row>
    <row r="44" spans="1:3" x14ac:dyDescent="0.3">
      <c r="A44" s="39" t="s">
        <v>211</v>
      </c>
      <c r="B44" s="20" t="s">
        <v>212</v>
      </c>
      <c r="C44" s="21">
        <v>30960</v>
      </c>
    </row>
    <row r="45" spans="1:3" x14ac:dyDescent="0.3">
      <c r="A45" s="39">
        <v>23</v>
      </c>
      <c r="B45" s="20" t="s">
        <v>213</v>
      </c>
      <c r="C45" s="21">
        <f>C46</f>
        <v>0</v>
      </c>
    </row>
    <row r="46" spans="1:3" x14ac:dyDescent="0.3">
      <c r="A46" s="39">
        <v>232</v>
      </c>
      <c r="B46" s="20" t="s">
        <v>22</v>
      </c>
      <c r="C46" s="21">
        <f>C47</f>
        <v>0</v>
      </c>
    </row>
    <row r="47" spans="1:3" x14ac:dyDescent="0.3">
      <c r="A47" s="39">
        <v>232.1</v>
      </c>
      <c r="B47" s="20" t="s">
        <v>214</v>
      </c>
      <c r="C47" s="21">
        <v>0</v>
      </c>
    </row>
    <row r="48" spans="1:3" x14ac:dyDescent="0.3">
      <c r="A48" s="39">
        <v>24</v>
      </c>
      <c r="B48" s="20" t="s">
        <v>23</v>
      </c>
      <c r="C48" s="21">
        <f>C49+C50+C51</f>
        <v>73415.62000000001</v>
      </c>
    </row>
    <row r="49" spans="1:3" x14ac:dyDescent="0.3">
      <c r="A49" s="39" t="s">
        <v>215</v>
      </c>
      <c r="B49" s="20" t="s">
        <v>216</v>
      </c>
      <c r="C49" s="21">
        <v>1627.02</v>
      </c>
    </row>
    <row r="50" spans="1:3" x14ac:dyDescent="0.3">
      <c r="A50" s="39" t="s">
        <v>217</v>
      </c>
      <c r="B50" s="20" t="s">
        <v>218</v>
      </c>
      <c r="C50" s="21">
        <v>0</v>
      </c>
    </row>
    <row r="51" spans="1:3" x14ac:dyDescent="0.3">
      <c r="A51" s="39" t="s">
        <v>219</v>
      </c>
      <c r="B51" s="20" t="s">
        <v>220</v>
      </c>
      <c r="C51" s="21">
        <v>71788.600000000006</v>
      </c>
    </row>
    <row r="52" spans="1:3" x14ac:dyDescent="0.3">
      <c r="A52" s="39">
        <v>25</v>
      </c>
      <c r="B52" s="20" t="s">
        <v>24</v>
      </c>
      <c r="C52" s="21">
        <f>C53</f>
        <v>9836580.5</v>
      </c>
    </row>
    <row r="53" spans="1:3" x14ac:dyDescent="0.3">
      <c r="A53" s="39" t="s">
        <v>221</v>
      </c>
      <c r="B53" s="20" t="s">
        <v>28</v>
      </c>
      <c r="C53" s="21">
        <v>9836580.5</v>
      </c>
    </row>
    <row r="54" spans="1:3" x14ac:dyDescent="0.3">
      <c r="A54" s="39">
        <v>26</v>
      </c>
      <c r="B54" s="20" t="s">
        <v>222</v>
      </c>
      <c r="C54" s="21"/>
    </row>
    <row r="55" spans="1:3" x14ac:dyDescent="0.3">
      <c r="A55" s="38">
        <v>30</v>
      </c>
      <c r="B55" s="22" t="s">
        <v>29</v>
      </c>
      <c r="C55" s="23">
        <f>C56+C58+C62+C65+C68</f>
        <v>6442742.523737831</v>
      </c>
    </row>
    <row r="56" spans="1:3" x14ac:dyDescent="0.3">
      <c r="A56" s="39">
        <v>31</v>
      </c>
      <c r="B56" s="20" t="s">
        <v>30</v>
      </c>
      <c r="C56" s="21">
        <f>C57</f>
        <v>1333020.8</v>
      </c>
    </row>
    <row r="57" spans="1:3" x14ac:dyDescent="0.3">
      <c r="A57" s="39">
        <v>317</v>
      </c>
      <c r="B57" s="20" t="s">
        <v>223</v>
      </c>
      <c r="C57" s="21">
        <v>1333020.8</v>
      </c>
    </row>
    <row r="58" spans="1:3" x14ac:dyDescent="0.3">
      <c r="A58" s="39">
        <v>33</v>
      </c>
      <c r="B58" s="20" t="s">
        <v>31</v>
      </c>
      <c r="C58" s="21">
        <f>C59</f>
        <v>2407166.4000000004</v>
      </c>
    </row>
    <row r="59" spans="1:3" x14ac:dyDescent="0.3">
      <c r="A59" s="39">
        <v>331</v>
      </c>
      <c r="B59" s="20" t="s">
        <v>224</v>
      </c>
      <c r="C59" s="21">
        <f>C60+C61</f>
        <v>2407166.4000000004</v>
      </c>
    </row>
    <row r="60" spans="1:3" x14ac:dyDescent="0.3">
      <c r="A60" s="39">
        <v>331.3</v>
      </c>
      <c r="B60" s="20" t="s">
        <v>225</v>
      </c>
      <c r="C60" s="21">
        <v>215000</v>
      </c>
    </row>
    <row r="61" spans="1:3" x14ac:dyDescent="0.3">
      <c r="A61" s="39">
        <v>331.5</v>
      </c>
      <c r="B61" s="20" t="s">
        <v>226</v>
      </c>
      <c r="C61" s="21">
        <v>2192166.4000000004</v>
      </c>
    </row>
    <row r="62" spans="1:3" x14ac:dyDescent="0.3">
      <c r="A62" s="39">
        <v>34</v>
      </c>
      <c r="B62" s="20" t="s">
        <v>32</v>
      </c>
      <c r="C62" s="21">
        <f>C63+C64</f>
        <v>1665282.7999999998</v>
      </c>
    </row>
    <row r="63" spans="1:3" x14ac:dyDescent="0.3">
      <c r="A63" s="39">
        <v>341</v>
      </c>
      <c r="B63" s="20" t="s">
        <v>227</v>
      </c>
      <c r="C63" s="21">
        <v>1635355.7999999998</v>
      </c>
    </row>
    <row r="64" spans="1:3" x14ac:dyDescent="0.3">
      <c r="A64" s="39">
        <v>345</v>
      </c>
      <c r="B64" s="20" t="s">
        <v>228</v>
      </c>
      <c r="C64" s="21">
        <v>29927</v>
      </c>
    </row>
    <row r="65" spans="1:3" x14ac:dyDescent="0.3">
      <c r="A65" s="39">
        <v>35</v>
      </c>
      <c r="B65" s="20" t="s">
        <v>33</v>
      </c>
      <c r="C65" s="21">
        <f>C66+C67</f>
        <v>620313.58773783164</v>
      </c>
    </row>
    <row r="66" spans="1:3" x14ac:dyDescent="0.3">
      <c r="A66" s="39">
        <v>351</v>
      </c>
      <c r="B66" s="20" t="s">
        <v>229</v>
      </c>
      <c r="C66" s="21">
        <v>257261.4</v>
      </c>
    </row>
    <row r="67" spans="1:3" x14ac:dyDescent="0.3">
      <c r="A67" s="39">
        <v>352</v>
      </c>
      <c r="B67" s="20" t="s">
        <v>230</v>
      </c>
      <c r="C67" s="21">
        <v>363052.18773783161</v>
      </c>
    </row>
    <row r="68" spans="1:3" x14ac:dyDescent="0.3">
      <c r="A68" s="39">
        <v>36</v>
      </c>
      <c r="B68" s="20" t="s">
        <v>231</v>
      </c>
      <c r="C68" s="21">
        <f>C69+C70</f>
        <v>416958.9359999997</v>
      </c>
    </row>
    <row r="69" spans="1:3" x14ac:dyDescent="0.3">
      <c r="A69" s="39">
        <v>361</v>
      </c>
      <c r="B69" s="20" t="s">
        <v>229</v>
      </c>
      <c r="C69" s="21"/>
    </row>
    <row r="70" spans="1:3" x14ac:dyDescent="0.3">
      <c r="A70" s="39">
        <v>362</v>
      </c>
      <c r="B70" s="20" t="s">
        <v>230</v>
      </c>
      <c r="C70" s="21">
        <v>416958.9359999997</v>
      </c>
    </row>
    <row r="71" spans="1:3" x14ac:dyDescent="0.3">
      <c r="A71" s="38">
        <v>40</v>
      </c>
      <c r="B71" s="22" t="s">
        <v>232</v>
      </c>
      <c r="C71" s="23">
        <f>C72</f>
        <v>4169765</v>
      </c>
    </row>
    <row r="72" spans="1:3" x14ac:dyDescent="0.3">
      <c r="A72" s="39">
        <v>41</v>
      </c>
      <c r="B72" s="20" t="s">
        <v>233</v>
      </c>
      <c r="C72" s="21">
        <v>4169765</v>
      </c>
    </row>
    <row r="73" spans="1:3" x14ac:dyDescent="0.3">
      <c r="A73" s="38">
        <v>50</v>
      </c>
      <c r="B73" s="22" t="s">
        <v>234</v>
      </c>
      <c r="C73" s="23">
        <f>C74</f>
        <v>16408781.6</v>
      </c>
    </row>
    <row r="74" spans="1:3" x14ac:dyDescent="0.3">
      <c r="A74" s="39">
        <v>54</v>
      </c>
      <c r="B74" s="20" t="s">
        <v>235</v>
      </c>
      <c r="C74" s="21">
        <v>16408781.6</v>
      </c>
    </row>
    <row r="75" spans="1:3" x14ac:dyDescent="0.3">
      <c r="A75" s="38">
        <v>60</v>
      </c>
      <c r="B75" s="22" t="s">
        <v>34</v>
      </c>
      <c r="C75" s="23">
        <f>C76</f>
        <v>6160606</v>
      </c>
    </row>
    <row r="76" spans="1:3" x14ac:dyDescent="0.3">
      <c r="A76" s="39">
        <v>61</v>
      </c>
      <c r="B76" s="20" t="s">
        <v>236</v>
      </c>
      <c r="C76" s="21">
        <v>6160606</v>
      </c>
    </row>
    <row r="77" spans="1:3" x14ac:dyDescent="0.3">
      <c r="A77" s="39">
        <v>70</v>
      </c>
      <c r="B77" s="20" t="s">
        <v>36</v>
      </c>
      <c r="C77" s="21">
        <f>C78</f>
        <v>2456659.1999999997</v>
      </c>
    </row>
    <row r="78" spans="1:3" x14ac:dyDescent="0.3">
      <c r="A78" s="39">
        <v>71</v>
      </c>
      <c r="B78" s="20" t="s">
        <v>37</v>
      </c>
      <c r="C78" s="21">
        <v>2456659.1999999997</v>
      </c>
    </row>
    <row r="79" spans="1:3" ht="43.2" x14ac:dyDescent="0.3">
      <c r="A79" s="24" t="s">
        <v>237</v>
      </c>
      <c r="B79" s="20" t="s">
        <v>237</v>
      </c>
      <c r="C79" s="21">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7734375" defaultRowHeight="13.2" x14ac:dyDescent="0.3"/>
  <cols>
    <col min="1" max="1" width="19" style="29" customWidth="1"/>
    <col min="2" max="2" width="16.44140625" style="29" customWidth="1"/>
    <col min="3" max="3" width="22.44140625" style="29" customWidth="1"/>
    <col min="4" max="4" width="32.44140625" style="29" customWidth="1"/>
    <col min="5" max="16384" width="10.77734375" style="29"/>
  </cols>
  <sheetData>
    <row r="1" spans="1:4" ht="16.2" thickBot="1" x14ac:dyDescent="0.35">
      <c r="A1" s="27" t="s">
        <v>238</v>
      </c>
      <c r="B1" s="28" t="s">
        <v>239</v>
      </c>
      <c r="C1" s="28" t="s">
        <v>66</v>
      </c>
      <c r="D1" s="28" t="s">
        <v>240</v>
      </c>
    </row>
    <row r="2" spans="1:4" ht="13.8" thickBot="1" x14ac:dyDescent="0.35">
      <c r="A2" s="50" t="s">
        <v>241</v>
      </c>
      <c r="B2" s="51"/>
      <c r="C2" s="51"/>
      <c r="D2" s="52"/>
    </row>
    <row r="3" spans="1:4" ht="13.8" thickBot="1" x14ac:dyDescent="0.35">
      <c r="A3" s="30" t="s">
        <v>242</v>
      </c>
      <c r="B3" s="7">
        <v>83</v>
      </c>
      <c r="C3" s="31" t="s">
        <v>243</v>
      </c>
      <c r="D3" s="31" t="s">
        <v>244</v>
      </c>
    </row>
    <row r="4" spans="1:4" ht="13.8" thickBot="1" x14ac:dyDescent="0.35">
      <c r="A4" s="30" t="s">
        <v>245</v>
      </c>
      <c r="B4" s="7">
        <v>20</v>
      </c>
      <c r="C4" s="31" t="s">
        <v>246</v>
      </c>
      <c r="D4" s="31"/>
    </row>
    <row r="5" spans="1:4" ht="13.8" thickBot="1" x14ac:dyDescent="0.35">
      <c r="A5" s="30" t="s">
        <v>247</v>
      </c>
      <c r="B5" s="7">
        <v>5.5</v>
      </c>
      <c r="C5" s="31" t="s">
        <v>248</v>
      </c>
      <c r="D5" s="31" t="s">
        <v>244</v>
      </c>
    </row>
    <row r="6" spans="1:4" ht="13.8" thickBot="1" x14ac:dyDescent="0.35">
      <c r="A6" s="30" t="s">
        <v>249</v>
      </c>
      <c r="B6" s="7">
        <v>16.5</v>
      </c>
      <c r="C6" s="31" t="s">
        <v>248</v>
      </c>
      <c r="D6" s="31" t="s">
        <v>244</v>
      </c>
    </row>
    <row r="7" spans="1:4" ht="13.8" thickBot="1" x14ac:dyDescent="0.35">
      <c r="A7" s="50" t="s">
        <v>250</v>
      </c>
      <c r="B7" s="51"/>
      <c r="C7" s="51"/>
      <c r="D7" s="52"/>
    </row>
    <row r="8" spans="1:4" ht="13.8" thickBot="1" x14ac:dyDescent="0.35">
      <c r="A8" s="30" t="s">
        <v>251</v>
      </c>
      <c r="B8" s="7">
        <v>145.30000000000001</v>
      </c>
      <c r="C8" s="31" t="s">
        <v>252</v>
      </c>
      <c r="D8" s="31" t="s">
        <v>253</v>
      </c>
    </row>
    <row r="9" spans="1:4" ht="13.8" thickBot="1" x14ac:dyDescent="0.35">
      <c r="A9" s="30" t="s">
        <v>254</v>
      </c>
      <c r="B9" s="7">
        <v>30</v>
      </c>
      <c r="C9" s="31" t="s">
        <v>255</v>
      </c>
      <c r="D9" s="31" t="s">
        <v>256</v>
      </c>
    </row>
    <row r="10" spans="1:4" ht="13.8" thickBot="1" x14ac:dyDescent="0.35">
      <c r="A10" s="30" t="s">
        <v>257</v>
      </c>
      <c r="B10" s="7">
        <v>19.75</v>
      </c>
      <c r="C10" s="31" t="s">
        <v>255</v>
      </c>
      <c r="D10" s="31" t="s">
        <v>258</v>
      </c>
    </row>
    <row r="11" spans="1:4" ht="13.8" thickBot="1" x14ac:dyDescent="0.35">
      <c r="A11" s="30" t="s">
        <v>259</v>
      </c>
      <c r="B11" s="7">
        <v>36</v>
      </c>
      <c r="C11" s="31" t="s">
        <v>260</v>
      </c>
      <c r="D11" s="31" t="s">
        <v>244</v>
      </c>
    </row>
    <row r="12" spans="1:4" ht="13.8" thickBot="1" x14ac:dyDescent="0.35">
      <c r="A12" s="50" t="s">
        <v>13</v>
      </c>
      <c r="B12" s="51"/>
      <c r="C12" s="51"/>
      <c r="D12" s="52"/>
    </row>
    <row r="13" spans="1:4" ht="13.8" thickBot="1" x14ac:dyDescent="0.35">
      <c r="A13" s="30" t="s">
        <v>261</v>
      </c>
      <c r="B13" s="7" t="s">
        <v>262</v>
      </c>
      <c r="C13" s="31" t="s">
        <v>244</v>
      </c>
      <c r="D13" s="31" t="s">
        <v>263</v>
      </c>
    </row>
    <row r="14" spans="1:4" ht="13.8" thickBot="1" x14ac:dyDescent="0.35">
      <c r="A14" s="30" t="s">
        <v>264</v>
      </c>
      <c r="B14" s="7">
        <v>124</v>
      </c>
      <c r="C14" s="31" t="s">
        <v>260</v>
      </c>
      <c r="D14" s="31" t="s">
        <v>265</v>
      </c>
    </row>
    <row r="15" spans="1:4" ht="13.8" thickBot="1" x14ac:dyDescent="0.35">
      <c r="A15" s="30" t="s">
        <v>266</v>
      </c>
      <c r="B15" s="7">
        <v>1</v>
      </c>
      <c r="C15" s="31" t="s">
        <v>248</v>
      </c>
      <c r="D15" s="31" t="s">
        <v>244</v>
      </c>
    </row>
    <row r="16" spans="1:4" ht="16.2" thickBot="1" x14ac:dyDescent="0.35">
      <c r="A16" s="30" t="s">
        <v>267</v>
      </c>
      <c r="B16" s="7">
        <v>818.4</v>
      </c>
      <c r="C16" s="31" t="s">
        <v>268</v>
      </c>
      <c r="D16" s="31" t="s">
        <v>244</v>
      </c>
    </row>
    <row r="17" spans="1:4" ht="13.8" thickBot="1" x14ac:dyDescent="0.35">
      <c r="A17" s="30" t="s">
        <v>269</v>
      </c>
      <c r="B17" s="7">
        <v>318</v>
      </c>
      <c r="C17" s="31" t="s">
        <v>174</v>
      </c>
      <c r="D17" s="31"/>
    </row>
    <row r="18" spans="1:4" ht="16.2" thickBot="1" x14ac:dyDescent="0.35">
      <c r="A18" s="30" t="s">
        <v>270</v>
      </c>
      <c r="B18" s="7">
        <v>570</v>
      </c>
      <c r="C18" s="31" t="s">
        <v>268</v>
      </c>
      <c r="D18" s="31" t="s">
        <v>244</v>
      </c>
    </row>
    <row r="19" spans="1:4" ht="13.8" thickBot="1" x14ac:dyDescent="0.35">
      <c r="A19" s="30" t="s">
        <v>271</v>
      </c>
      <c r="B19" s="7">
        <v>1.9E-2</v>
      </c>
      <c r="C19" s="31" t="s">
        <v>272</v>
      </c>
      <c r="D19" s="31" t="s">
        <v>244</v>
      </c>
    </row>
    <row r="20" spans="1:4" ht="13.8" thickBot="1" x14ac:dyDescent="0.35">
      <c r="A20" s="50" t="s">
        <v>273</v>
      </c>
      <c r="B20" s="51"/>
      <c r="C20" s="51"/>
      <c r="D20" s="52"/>
    </row>
    <row r="21" spans="1:4" ht="13.8" thickBot="1" x14ac:dyDescent="0.35">
      <c r="A21" s="30" t="s">
        <v>274</v>
      </c>
      <c r="B21" s="7">
        <v>4</v>
      </c>
      <c r="C21" s="31" t="s">
        <v>260</v>
      </c>
      <c r="D21" s="31" t="s">
        <v>244</v>
      </c>
    </row>
    <row r="22" spans="1:4" ht="13.8" thickBot="1" x14ac:dyDescent="0.35">
      <c r="A22" s="30" t="s">
        <v>275</v>
      </c>
      <c r="B22" s="7">
        <v>1</v>
      </c>
      <c r="C22" s="31" t="s">
        <v>260</v>
      </c>
      <c r="D22" s="31" t="s">
        <v>244</v>
      </c>
    </row>
    <row r="23" spans="1:4" ht="13.8" thickBot="1" x14ac:dyDescent="0.35">
      <c r="A23" s="30" t="s">
        <v>276</v>
      </c>
      <c r="B23" s="7">
        <v>124</v>
      </c>
      <c r="C23" s="31" t="s">
        <v>260</v>
      </c>
      <c r="D23" s="31" t="s">
        <v>277</v>
      </c>
    </row>
    <row r="24" spans="1:4" ht="13.8" thickBot="1" x14ac:dyDescent="0.35">
      <c r="A24" s="30" t="s">
        <v>278</v>
      </c>
      <c r="B24" s="7">
        <v>1</v>
      </c>
      <c r="C24" s="31" t="s">
        <v>248</v>
      </c>
      <c r="D24" s="31" t="s">
        <v>244</v>
      </c>
    </row>
    <row r="25" spans="1:4" ht="16.2" thickBot="1" x14ac:dyDescent="0.35">
      <c r="A25" s="30" t="s">
        <v>279</v>
      </c>
      <c r="B25" s="7">
        <v>880.8</v>
      </c>
      <c r="C25" s="31" t="s">
        <v>268</v>
      </c>
      <c r="D25" s="31" t="s">
        <v>280</v>
      </c>
    </row>
    <row r="26" spans="1:4" ht="13.8" thickBot="1" x14ac:dyDescent="0.35">
      <c r="A26" s="30" t="s">
        <v>281</v>
      </c>
      <c r="B26" s="7">
        <v>309</v>
      </c>
      <c r="C26" s="31" t="s">
        <v>174</v>
      </c>
      <c r="D26" s="31" t="s">
        <v>244</v>
      </c>
    </row>
    <row r="27" spans="1:4" ht="16.2" thickBot="1" x14ac:dyDescent="0.35">
      <c r="A27" s="30" t="s">
        <v>282</v>
      </c>
      <c r="B27" s="7">
        <v>49.2</v>
      </c>
      <c r="C27" s="31" t="s">
        <v>268</v>
      </c>
      <c r="D27" s="31" t="s">
        <v>283</v>
      </c>
    </row>
    <row r="28" spans="1:4" ht="13.8" thickBot="1" x14ac:dyDescent="0.35">
      <c r="A28" s="30" t="s">
        <v>284</v>
      </c>
      <c r="B28" s="7">
        <v>14</v>
      </c>
      <c r="C28" s="31" t="s">
        <v>174</v>
      </c>
      <c r="D28" s="31" t="s">
        <v>244</v>
      </c>
    </row>
    <row r="29" spans="1:4" ht="16.2" thickBot="1" x14ac:dyDescent="0.35">
      <c r="A29" s="30" t="s">
        <v>285</v>
      </c>
      <c r="B29" s="7">
        <v>14</v>
      </c>
      <c r="C29" s="31" t="s">
        <v>174</v>
      </c>
      <c r="D29" s="31" t="s">
        <v>283</v>
      </c>
    </row>
    <row r="30" spans="1:4" ht="13.8" thickBot="1" x14ac:dyDescent="0.35">
      <c r="A30" s="50" t="s">
        <v>286</v>
      </c>
      <c r="B30" s="51"/>
      <c r="C30" s="51"/>
      <c r="D30" s="52"/>
    </row>
    <row r="31" spans="1:4" ht="13.8" thickBot="1" x14ac:dyDescent="0.3">
      <c r="A31" s="30" t="s">
        <v>287</v>
      </c>
      <c r="B31" s="7">
        <v>5</v>
      </c>
      <c r="C31" s="32"/>
      <c r="D31" s="31" t="s">
        <v>244</v>
      </c>
    </row>
    <row r="32" spans="1:4" ht="13.8" thickBot="1" x14ac:dyDescent="0.3">
      <c r="A32" s="30" t="s">
        <v>288</v>
      </c>
      <c r="B32" s="7">
        <v>2</v>
      </c>
      <c r="C32" s="32"/>
      <c r="D32" s="31" t="s">
        <v>244</v>
      </c>
    </row>
    <row r="33" spans="1:4" ht="13.8" thickBot="1" x14ac:dyDescent="0.3">
      <c r="A33" s="30" t="s">
        <v>289</v>
      </c>
      <c r="B33" s="7">
        <v>9</v>
      </c>
      <c r="C33" s="32"/>
      <c r="D33" s="31" t="s">
        <v>244</v>
      </c>
    </row>
    <row r="34" spans="1:4" ht="13.8" thickBot="1" x14ac:dyDescent="0.3">
      <c r="A34" s="30" t="s">
        <v>290</v>
      </c>
      <c r="B34" s="7">
        <v>213</v>
      </c>
      <c r="C34" s="32"/>
      <c r="D34" s="31" t="s">
        <v>244</v>
      </c>
    </row>
    <row r="35" spans="1:4" s="37" customFormat="1" ht="27" thickBot="1" x14ac:dyDescent="0.35">
      <c r="A35" s="33" t="s">
        <v>291</v>
      </c>
      <c r="B35" s="34">
        <v>48</v>
      </c>
      <c r="C35" s="35" t="s">
        <v>244</v>
      </c>
      <c r="D35" s="36" t="s">
        <v>292</v>
      </c>
    </row>
    <row r="36" spans="1:4" s="37" customFormat="1" ht="13.8" thickBot="1" x14ac:dyDescent="0.35">
      <c r="A36" s="33" t="s">
        <v>191</v>
      </c>
      <c r="B36" s="34">
        <v>277</v>
      </c>
      <c r="C36" s="35"/>
      <c r="D36" s="36"/>
    </row>
    <row r="37" spans="1:4" ht="13.8" thickBot="1" x14ac:dyDescent="0.35">
      <c r="A37" s="50" t="s">
        <v>293</v>
      </c>
      <c r="B37" s="51"/>
      <c r="C37" s="51"/>
      <c r="D37" s="52"/>
    </row>
    <row r="38" spans="1:4" ht="13.8" thickBot="1" x14ac:dyDescent="0.35">
      <c r="A38" s="30" t="s">
        <v>294</v>
      </c>
      <c r="B38" s="7">
        <v>54.2</v>
      </c>
      <c r="C38" s="31" t="s">
        <v>174</v>
      </c>
      <c r="D38" s="31" t="s">
        <v>295</v>
      </c>
    </row>
    <row r="39" spans="1:4" ht="13.8" thickBot="1" x14ac:dyDescent="0.35">
      <c r="A39" s="30" t="s">
        <v>296</v>
      </c>
      <c r="B39" s="7">
        <v>56.3</v>
      </c>
      <c r="C39" s="31" t="s">
        <v>174</v>
      </c>
      <c r="D39" s="31" t="s">
        <v>297</v>
      </c>
    </row>
    <row r="40" spans="1:4" ht="13.8" thickBot="1" x14ac:dyDescent="0.35">
      <c r="A40" s="30" t="s">
        <v>298</v>
      </c>
      <c r="B40" s="7">
        <v>39.700000000000003</v>
      </c>
      <c r="C40" s="31" t="s">
        <v>174</v>
      </c>
      <c r="D40" s="31" t="s">
        <v>299</v>
      </c>
    </row>
    <row r="41" spans="1:4" ht="13.8" thickBot="1" x14ac:dyDescent="0.35">
      <c r="A41" s="30" t="s">
        <v>300</v>
      </c>
      <c r="B41" s="7">
        <v>95.3</v>
      </c>
      <c r="C41" s="31" t="s">
        <v>174</v>
      </c>
      <c r="D41" s="31" t="s">
        <v>301</v>
      </c>
    </row>
    <row r="42" spans="1:4" ht="13.8" thickBot="1" x14ac:dyDescent="0.35">
      <c r="A42" s="30" t="s">
        <v>302</v>
      </c>
      <c r="B42" s="7">
        <v>2571.9</v>
      </c>
      <c r="C42" s="31" t="s">
        <v>174</v>
      </c>
      <c r="D42" s="31" t="s">
        <v>303</v>
      </c>
    </row>
    <row r="43" spans="1:4" ht="13.8" thickBot="1" x14ac:dyDescent="0.35">
      <c r="A43" s="30" t="s">
        <v>304</v>
      </c>
      <c r="B43" s="7">
        <v>925.3</v>
      </c>
      <c r="C43" s="31" t="s">
        <v>174</v>
      </c>
      <c r="D43" s="31" t="s">
        <v>305</v>
      </c>
    </row>
    <row r="44" spans="1:4" ht="13.8" thickBot="1" x14ac:dyDescent="0.35">
      <c r="A44" s="50" t="s">
        <v>306</v>
      </c>
      <c r="B44" s="51"/>
      <c r="C44" s="51"/>
      <c r="D44" s="52"/>
    </row>
    <row r="45" spans="1:4" ht="13.8" thickBot="1" x14ac:dyDescent="0.35">
      <c r="A45" s="30" t="s">
        <v>307</v>
      </c>
      <c r="B45" s="7">
        <v>8.3000000000000007</v>
      </c>
      <c r="C45" s="31" t="s">
        <v>272</v>
      </c>
      <c r="D45" s="31" t="s">
        <v>308</v>
      </c>
    </row>
    <row r="46" spans="1:4" ht="13.8" thickBot="1" x14ac:dyDescent="0.35">
      <c r="A46" s="50" t="s">
        <v>309</v>
      </c>
      <c r="B46" s="51"/>
      <c r="C46" s="51"/>
      <c r="D46" s="52"/>
    </row>
    <row r="47" spans="1:4" ht="13.8" thickBot="1" x14ac:dyDescent="0.35">
      <c r="A47" s="30" t="s">
        <v>310</v>
      </c>
      <c r="B47" s="7">
        <v>156</v>
      </c>
      <c r="C47" s="31" t="s">
        <v>174</v>
      </c>
      <c r="D47" s="31" t="s">
        <v>311</v>
      </c>
    </row>
    <row r="48" spans="1:4" ht="13.8" thickBot="1" x14ac:dyDescent="0.35">
      <c r="A48" s="30" t="s">
        <v>312</v>
      </c>
      <c r="B48" s="7">
        <v>4</v>
      </c>
      <c r="C48" s="31" t="s">
        <v>260</v>
      </c>
      <c r="D48" s="31" t="s">
        <v>313</v>
      </c>
    </row>
    <row r="49" spans="1:4" ht="13.8" thickBot="1" x14ac:dyDescent="0.35">
      <c r="A49" s="30" t="s">
        <v>314</v>
      </c>
      <c r="B49" s="7">
        <v>0.86</v>
      </c>
      <c r="C49" s="31" t="s">
        <v>272</v>
      </c>
      <c r="D49" s="31" t="s">
        <v>315</v>
      </c>
    </row>
    <row r="50" spans="1:4" ht="13.8" thickBot="1" x14ac:dyDescent="0.35">
      <c r="A50" s="50" t="s">
        <v>316</v>
      </c>
      <c r="B50" s="51"/>
      <c r="C50" s="51"/>
      <c r="D50" s="52"/>
    </row>
    <row r="51" spans="1:4" ht="13.8" thickBot="1" x14ac:dyDescent="0.35">
      <c r="A51" s="30" t="s">
        <v>317</v>
      </c>
      <c r="B51" s="7">
        <v>1.1100000000000001</v>
      </c>
      <c r="C51" s="31" t="s">
        <v>272</v>
      </c>
      <c r="D51" s="31" t="s">
        <v>311</v>
      </c>
    </row>
    <row r="52" spans="1:4" ht="13.8" thickBot="1" x14ac:dyDescent="0.35">
      <c r="A52" s="30" t="s">
        <v>318</v>
      </c>
      <c r="B52" s="7">
        <v>1.587</v>
      </c>
      <c r="C52" s="31" t="s">
        <v>272</v>
      </c>
      <c r="D52" s="31" t="s">
        <v>311</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F11" zoomScale="156" workbookViewId="0">
      <selection activeCell="F34" sqref="F34"/>
    </sheetView>
  </sheetViews>
  <sheetFormatPr defaultColWidth="11.5546875" defaultRowHeight="14.4" x14ac:dyDescent="0.3"/>
  <cols>
    <col min="2" max="2" width="15" customWidth="1"/>
    <col min="5" max="5" width="18.109375" customWidth="1"/>
    <col min="6" max="6" width="13.44140625" customWidth="1"/>
    <col min="7" max="7" width="12.44140625" customWidth="1"/>
    <col min="8" max="8" width="14.109375" customWidth="1"/>
  </cols>
  <sheetData>
    <row r="1" spans="1:8" x14ac:dyDescent="0.3">
      <c r="A1" s="1" t="s">
        <v>47</v>
      </c>
      <c r="B1" s="1" t="s">
        <v>75</v>
      </c>
      <c r="C1" s="1" t="s">
        <v>72</v>
      </c>
      <c r="D1" s="1" t="s">
        <v>73</v>
      </c>
      <c r="E1" s="1" t="s">
        <v>74</v>
      </c>
      <c r="F1" s="1" t="s">
        <v>77</v>
      </c>
      <c r="G1" s="1" t="s">
        <v>85</v>
      </c>
      <c r="H1" s="1"/>
    </row>
    <row r="2" spans="1:8" x14ac:dyDescent="0.3">
      <c r="A2" s="2">
        <v>1985</v>
      </c>
      <c r="B2" s="3">
        <v>2.4640873650293922</v>
      </c>
      <c r="C2" s="3">
        <v>3.1848906560636179</v>
      </c>
      <c r="D2" s="3">
        <v>3.0544913612768263</v>
      </c>
      <c r="E2" s="3">
        <v>3.830563070147845</v>
      </c>
      <c r="F2" s="4">
        <f>(C2+D2+E2)/3</f>
        <v>3.3566483624960965</v>
      </c>
      <c r="G2" s="4">
        <f>AVERAGE(C2,E2)</f>
        <v>3.5077268631057317</v>
      </c>
      <c r="H2" s="4"/>
    </row>
    <row r="3" spans="1:8" x14ac:dyDescent="0.3">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3">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3">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3">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3">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3">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3">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3">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3">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3">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3">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3">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3">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3">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3">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3">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3">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3">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3">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3">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3">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3">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3">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3">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3">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3">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3">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3">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3">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3">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3">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3">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3">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3">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3">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3">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3">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3">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3">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defaultColWidth="11.5546875" defaultRowHeight="14.4" x14ac:dyDescent="0.3"/>
  <cols>
    <col min="1" max="1" width="27.44140625" customWidth="1"/>
    <col min="2" max="2" width="6.44140625" customWidth="1"/>
  </cols>
  <sheetData>
    <row r="1" spans="1:2" s="45" customFormat="1" x14ac:dyDescent="0.3">
      <c r="A1" s="45" t="s">
        <v>387</v>
      </c>
      <c r="B1" s="45" t="s">
        <v>239</v>
      </c>
    </row>
    <row r="2" spans="1:2" x14ac:dyDescent="0.3">
      <c r="A2" t="s">
        <v>386</v>
      </c>
      <c r="B2" s="4">
        <f>MARVEL_Cost!C56/(MARVEL_Cost!C6+MARVEL_Cost!C13+MARVEL_Cost!C45)</f>
        <v>6.5389932052543287E-2</v>
      </c>
    </row>
    <row r="3" spans="1:2" x14ac:dyDescent="0.3">
      <c r="A3" t="s">
        <v>396</v>
      </c>
      <c r="B3">
        <v>5</v>
      </c>
    </row>
    <row r="4" spans="1:2" x14ac:dyDescent="0.3">
      <c r="A4" t="s">
        <v>397</v>
      </c>
      <c r="B4">
        <v>5</v>
      </c>
    </row>
    <row r="5" spans="1:2" x14ac:dyDescent="0.3">
      <c r="A5" t="s">
        <v>398</v>
      </c>
      <c r="B5">
        <v>5</v>
      </c>
    </row>
    <row r="6" spans="1:2" x14ac:dyDescent="0.3">
      <c r="A6" t="s">
        <v>399</v>
      </c>
      <c r="B6">
        <v>1800</v>
      </c>
    </row>
    <row r="7" spans="1:2" x14ac:dyDescent="0.3">
      <c r="A7" t="s">
        <v>391</v>
      </c>
      <c r="B7">
        <v>10</v>
      </c>
    </row>
    <row r="8" spans="1:2" x14ac:dyDescent="0.3">
      <c r="A8" t="s">
        <v>400</v>
      </c>
      <c r="B8">
        <v>0.01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2025-06-24T15:44:55Z</dcterms:modified>
</cp:coreProperties>
</file>