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wsl.localhost\Ubuntu\home\user\mouse\cost\"/>
    </mc:Choice>
  </mc:AlternateContent>
  <xr:revisionPtr revIDLastSave="0" documentId="13_ncr:1_{B8DCF7DC-4886-46DD-8BCA-0D9D4355AFD5}" xr6:coauthVersionLast="47" xr6:coauthVersionMax="47" xr10:uidLastSave="{00000000-0000-0000-0000-000000000000}"/>
  <bookViews>
    <workbookView xWindow="-120" yWindow="-120" windowWidth="29040" windowHeight="1572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_xlnm._FilterDatabase" localSheetId="0" hidden="1">'Cost Database'!$A$1:$Z$141</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87" i="2" l="1"/>
  <c r="Y87" i="2"/>
  <c r="W87" i="2"/>
  <c r="V87" i="2"/>
  <c r="Z79" i="2"/>
  <c r="Y79" i="2"/>
  <c r="W79" i="2"/>
  <c r="V79" i="2"/>
  <c r="Z141" i="2" l="1"/>
  <c r="Y141" i="2"/>
  <c r="Z139" i="2"/>
  <c r="Y139" i="2"/>
  <c r="Z134" i="2"/>
  <c r="Y134" i="2"/>
  <c r="Z133" i="2"/>
  <c r="Y133" i="2"/>
  <c r="Z132" i="2"/>
  <c r="Y132" i="2"/>
  <c r="Z127" i="2"/>
  <c r="Y127" i="2"/>
  <c r="Z125" i="2"/>
  <c r="Y125" i="2"/>
  <c r="Z124" i="2"/>
  <c r="Y124" i="2"/>
  <c r="Z123" i="2"/>
  <c r="Y123" i="2"/>
  <c r="Z122" i="2"/>
  <c r="Y122" i="2"/>
  <c r="Z118" i="2"/>
  <c r="Y118" i="2"/>
  <c r="Z117" i="2"/>
  <c r="Y117" i="2"/>
  <c r="Z116" i="2"/>
  <c r="Y116" i="2"/>
  <c r="Z115" i="2"/>
  <c r="Y115" i="2"/>
  <c r="Z114" i="2"/>
  <c r="Y114" i="2"/>
  <c r="Z113" i="2"/>
  <c r="Y113" i="2"/>
  <c r="Z104" i="2"/>
  <c r="Y104" i="2"/>
  <c r="Z103" i="2"/>
  <c r="Y103" i="2"/>
  <c r="Z100" i="2"/>
  <c r="Y100" i="2"/>
  <c r="Z99" i="2"/>
  <c r="Y99" i="2"/>
  <c r="Z97" i="2"/>
  <c r="Y97" i="2"/>
  <c r="Z92" i="2"/>
  <c r="Y92" i="2"/>
  <c r="Z91" i="2"/>
  <c r="Y91" i="2"/>
  <c r="Z90" i="2"/>
  <c r="Y90" i="2"/>
  <c r="Z89" i="2"/>
  <c r="Y89" i="2"/>
  <c r="Z86" i="2"/>
  <c r="Y86" i="2"/>
  <c r="Z85" i="2"/>
  <c r="Y85" i="2"/>
  <c r="Z81" i="2"/>
  <c r="Y81" i="2"/>
  <c r="Z80" i="2"/>
  <c r="Y80" i="2"/>
  <c r="Z76" i="2"/>
  <c r="Y76" i="2"/>
  <c r="Z75" i="2"/>
  <c r="Y75" i="2"/>
  <c r="Z71" i="2"/>
  <c r="Y71" i="2"/>
  <c r="Z70" i="2"/>
  <c r="Y70" i="2"/>
  <c r="Z67" i="2"/>
  <c r="Y67" i="2"/>
  <c r="Z61" i="2"/>
  <c r="Y61" i="2"/>
  <c r="Z60" i="2"/>
  <c r="Y60" i="2"/>
  <c r="Z59" i="2"/>
  <c r="Y59" i="2"/>
  <c r="Z58" i="2"/>
  <c r="Y58" i="2"/>
  <c r="Z57" i="2"/>
  <c r="Y57" i="2"/>
  <c r="Z56" i="2"/>
  <c r="Y56" i="2"/>
  <c r="Z7" i="2"/>
  <c r="Y7" i="2"/>
  <c r="Z6" i="2"/>
  <c r="Y6" i="2"/>
  <c r="Z5" i="2"/>
  <c r="Y5" i="2"/>
  <c r="Z3" i="2"/>
  <c r="Y3" i="2"/>
  <c r="W5" i="2"/>
  <c r="V5" i="2"/>
  <c r="W141" i="2"/>
  <c r="W139" i="2"/>
  <c r="W134" i="2"/>
  <c r="W133" i="2"/>
  <c r="W132" i="2"/>
  <c r="W127" i="2"/>
  <c r="W118" i="2"/>
  <c r="W117" i="2"/>
  <c r="W116" i="2"/>
  <c r="W115" i="2"/>
  <c r="W114" i="2"/>
  <c r="W113" i="2"/>
  <c r="W111" i="2"/>
  <c r="W110" i="2"/>
  <c r="W109" i="2"/>
  <c r="W108" i="2"/>
  <c r="W107" i="2"/>
  <c r="W106" i="2"/>
  <c r="W104" i="2"/>
  <c r="W103" i="2"/>
  <c r="W99" i="2"/>
  <c r="W98" i="2"/>
  <c r="W96" i="2"/>
  <c r="W95" i="2"/>
  <c r="W92" i="2"/>
  <c r="W91" i="2"/>
  <c r="W90" i="2"/>
  <c r="W89" i="2"/>
  <c r="W86" i="2"/>
  <c r="W85" i="2"/>
  <c r="W84" i="2"/>
  <c r="W81" i="2"/>
  <c r="W80" i="2"/>
  <c r="W76" i="2"/>
  <c r="W75" i="2"/>
  <c r="W74" i="2"/>
  <c r="W71" i="2"/>
  <c r="W70" i="2"/>
  <c r="W69" i="2"/>
  <c r="W68" i="2"/>
  <c r="W67" i="2"/>
  <c r="W66" i="2"/>
  <c r="W65" i="2"/>
  <c r="W64" i="2"/>
  <c r="W61" i="2"/>
  <c r="W60" i="2"/>
  <c r="W59" i="2"/>
  <c r="W58" i="2"/>
  <c r="W57" i="2"/>
  <c r="W56" i="2"/>
  <c r="W55" i="2"/>
  <c r="W51" i="2"/>
  <c r="W50" i="2"/>
  <c r="W49" i="2"/>
  <c r="W47" i="2"/>
  <c r="W46" i="2"/>
  <c r="W45" i="2"/>
  <c r="W42" i="2"/>
  <c r="W41" i="2"/>
  <c r="W40" i="2"/>
  <c r="W39" i="2"/>
  <c r="W36" i="2"/>
  <c r="W35" i="2"/>
  <c r="W34" i="2"/>
  <c r="W32" i="2"/>
  <c r="W31" i="2"/>
  <c r="W30" i="2"/>
  <c r="W26" i="2"/>
  <c r="W25" i="2"/>
  <c r="W24" i="2"/>
  <c r="W22" i="2"/>
  <c r="W21" i="2"/>
  <c r="W20" i="2"/>
  <c r="W17" i="2"/>
  <c r="W16" i="2"/>
  <c r="W15" i="2"/>
  <c r="W13" i="2"/>
  <c r="W12" i="2"/>
  <c r="W11" i="2"/>
  <c r="W6" i="2"/>
  <c r="W4" i="2"/>
  <c r="W3" i="2"/>
  <c r="V141" i="2"/>
  <c r="V139" i="2"/>
  <c r="V134" i="2"/>
  <c r="V133" i="2"/>
  <c r="V132" i="2"/>
  <c r="V127" i="2"/>
  <c r="V118" i="2"/>
  <c r="V117" i="2"/>
  <c r="V116" i="2"/>
  <c r="V115" i="2"/>
  <c r="V114" i="2"/>
  <c r="V113" i="2"/>
  <c r="V111" i="2"/>
  <c r="V110" i="2"/>
  <c r="V109" i="2"/>
  <c r="V108" i="2"/>
  <c r="V107" i="2"/>
  <c r="V106" i="2"/>
  <c r="V104" i="2"/>
  <c r="V103" i="2"/>
  <c r="V99" i="2"/>
  <c r="V98" i="2"/>
  <c r="V96" i="2"/>
  <c r="V95" i="2"/>
  <c r="V92" i="2"/>
  <c r="V91" i="2"/>
  <c r="V90" i="2"/>
  <c r="V89" i="2"/>
  <c r="V86" i="2"/>
  <c r="V85" i="2"/>
  <c r="V84" i="2"/>
  <c r="V81" i="2"/>
  <c r="V80" i="2"/>
  <c r="V76" i="2"/>
  <c r="V75" i="2"/>
  <c r="V74" i="2"/>
  <c r="V71" i="2"/>
  <c r="V70" i="2"/>
  <c r="V69" i="2"/>
  <c r="V68" i="2"/>
  <c r="V67" i="2"/>
  <c r="V66" i="2"/>
  <c r="V65" i="2"/>
  <c r="V64" i="2"/>
  <c r="V61" i="2"/>
  <c r="V60" i="2"/>
  <c r="V59" i="2"/>
  <c r="V58" i="2"/>
  <c r="V57" i="2"/>
  <c r="V56" i="2"/>
  <c r="V55" i="2"/>
  <c r="V51" i="2"/>
  <c r="V50" i="2"/>
  <c r="V49" i="2"/>
  <c r="V47" i="2"/>
  <c r="V46" i="2"/>
  <c r="V45" i="2"/>
  <c r="V42" i="2"/>
  <c r="V41" i="2"/>
  <c r="V40" i="2"/>
  <c r="V39" i="2"/>
  <c r="V36" i="2"/>
  <c r="V35" i="2"/>
  <c r="V34" i="2"/>
  <c r="V32" i="2"/>
  <c r="V31" i="2"/>
  <c r="V30" i="2"/>
  <c r="V26" i="2"/>
  <c r="V25" i="2"/>
  <c r="V24" i="2"/>
  <c r="V22" i="2"/>
  <c r="V21" i="2"/>
  <c r="V20" i="2"/>
  <c r="V17" i="2"/>
  <c r="V16" i="2"/>
  <c r="V15" i="2"/>
  <c r="V13" i="2"/>
  <c r="V12" i="2"/>
  <c r="V11" i="2"/>
  <c r="V6" i="2"/>
  <c r="V4" i="2"/>
  <c r="V3" i="2"/>
  <c r="H123" i="2" l="1"/>
  <c r="L74" i="2"/>
  <c r="B74" i="2"/>
  <c r="D74" i="2" s="1"/>
  <c r="L69" i="2"/>
  <c r="I74" i="2" s="1"/>
  <c r="B69" i="2"/>
  <c r="D69" i="2" s="1"/>
  <c r="B70" i="2"/>
  <c r="D70" i="2" s="1"/>
  <c r="H5" i="2"/>
  <c r="I69" i="2" l="1"/>
  <c r="Z69" i="2" s="1"/>
  <c r="V123" i="2"/>
  <c r="W123" i="2"/>
  <c r="Z74" i="2"/>
  <c r="Y74" i="2"/>
  <c r="I64" i="2"/>
  <c r="Y69" i="2" l="1"/>
  <c r="Z64" i="2"/>
  <c r="Y64" i="2"/>
  <c r="B67" i="2"/>
  <c r="D67" i="2" s="1"/>
  <c r="B60" i="2"/>
  <c r="D60" i="2" s="1"/>
  <c r="B57" i="2"/>
  <c r="D57" i="2" s="1"/>
  <c r="B61" i="2"/>
  <c r="D61" i="2" s="1"/>
  <c r="B58" i="2"/>
  <c r="D58" i="2" s="1"/>
  <c r="B137" i="2"/>
  <c r="D137" i="2" s="1"/>
  <c r="B135" i="2"/>
  <c r="D135" i="2" s="1"/>
  <c r="I111" i="2"/>
  <c r="I110" i="2"/>
  <c r="I109" i="2"/>
  <c r="I108" i="2"/>
  <c r="I107" i="2"/>
  <c r="I106" i="2"/>
  <c r="B111" i="2"/>
  <c r="D111" i="2" s="1"/>
  <c r="B110" i="2"/>
  <c r="D110" i="2" s="1"/>
  <c r="B109" i="2"/>
  <c r="D109" i="2" s="1"/>
  <c r="B108" i="2"/>
  <c r="D108" i="2" s="1"/>
  <c r="B107" i="2"/>
  <c r="D107" i="2" s="1"/>
  <c r="B106" i="2"/>
  <c r="D106" i="2" s="1"/>
  <c r="I98" i="2"/>
  <c r="Z109" i="2" l="1"/>
  <c r="Y109" i="2"/>
  <c r="Z110" i="2"/>
  <c r="Y110" i="2"/>
  <c r="Z106" i="2"/>
  <c r="Y106" i="2"/>
  <c r="Z111" i="2"/>
  <c r="Y111" i="2"/>
  <c r="Z98" i="2"/>
  <c r="Y98" i="2"/>
  <c r="Z107" i="2"/>
  <c r="Y107" i="2"/>
  <c r="Z108" i="2"/>
  <c r="Y108" i="2"/>
  <c r="B104" i="2"/>
  <c r="D104" i="2" s="1"/>
  <c r="D98" i="2"/>
  <c r="B92" i="2"/>
  <c r="D92" i="2" s="1"/>
  <c r="B91" i="2"/>
  <c r="D91" i="2" s="1"/>
  <c r="B90" i="2"/>
  <c r="D90" i="2" s="1"/>
  <c r="B89" i="2"/>
  <c r="D89" i="2" s="1"/>
  <c r="B76" i="2" l="1"/>
  <c r="D76" i="2" s="1"/>
  <c r="B75" i="2"/>
  <c r="D75" i="2" s="1"/>
  <c r="I65" i="2"/>
  <c r="B71" i="2"/>
  <c r="D71" i="2" s="1"/>
  <c r="I55" i="2"/>
  <c r="Z65" i="2" l="1"/>
  <c r="Y65" i="2"/>
  <c r="Z55" i="2"/>
  <c r="Y55" i="2"/>
  <c r="B2" i="2" l="1"/>
  <c r="B119" i="2"/>
  <c r="B8" i="2"/>
  <c r="H7" i="2"/>
  <c r="B127" i="2"/>
  <c r="D127" i="2" s="1"/>
  <c r="B126" i="2"/>
  <c r="D126" i="2" s="1"/>
  <c r="D120" i="2"/>
  <c r="D121" i="2"/>
  <c r="H125" i="2"/>
  <c r="H124" i="2"/>
  <c r="H122" i="2"/>
  <c r="B117" i="2"/>
  <c r="D117" i="2" s="1"/>
  <c r="W125" i="2" l="1"/>
  <c r="V125" i="2"/>
  <c r="W7" i="2"/>
  <c r="V7" i="2"/>
  <c r="W122" i="2"/>
  <c r="V122" i="2"/>
  <c r="W124" i="2"/>
  <c r="V124" i="2"/>
  <c r="H100" i="2"/>
  <c r="W100" i="2" l="1"/>
  <c r="V100" i="2"/>
  <c r="B100" i="2"/>
  <c r="D100" i="2" s="1"/>
  <c r="H97" i="2"/>
  <c r="B97" i="2"/>
  <c r="D97" i="2" s="1"/>
  <c r="B86" i="2"/>
  <c r="D86" i="2" s="1"/>
  <c r="V97" i="2" l="1"/>
  <c r="W97" i="2"/>
  <c r="B85" i="2"/>
  <c r="B83" i="2"/>
  <c r="B84" i="2"/>
  <c r="D84" i="2" s="1"/>
  <c r="B88" i="2"/>
  <c r="B87" i="2"/>
  <c r="I84" i="2"/>
  <c r="Z84" i="2" l="1"/>
  <c r="Y84" i="2"/>
  <c r="C3" i="4"/>
  <c r="B81" i="2"/>
  <c r="D80" i="2" s="1"/>
  <c r="B80" i="2"/>
  <c r="L79" i="2"/>
  <c r="L73" i="2" l="1"/>
  <c r="I73" i="2" s="1"/>
  <c r="H73" i="2"/>
  <c r="L42" i="2"/>
  <c r="L68" i="2"/>
  <c r="I68" i="2" s="1"/>
  <c r="L66" i="2"/>
  <c r="C20" i="4"/>
  <c r="V73" i="2" l="1"/>
  <c r="W73" i="2"/>
  <c r="Z68" i="2"/>
  <c r="Y68" i="2"/>
  <c r="Z73" i="2"/>
  <c r="Y73" i="2"/>
  <c r="I66" i="2"/>
  <c r="L78" i="2"/>
  <c r="I78" i="2" l="1"/>
  <c r="Z66" i="2"/>
  <c r="Y66" i="2"/>
  <c r="I95" i="2"/>
  <c r="C19" i="4"/>
  <c r="C77" i="4"/>
  <c r="C73" i="4"/>
  <c r="C52" i="4"/>
  <c r="C68" i="4"/>
  <c r="C71" i="4"/>
  <c r="C75" i="4"/>
  <c r="C46" i="4"/>
  <c r="C45" i="4" s="1"/>
  <c r="I42" i="2"/>
  <c r="I96" i="2" l="1"/>
  <c r="Z95" i="2"/>
  <c r="Y95" i="2"/>
  <c r="Z42" i="2"/>
  <c r="Y42" i="2"/>
  <c r="Z78" i="2"/>
  <c r="Y78" i="2"/>
  <c r="C48" i="4"/>
  <c r="C15" i="4"/>
  <c r="C10" i="4"/>
  <c r="C6" i="4" s="1"/>
  <c r="C65" i="4"/>
  <c r="C59" i="4"/>
  <c r="C58" i="4" s="1"/>
  <c r="C32" i="4"/>
  <c r="Z96" i="2" l="1"/>
  <c r="Y96" i="2"/>
  <c r="C62" i="4"/>
  <c r="C56" i="4"/>
  <c r="C55" i="4" l="1"/>
  <c r="C25" i="4" l="1"/>
  <c r="C14" i="4" s="1"/>
  <c r="C13" i="4" s="1"/>
  <c r="C5" i="4" s="1"/>
  <c r="H78" i="2"/>
  <c r="I51" i="2"/>
  <c r="I50" i="2"/>
  <c r="I49" i="2"/>
  <c r="I47" i="2"/>
  <c r="I46" i="2"/>
  <c r="I45" i="2"/>
  <c r="B51" i="2"/>
  <c r="D51" i="2" s="1"/>
  <c r="B50" i="2"/>
  <c r="D50" i="2" s="1"/>
  <c r="B49" i="2"/>
  <c r="D49" i="2" s="1"/>
  <c r="B47" i="2"/>
  <c r="D47" i="2" s="1"/>
  <c r="B46" i="2"/>
  <c r="D46" i="2" s="1"/>
  <c r="B45" i="2"/>
  <c r="D45" i="2" s="1"/>
  <c r="B48" i="2"/>
  <c r="D48" i="2" s="1"/>
  <c r="B44" i="2"/>
  <c r="D44" i="2" s="1"/>
  <c r="B43" i="2"/>
  <c r="D43"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2" i="2"/>
  <c r="D52" i="2" s="1"/>
  <c r="B53" i="2"/>
  <c r="D53" i="2" s="1"/>
  <c r="B54" i="2"/>
  <c r="D54" i="2" s="1"/>
  <c r="B55" i="2"/>
  <c r="D55" i="2" s="1"/>
  <c r="B56" i="2"/>
  <c r="D56" i="2" s="1"/>
  <c r="B59" i="2"/>
  <c r="D59" i="2" s="1"/>
  <c r="B62" i="2"/>
  <c r="D62" i="2" s="1"/>
  <c r="B63" i="2"/>
  <c r="D63" i="2" s="1"/>
  <c r="B64" i="2"/>
  <c r="D64" i="2" s="1"/>
  <c r="B65" i="2"/>
  <c r="D65" i="2" s="1"/>
  <c r="B66" i="2"/>
  <c r="D66" i="2" s="1"/>
  <c r="B68" i="2"/>
  <c r="D68" i="2" s="1"/>
  <c r="B72" i="2"/>
  <c r="D72" i="2" s="1"/>
  <c r="B73" i="2"/>
  <c r="D73" i="2" s="1"/>
  <c r="B77" i="2"/>
  <c r="D77" i="2" s="1"/>
  <c r="B78" i="2"/>
  <c r="D78" i="2" s="1"/>
  <c r="B79" i="2"/>
  <c r="D79" i="2" s="1"/>
  <c r="B82" i="2"/>
  <c r="D83" i="2"/>
  <c r="D85" i="2"/>
  <c r="D87" i="2"/>
  <c r="D88" i="2"/>
  <c r="B93" i="2"/>
  <c r="D93" i="2" s="1"/>
  <c r="B94" i="2"/>
  <c r="D94" i="2" s="1"/>
  <c r="B95" i="2"/>
  <c r="D95" i="2" s="1"/>
  <c r="B96" i="2"/>
  <c r="D96" i="2" s="1"/>
  <c r="B99" i="2"/>
  <c r="D99" i="2" s="1"/>
  <c r="B101" i="2"/>
  <c r="D101" i="2" s="1"/>
  <c r="B102" i="2"/>
  <c r="D102" i="2" s="1"/>
  <c r="B103" i="2"/>
  <c r="D103" i="2" s="1"/>
  <c r="B105" i="2"/>
  <c r="D105" i="2" s="1"/>
  <c r="B112" i="2"/>
  <c r="D112" i="2" s="1"/>
  <c r="B113" i="2"/>
  <c r="D113" i="2" s="1"/>
  <c r="B114" i="2"/>
  <c r="D114" i="2" s="1"/>
  <c r="B115" i="2"/>
  <c r="D115" i="2" s="1"/>
  <c r="B116" i="2"/>
  <c r="D116" i="2" s="1"/>
  <c r="B118" i="2"/>
  <c r="D118" i="2" s="1"/>
  <c r="D119" i="2"/>
  <c r="B122" i="2"/>
  <c r="D122" i="2" s="1"/>
  <c r="B123" i="2"/>
  <c r="D123" i="2" s="1"/>
  <c r="B124" i="2"/>
  <c r="D124" i="2" s="1"/>
  <c r="B125" i="2"/>
  <c r="D125" i="2" s="1"/>
  <c r="B128" i="2"/>
  <c r="D128" i="2" s="1"/>
  <c r="B129" i="2"/>
  <c r="D129" i="2" s="1"/>
  <c r="B130" i="2"/>
  <c r="D130" i="2" s="1"/>
  <c r="B131" i="2"/>
  <c r="D131" i="2" s="1"/>
  <c r="B132" i="2"/>
  <c r="D132" i="2" s="1"/>
  <c r="B133" i="2"/>
  <c r="D133" i="2" s="1"/>
  <c r="B134" i="2"/>
  <c r="D134" i="2" s="1"/>
  <c r="B136" i="2"/>
  <c r="D136" i="2" s="1"/>
  <c r="B138" i="2"/>
  <c r="D138" i="2" s="1"/>
  <c r="B139" i="2"/>
  <c r="D139" i="2" s="1"/>
  <c r="B140" i="2"/>
  <c r="D140" i="2" s="1"/>
  <c r="B141" i="2"/>
  <c r="D141" i="2" s="1"/>
  <c r="D2" i="2"/>
  <c r="Z45" i="2" l="1"/>
  <c r="Y45" i="2"/>
  <c r="Z47" i="2"/>
  <c r="Y47" i="2"/>
  <c r="Z39" i="2"/>
  <c r="Y39" i="2"/>
  <c r="Z50" i="2"/>
  <c r="Y50" i="2"/>
  <c r="Z12" i="2"/>
  <c r="Y12" i="2"/>
  <c r="Z40" i="2"/>
  <c r="Y40" i="2"/>
  <c r="Z51" i="2"/>
  <c r="Y51" i="2"/>
  <c r="Z46" i="2"/>
  <c r="Y46" i="2"/>
  <c r="Z49" i="2"/>
  <c r="Y49" i="2"/>
  <c r="Z41" i="2"/>
  <c r="Y41" i="2"/>
  <c r="V78" i="2"/>
  <c r="W78" i="2"/>
  <c r="D82" i="2"/>
  <c r="D81" i="2"/>
  <c r="I36" i="2"/>
  <c r="I35" i="2"/>
  <c r="I34" i="2"/>
  <c r="I32" i="2"/>
  <c r="I31" i="2"/>
  <c r="I30" i="2"/>
  <c r="I26" i="2"/>
  <c r="I25" i="2"/>
  <c r="I24" i="2"/>
  <c r="I22" i="2"/>
  <c r="I21" i="2"/>
  <c r="I20" i="2"/>
  <c r="Z30" i="2" l="1"/>
  <c r="Y30" i="2"/>
  <c r="Z20" i="2"/>
  <c r="Y20" i="2"/>
  <c r="Z32" i="2"/>
  <c r="Y32" i="2"/>
  <c r="Z21" i="2"/>
  <c r="Y21" i="2"/>
  <c r="Z34" i="2"/>
  <c r="Y34" i="2"/>
  <c r="Z26" i="2"/>
  <c r="Y26" i="2"/>
  <c r="Z25" i="2"/>
  <c r="Y25" i="2"/>
  <c r="Z31" i="2"/>
  <c r="Y31" i="2"/>
  <c r="Z22" i="2"/>
  <c r="Y22" i="2"/>
  <c r="Z35" i="2"/>
  <c r="Y35" i="2"/>
  <c r="Z24" i="2"/>
  <c r="Y24" i="2"/>
  <c r="Z36" i="2"/>
  <c r="Y36"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68"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9"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71"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73"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74"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78"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84"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98"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23"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35"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36"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<sst xmlns="http://schemas.openxmlformats.org/spreadsheetml/2006/main" count="1672" uniqueCount="489">
  <si>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</si>
  <si>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</si>
  <si>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</si>
  <si>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</si>
  <si>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</si>
  <si>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</si>
  <si>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</si>
  <si>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</si>
  <si>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</si>
  <si>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</si>
  <si>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</si>
  <si>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</si>
  <si>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</si>
  <si>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</si>
  <si>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</si>
  <si>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</si>
  <si>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</si>
  <si>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</si>
  <si>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</si>
  <si>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</si>
  <si>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</si>
  <si>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</si>
  <si>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</si>
  <si>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</si>
  <si>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</si>
  <si>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</si>
  <si>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</si>
  <si>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</si>
  <si>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</si>
  <si>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</si>
  <si>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</si>
  <si>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</si>
  <si>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</si>
  <si>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</si>
  <si>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</si>
  <si>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</si>
  <si>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</si>
  <si>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</si>
  <si>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</si>
  <si>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</si>
  <si>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</si>
  <si>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</si>
  <si>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</si>
  <si>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</si>
  <si>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</si>
  <si>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</si>
  <si>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</si>
  <si>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</si>
  <si>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</si>
  <si>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</si>
  <si>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</si>
  <si>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</si>
  <si>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</si>
  <si>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</si>
  <si>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</si>
  <si>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</si>
  <si>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</si>
  <si>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</si>
  <si>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</si>
  <si>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</si>
  <si>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</si>
  <si>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</si>
  <si>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</si>
  <si>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</si>
  <si>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</si>
  <si>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</si>
  <si>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</si>
  <si>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</si>
  <si>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</si>
  <si>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</si>
  <si>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</si>
  <si>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</si>
  <si>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</si>
  <si>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</si>
  <si>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</si>
  <si>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</si>
  <si>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</si>
  <si>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</si>
  <si>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</si>
  <si>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</si>
  <si>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</si>
  <si>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</si>
  <si>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</si>
  <si>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</si>
  <si>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</si>
  <si>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</si>
  <si>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</si>
  <si>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</si>
  <si>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</si>
  <si>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</si>
  <si>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</si>
  <si>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</si>
  <si>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</si>
  <si>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</si>
  <si>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</si>
  <si>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</si>
  <si>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</si>
  <si>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</si>
  <si>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</si>
  <si>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</si>
  <si>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</si>
  <si>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</si>
  <si>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</si>
  <si>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</si>
  <si>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</si>
  <si>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</si>
  <si>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</si>
  <si>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</si>
  <si>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</si>
  <si>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</si>
  <si>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</si>
  <si>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</si>
  <si>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</si>
  <si>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</si>
  <si>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</si>
  <si>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</si>
  <si>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</si>
  <si>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</si>
  <si>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</si>
  <si>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</si>
  <si>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</si>
  <si>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</si>
  <si>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</si>
  <si>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</si>
  <si>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</si>
  <si>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</si>
  <si>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</si>
  <si>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</si>
  <si>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</si>
  <si>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</si>
  <si>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</si>
  <si>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</si>
  <si>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</si>
  <si>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</si>
  <si>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</si>
  <si>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</si>
  <si>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</si>
  <si>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</si>
  <si>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</si>
  <si>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</si>
  <si>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</si>
  <si>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</si>
  <si>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</si>
  <si>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</si>
  <si>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</si>
  <si>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</si>
  <si>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</si>
  <si>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</si>
  <si>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</si>
  <si>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</si>
  <si>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</si>
  <si>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</si>
  <si>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</si>
  <si>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</si>
  <si>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</si>
  <si>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</si>
  <si>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</si>
  <si>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</si>
  <si>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</si>
  <si>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</si>
  <si>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</si>
  <si>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</si>
  <si>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</si>
  <si>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</si>
  <si>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</si>
  <si>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</si>
  <si>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</si>
  <si>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</si>
  <si>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</si>
  <si>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</si>
  <si>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</si>
  <si>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</si>
  <si>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</si>
  <si>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</si>
  <si>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</si>
  <si>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</si>
  <si>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</si>
  <si>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</si>
  <si>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</si>
  <si>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</si>
  <si>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</si>
  <si>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</si>
  <si>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</si>
  <si>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</si>
  <si>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</si>
  <si>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</si>
  <si>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</si>
  <si>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</si>
  <si>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</si>
  <si>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</si>
  <si>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</si>
  <si>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</si>
  <si>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</si>
  <si>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</si>
  <si>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</si>
  <si>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</si>
  <si>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</si>
  <si>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</si>
  <si>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</si>
  <si>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</si>
  <si>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</si>
  <si>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</si>
  <si>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</si>
  <si>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</si>
  <si>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</si>
  <si>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</si>
  <si>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</si>
  <si>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</si>
  <si>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</si>
  <si>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</si>
  <si>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</si>
  <si>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</si>
  <si>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</si>
  <si>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</si>
  <si>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</si>
  <si>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</si>
  <si>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</si>
  <si>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</si>
  <si>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</si>
  <si>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</si>
  <si>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</si>
  <si>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</si>
  <si>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</si>
  <si>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</si>
  <si>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</si>
  <si>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</si>
  <si>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</si>
  <si>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</si>
  <si>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</si>
  <si>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</si>
  <si>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</si>
  <si>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</si>
  <si>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</si>
  <si>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</si>
  <si>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</si>
  <si>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</si>
  <si>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</si>
  <si>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</si>
  <si>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</si>
  <si>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</si>
  <si>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</si>
  <si>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</si>
  <si>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</si>
  <si>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</si>
  <si>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</si>
  <si>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</si>
  <si>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</si>
  <si>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</si>
  <si>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</si>
  <si>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</si>
  <si>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</si>
  <si>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</si>
  <si>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</si>
  <si>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</si>
  <si>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</si>
  <si>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</si>
  <si>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</si>
  <si>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</si>
  <si>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</si>
  <si>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</si>
  <si>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</si>
  <si>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</si>
  <si>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</si>
  <si>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</si>
  <si>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</si>
  <si>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</si>
  <si>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</si>
  <si>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</si>
  <si>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</si>
  <si>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</si>
  <si>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</si>
  <si>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</si>
  <si>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</si>
  <si>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</si>
  <si>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</si>
  <si>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</si>
  <si>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</si>
  <si>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</si>
  <si>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</si>
  <si>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</si>
  <si>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</si>
  <si>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</si>
  <si>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</si>
  <si>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</si>
  <si>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</si>
  <si>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</si>
  <si>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</si>
  <si>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</si>
  <si>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</si>
  <si>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</si>
  <si>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</si>
  <si>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</si>
  <si>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</si>
  <si>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</si>
  <si>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</si>
  <si>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</si>
  <si>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</si>
  <si>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</si>
  <si>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</si>
  <si>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</si>
  <si>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</si>
  <si>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</si>
  <si>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</si>
  <si>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</si>
  <si>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</si>
  <si>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</si>
  <si>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</si>
  <si>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</si>
  <si>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</si>
  <si>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</si>
  <si>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</si>
  <si>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</si>
  <si>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</si>
  <si>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</si>
  <si>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</si>
  <si>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</si>
  <si>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</si>
  <si>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</si>
  <si>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</si>
  <si>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</si>
  <si>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</si>
  <si>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</si>
  <si>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</si>
  <si>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</si>
  <si>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</si>
  <si>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</si>
  <si>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</si>
  <si>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</si>
  <si>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</si>
  <si>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</si>
  <si>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</si>
  <si>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</si>
  <si>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</si>
  <si>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</si>
  <si>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</si>
  <si>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</si>
  <si>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</si>
  <si>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</si>
  <si>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</si>
  <si>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</si>
  <si>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</si>
  <si>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</si>
  <si>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</si>
  <si>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</si>
  <si>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</si>
  <si>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</si>
  <si>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</si>
  <si>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</si>
  <si>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</si>
  <si>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</si>
  <si>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</si>
  <si>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</si>
  <si>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</si>
  <si>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</si>
  <si>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</si>
  <si>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</si>
  <si>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</si>
  <si>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</si>
  <si>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</si>
  <si>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</si>
  <si>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</si>
  <si>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</si>
  <si>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</si>
  <si>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</si>
  <si>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</si>
  <si>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</si>
  <si>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</si>
  <si>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</si>
  <si>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</si>
  <si>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</si>
  <si>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</si>
  <si>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</si>
  <si>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</si>
  <si>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</si>
  <si>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</si>
  <si>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</si>
  <si>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</si>
  <si>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</si>
  <si>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</si>
  <si>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</si>
  <si>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</si>
  <si>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</si>
  <si>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</si>
  <si>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</si>
  <si>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</si>
  <si>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</si>
  <si>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</si>
  <si>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</si>
  <si>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</si>
  <si>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</si>
  <si>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</si>
  <si>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</si>
  <si>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</si>
  <si>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</si>
  <si>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</si>
  <si>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</si>
  <si>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</si>
  <si>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</si>
  <si>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</si>
  <si>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</si>
  <si>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</si>
  <si>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</si>
  <si>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</si>
  <si>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</si>
  <si>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</si>
  <si>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</si>
  <si>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</si>
  <si>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</si>
  <si>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</si>
  <si>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</si>
  <si>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</si>
  <si>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</si>
  <si>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</si>
  <si>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</si>
  <si>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</si>
  <si>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</si>
  <si>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</si>
  <si>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</si>
  <si>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</si>
  <si>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</si>
  <si>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</si>
  <si>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</si>
  <si>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</si>
  <si>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</si>
  <si>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</si>
  <si>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</si>
  <si>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</si>
  <si>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</si>
  <si>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</si>
  <si>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</si>
  <si>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</si>
  <si>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</si>
  <si>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</si>
  <si>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</si>
  <si>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</si>
  <si>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</si>
  <si>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</si>
  <si>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</si>
  <si>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</si>
  <si>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</si>
  <si>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</si>
  <si>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</si>
  <si>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</si>
  <si>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</si>
  <si>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</si>
  <si>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</si>
  <si>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</si>
  <si>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</si>
  <si>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</si>
  <si>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</si>
  <si>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</si>
  <si>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</si>
  <si>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</si>
  <si>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</si>
  <si>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</si>
  <si>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</si>
  <si>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</si>
  <si>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</si>
  <si>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</si>
  <si>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</si>
  <si>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</si>
  <si>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</si>
  <si>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</si>
  <si>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</si>
  <si>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</si>
  <si>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</si>
  <si>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</si>
  <si>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</si>
  <si>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</si>
  <si>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</si>
  <si>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</si>
  <si>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</si>
  <si>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</si>
  <si>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</si>
  <si>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</si>
  <si>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</si>
  <si>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</si>
  <si>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</si>
  <si>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</si>
  <si>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Assumed Onsite Learning Rate</t>
  </si>
  <si>
    <t>FOAK to NOAK Multipliers</t>
  </si>
  <si>
    <t>Assumed Number Of Units For Onsite Learning</t>
  </si>
  <si>
    <t>In Vessel Shield Material</t>
  </si>
  <si>
    <t>Out Of Vessel Shield Material</t>
  </si>
  <si>
    <t>In Vessel Shield Mass</t>
  </si>
  <si>
    <t>Out Of Vessel Shield Mass</t>
  </si>
  <si>
    <t>Guard Vessel Material</t>
  </si>
  <si>
    <t>Vessel Material</t>
  </si>
  <si>
    <t>Implemented on the python side. 
Chosen over default due to uncertainty in compressor Pressure Ratio changes based on reactor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</si>
</sst>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03">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9" fillId="0" borderId="12" xfId="0" applyFont="1" applyBorder="1" applyAlignment="1">
      <alignment horizontal="center" wrapText="1"/>
    </xf>
    <xf numFmtId="0" fontId="9" fillId="0" borderId="12" xfId="0" applyFont="1" applyBorder="1" applyAlignment="1">
      <alignment horizontal="left" wrapText="1"/>
    </xf>
    <xf numFmtId="0" fontId="20" fillId="0" borderId="12" xfId="2" applyFont="1" applyFill="1" applyBorder="1" applyAlignment="1">
      <alignment horizontal="left" wrapText="1"/>
    </xf>
    <xf numFmtId="0" fontId="20" fillId="0" borderId="12" xfId="2" applyFont="1" applyFill="1" applyBorder="1" applyAlignment="1">
      <alignment horizontal="left"/>
    </xf>
    <xf numFmtId="0" fontId="6" fillId="0" borderId="12" xfId="0" applyFont="1" applyBorder="1" applyAlignment="1">
      <alignment horizontal="center" wrapText="1"/>
    </xf>
    <xf numFmtId="0" fontId="9" fillId="0" borderId="12" xfId="0" applyFont="1" applyBorder="1" applyAlignment="1">
      <alignment wrapText="1"/>
    </xf>
    <xf numFmtId="0" fontId="20" fillId="0" borderId="12" xfId="2" applyFont="1" applyBorder="1" applyAlignment="1">
      <alignment horizontal="center" wrapText="1"/>
    </xf>
    <xf numFmtId="0" fontId="9" fillId="0" borderId="12" xfId="0" applyFont="1" applyBorder="1" applyAlignment="1">
      <alignment horizontal="center"/>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00">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ont>
        <b/>
        <i val="0"/>
      </font>
    </dxf>
    <dxf>
      <fill>
        <patternFill>
          <bgColor rgb="FFFFFFBA"/>
        </patternFill>
      </fill>
    </dxf>
    <dxf>
      <fill>
        <patternFill>
          <bgColor theme="6" tint="0.79998168889431442"/>
        </patternFill>
      </fill>
    </dxf>
    <dxf>
      <fill>
        <patternFill>
          <bgColor theme="9" tint="0.39994506668294322"/>
        </patternFill>
      </fill>
    </dxf>
    <dxf>
      <font>
        <b/>
        <i/>
      </font>
      <fill>
        <patternFill patternType="gray0625"/>
      </fill>
    </dxf>
    <dxf>
      <font>
        <b/>
        <i/>
      </font>
      <fill>
        <patternFill patternType="gray0625"/>
      </fill>
    </dxf>
    <dxf>
      <font>
        <b/>
        <i val="0"/>
      </font>
    </dxf>
    <dxf>
      <font>
        <b/>
        <i/>
      </font>
      <fill>
        <patternFill patternType="gray125"/>
      </fill>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rgb="FFFFFFBA"/>
        </patternFill>
      </fill>
    </dxf>
    <dxf>
      <fill>
        <patternFill>
          <bgColor theme="6" tint="0.79998168889431442"/>
        </patternFill>
      </fill>
    </dxf>
    <dxf>
      <fill>
        <patternFill>
          <bgColor theme="9" tint="0.39994506668294322"/>
        </patternFill>
      </fill>
    </dxf>
    <dxf>
      <font>
        <b/>
        <i/>
      </font>
      <fill>
        <patternFill patternType="gray125"/>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125"/>
      </fill>
    </dxf>
    <dxf>
      <font>
        <b/>
        <i val="0"/>
      </font>
    </dxf>
    <dxf>
      <font>
        <b/>
        <i/>
      </font>
      <fill>
        <patternFill patternType="gray0625"/>
      </fill>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font>
      <fill>
        <patternFill patternType="gray0625"/>
      </fill>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6" tint="0.79998168889431442"/>
        </patternFill>
      </fill>
    </dxf>
    <dxf>
      <fill>
        <patternFill>
          <bgColor theme="9" tint="0.3999450666829432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ont>
        <b/>
        <i val="0"/>
      </font>
    </dxf>
    <dxf>
      <fill>
        <patternFill>
          <bgColor theme="9" tint="0.39994506668294322"/>
        </patternFill>
      </fill>
    </dxf>
    <dxf>
      <font>
        <b/>
        <i val="0"/>
      </font>
    </dxf>
    <dxf>
      <fill>
        <patternFill>
          <bgColor theme="6" tint="0.79998168889431442"/>
        </patternFill>
      </fill>
    </dxf>
    <dxf>
      <fill>
        <patternFill>
          <bgColor rgb="FFFFFFBA"/>
        </patternFill>
      </fill>
    </dxf>
    <dxf>
      <font>
        <b/>
        <i val="0"/>
      </font>
    </dxf>
    <dxf>
      <fill>
        <patternFill>
          <bgColor theme="6" tint="0.79998168889431442"/>
        </patternFill>
      </fill>
    </dxf>
    <dxf>
      <fill>
        <patternFill>
          <bgColor rgb="FFFFFFBA"/>
        </patternFill>
      </fill>
    </dxf>
    <dxf>
      <fill>
        <patternFill>
          <bgColor theme="9" tint="0.3999450666829432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68"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69"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71" dT="2025-06-11T15:21:05.69" personId="{3B5B98F4-A9DA-4CFD-B3D9-F7907C025518}" id="{2BF08C61-4671-4BB0-B8A6-DD1AAB44A4E2}">
    <text>Added control rod/drum drive mechanism.  Assuming:
 1drum:1drive
 n_rod:1drive (Reactor design dependent)</text>
  </threadedComment>
  <threadedComment ref="A71"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73" dT="2025-06-19T20:12:17.00" personId="{3B5B98F4-A9DA-4CFD-B3D9-F7907C025518}" id="{2FF1B83B-4952-4966-B4B1-47B3AC049632}">
    <text>Todo: Update when we get feedback on BeO/Be costs</text>
  </threadedComment>
  <threadedComment ref="A74" dT="2025-06-19T20:12:17.00" personId="{3B5B98F4-A9DA-4CFD-B3D9-F7907C025518}" id="{F6865C1A-8659-4D0C-9CFD-0A520F68BF51}">
    <text>Todo: Update when we get feedback on BeO/Be costs</text>
  </threadedComment>
  <threadedComment ref="L78" dT="2025-05-27T17:51:06.88" personId="{84112BF8-C915-7B4B-BE8E-B816F75B981C}" id="{6A4E3BDC-584F-1346-BF51-598A89836273}">
    <text>Cost data about B4C are based on the B4C of the control drums</text>
  </threadedComment>
  <threadedComment ref="J84" dT="2025-05-27T22:16:31.29" personId="{84112BF8-C915-7B4B-BE8E-B816F75B981C}" id="{368934F8-D933-024D-9355-5B191B79D6E7}">
    <text xml:space="preserve">The primary pump needs to be expensive!!
</text>
  </threadedComment>
  <threadedComment ref="I98" dT="2025-06-20T17:42:02.17" personId="{3B5B98F4-A9DA-4CFD-B3D9-F7907C025518}" id="{25250E12-7DF8-42FE-A9C3-6F5AE6FD64C9}">
    <text>Baseline Cost: 8844770 1978USD
Escalation (to 2023): 8.155</text>
  </threadedComment>
  <threadedComment ref="H123" dT="2025-06-19T23:17:33.50" personId="{84112BF8-C915-7B4B-BE8E-B816F75B981C}" id="{BDE8F098-EF81-461E-B745-0627E6989C51}">
    <text>The cost is multiplied by 0.5 since the
 shipping included international shipping</text>
  </threadedComment>
  <threadedComment ref="C135" dT="2025-06-20T19:13:57.21" personId="{3B5B98F4-A9DA-4CFD-B3D9-F7907C025518}" id="{8C62D7C0-F520-42A3-9908-A880BA4D938B}">
    <text xml:space="preserve">Variable costs that are not fuel-based, such as borated water, control rods, burnable poisons, and other consumable </text>
  </threadedComment>
  <threadedComment ref="C135" dT="2025-06-20T19:14:14.35" personId="{3B5B98F4-A9DA-4CFD-B3D9-F7907C025518}" id="{60EA5C16-5BC5-40F2-AD75-9609617C429D}" parentId="{8C62D7C0-F520-42A3-9908-A880BA4D938B}">
    <text>For the GCMR, likley includes replacement coolant, CO2 refill, etc.</text>
  </threadedComment>
  <threadedComment ref="C136"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36"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microsoft.com/office/2017/10/relationships/threadedComment" Target="../threadedComments/threadedComment1.xml"/><Relationship Id="rId5" Type="http://schemas.openxmlformats.org/officeDocument/2006/relationships/hyperlink" Target="https://www.osti.gov/biblio/2447366" TargetMode="External"/><Relationship Id="rId10" Type="http://schemas.openxmlformats.org/officeDocument/2006/relationships/comments" Target="../comments1.xml"/><Relationship Id="rId4" Type="http://schemas.openxmlformats.org/officeDocument/2006/relationships/hyperlink" Target="https://www.osti.gov/servlets/purl/5084245"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41"/>
  <sheetViews>
    <sheetView tabSelected="1" zoomScaleNormal="100" workbookViewId="0">
      <pane xSplit="15" ySplit="1" topLeftCell="R78" activePane="bottomRight" state="frozen"/>
      <selection pane="topRight" activeCell="P1" sqref="P1"/>
      <selection pane="bottomLeft" activeCell="A2" sqref="A2"/>
      <selection pane="bottomRight" activeCell="A86" sqref="A86"/>
    </sheetView>
  </sheetViews>
  <sheetFormatPr defaultColWidth="10.7109375" defaultRowHeight="12.75"/>
  <cols>
    <col min="1" max="1" width="8.7109375" style="5" customWidth="1"/>
    <col min="2" max="2" width="4.7109375" style="5" customWidth="1"/>
    <col min="3" max="3" width="29.42578125" style="5" customWidth="1"/>
    <col min="4" max="4" width="41.7109375" style="6" customWidth="1"/>
    <col min="5" max="5" width="14.28515625" style="6" bestFit="1" customWidth="1"/>
    <col min="6" max="6" width="13.140625" style="6" customWidth="1"/>
    <col min="7" max="7" width="10.85546875" style="6" customWidth="1"/>
    <col min="8" max="8" width="12.28515625" style="37" customWidth="1"/>
    <col min="9" max="9" width="10" style="37" bestFit="1" customWidth="1"/>
    <col min="10" max="10" width="10" style="5" customWidth="1"/>
    <col min="11" max="11" width="15.7109375" style="5" customWidth="1"/>
    <col min="12" max="12" width="8.7109375" style="5" customWidth="1"/>
    <col min="13" max="13" width="7.28515625" style="5" customWidth="1"/>
    <col min="14" max="14" width="7.7109375" style="5" customWidth="1"/>
    <col min="15" max="15" width="8.140625" style="5" customWidth="1"/>
    <col min="16" max="16" width="10.7109375" style="5" customWidth="1"/>
    <col min="17" max="17" width="29" style="5" customWidth="1"/>
    <col min="18" max="18" width="37.140625" style="5" customWidth="1"/>
    <col min="19" max="19" width="81.140625" style="5" customWidth="1"/>
    <col min="20" max="20" width="18.7109375" style="5" customWidth="1"/>
    <col min="21" max="21" width="21.5703125" style="5" bestFit="1" customWidth="1"/>
    <col min="22" max="23" width="16.7109375" style="37" customWidth="1"/>
    <col min="24" max="24" width="12.5703125" style="5" bestFit="1" customWidth="1"/>
    <col min="25" max="26" width="16.7109375" style="37" customWidth="1"/>
    <col min="27" max="27" width="12.5703125" style="5" customWidth="1"/>
    <col min="28" max="30" width="6.7109375" style="37" customWidth="1"/>
    <col min="31" max="31" width="15.28515625" style="5" bestFit="1" customWidth="1"/>
    <col min="32" max="16384" width="10.7109375" style="5"/>
  </cols>
  <sheetData>
    <row r="1" spans="1:31" s="86" customFormat="1" ht="31.15" customHeight="1">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456</v>
      </c>
      <c r="V1" s="85" t="s">
        <v>457</v>
      </c>
      <c r="W1" s="85" t="s">
        <v>458</v>
      </c>
      <c r="X1" s="85" t="s">
        <v>459</v>
      </c>
      <c r="Y1" s="85" t="s">
        <v>460</v>
      </c>
      <c r="Z1" s="85" t="s">
        <v>461</v>
      </c>
      <c r="AA1" s="85" t="s">
        <v>462</v>
      </c>
      <c r="AB1" s="85" t="s">
        <v>463</v>
      </c>
      <c r="AC1" s="85" t="s">
        <v>464</v>
      </c>
      <c r="AD1" s="85" t="s">
        <v>465</v>
      </c>
      <c r="AE1" s="85" t="s">
        <v>466</v>
      </c>
    </row>
    <row r="2" spans="1:31" s="9" customFormat="1">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15" customHeight="1">
      <c r="A3" s="39">
        <v>11</v>
      </c>
      <c r="B3" s="40">
        <f t="shared" ref="B3:B97" si="0">IF(ISNUMBER(A3),
    IF(AND(A3=INT(A3), MOD(A3, 10) = 0), 0,
        IF(AND(A3=INT(A3), LEN(A3)=2), 1,
            IF(AND(A3=INT(A3), LEN(A3)=3), 2,
                LEN(A3) - FIND(".", A3) + 2)
        )
    ),
"")</f>
        <v>1</v>
      </c>
      <c r="C3" s="44" t="s">
        <v>3</v>
      </c>
      <c r="D3" s="41" t="str">
        <f t="shared" ref="D3:D95" si="1">REPT("   ", B3*2) &amp; C3</f>
        <v xml:space="preserve">      Land Cost</v>
      </c>
      <c r="E3" s="41" t="s">
        <v>341</v>
      </c>
      <c r="F3" s="41"/>
      <c r="G3" s="41"/>
      <c r="H3" s="45"/>
      <c r="I3" s="46">
        <v>3800</v>
      </c>
      <c r="J3" s="47" t="s">
        <v>70</v>
      </c>
      <c r="K3" s="47" t="s">
        <v>68</v>
      </c>
      <c r="L3" s="48"/>
      <c r="M3" s="47" t="s">
        <v>78</v>
      </c>
      <c r="N3" s="47"/>
      <c r="O3" s="68">
        <v>2022</v>
      </c>
      <c r="P3" s="47" t="s">
        <v>75</v>
      </c>
      <c r="Q3" s="49" t="s">
        <v>53</v>
      </c>
      <c r="R3" s="88" t="s">
        <v>445</v>
      </c>
      <c r="S3" s="90" t="s">
        <v>56</v>
      </c>
      <c r="T3" s="51"/>
      <c r="U3" s="80" t="s">
        <v>468</v>
      </c>
      <c r="V3" s="84">
        <f>0.9*$H3</f>
        <v>0</v>
      </c>
      <c r="W3" s="84">
        <f>1.5*H3</f>
        <v>0</v>
      </c>
      <c r="X3" s="80" t="s">
        <v>451</v>
      </c>
      <c r="Y3" s="83">
        <f t="shared" ref="Y3" si="2">0.9*I3</f>
        <v>3420</v>
      </c>
      <c r="Z3" s="83">
        <f t="shared" ref="Z3" si="3">1.3*I3</f>
        <v>4940</v>
      </c>
      <c r="AA3" s="80" t="s">
        <v>451</v>
      </c>
      <c r="AB3" s="83" t="s">
        <v>475</v>
      </c>
      <c r="AC3" s="83" t="s">
        <v>476</v>
      </c>
      <c r="AD3" s="83" t="s">
        <v>477</v>
      </c>
      <c r="AE3" s="80" t="s">
        <v>452</v>
      </c>
    </row>
    <row r="4" spans="1:31">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88"/>
      <c r="S4" s="90"/>
      <c r="T4" s="51"/>
      <c r="U4" s="80" t="s">
        <v>468</v>
      </c>
      <c r="V4" s="84">
        <f t="shared" ref="V4:V67" si="4">0.9*$H4</f>
        <v>0</v>
      </c>
      <c r="W4" s="84">
        <f t="shared" ref="W4:W67" si="5">1.5*H4</f>
        <v>0</v>
      </c>
      <c r="X4" s="80" t="s">
        <v>451</v>
      </c>
      <c r="Y4" s="83">
        <f t="shared" ref="Y4:Y67" si="6">0.9*I4</f>
        <v>9027</v>
      </c>
      <c r="Z4" s="83">
        <f t="shared" ref="Z4:Z67" si="7">1.3*I4</f>
        <v>13039</v>
      </c>
      <c r="AA4" s="80" t="s">
        <v>451</v>
      </c>
      <c r="AB4" s="83" t="s">
        <v>475</v>
      </c>
      <c r="AC4" s="83" t="s">
        <v>476</v>
      </c>
      <c r="AD4" s="83" t="s">
        <v>477</v>
      </c>
      <c r="AE4" s="80" t="s">
        <v>452</v>
      </c>
    </row>
    <row r="5" spans="1:31">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88" t="s">
        <v>141</v>
      </c>
      <c r="S5" s="90" t="s">
        <v>59</v>
      </c>
      <c r="T5" s="51"/>
      <c r="U5" s="80" t="s">
        <v>469</v>
      </c>
      <c r="V5" s="84">
        <f>45*1000000</f>
        <v>45000000</v>
      </c>
      <c r="W5" s="84">
        <f>70*1000000</f>
        <v>70000000</v>
      </c>
      <c r="X5" s="80" t="s">
        <v>473</v>
      </c>
      <c r="Y5" s="83">
        <f t="shared" si="6"/>
        <v>0</v>
      </c>
      <c r="Z5" s="83">
        <f t="shared" si="7"/>
        <v>0</v>
      </c>
      <c r="AA5" s="80" t="s">
        <v>451</v>
      </c>
      <c r="AB5" s="83" t="s">
        <v>475</v>
      </c>
      <c r="AC5" s="83" t="s">
        <v>476</v>
      </c>
      <c r="AD5" s="83" t="s">
        <v>477</v>
      </c>
      <c r="AE5" s="80" t="s">
        <v>452</v>
      </c>
    </row>
    <row r="6" spans="1:31">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88"/>
      <c r="S6" s="90"/>
      <c r="T6" s="51"/>
      <c r="U6" s="80" t="s">
        <v>468</v>
      </c>
      <c r="V6" s="84">
        <f t="shared" si="4"/>
        <v>2700000</v>
      </c>
      <c r="W6" s="84">
        <f t="shared" si="5"/>
        <v>4500000</v>
      </c>
      <c r="X6" s="80" t="s">
        <v>451</v>
      </c>
      <c r="Y6" s="83">
        <f t="shared" si="6"/>
        <v>0</v>
      </c>
      <c r="Z6" s="83">
        <f t="shared" si="7"/>
        <v>0</v>
      </c>
      <c r="AA6" s="80" t="s">
        <v>451</v>
      </c>
      <c r="AB6" s="83" t="s">
        <v>475</v>
      </c>
      <c r="AC6" s="83" t="s">
        <v>476</v>
      </c>
      <c r="AD6" s="83" t="s">
        <v>477</v>
      </c>
      <c r="AE6" s="80" t="s">
        <v>452</v>
      </c>
    </row>
    <row r="7" spans="1:31" ht="24" customHeight="1">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446</v>
      </c>
      <c r="S7" s="51" t="s">
        <v>61</v>
      </c>
      <c r="T7" s="47" t="s">
        <v>63</v>
      </c>
      <c r="U7" s="80" t="s">
        <v>468</v>
      </c>
      <c r="V7" s="84">
        <f t="shared" si="4"/>
        <v>4689405.9000000004</v>
      </c>
      <c r="W7" s="84">
        <f t="shared" si="5"/>
        <v>7815676.5</v>
      </c>
      <c r="X7" s="80" t="s">
        <v>451</v>
      </c>
      <c r="Y7" s="83">
        <f t="shared" si="6"/>
        <v>0</v>
      </c>
      <c r="Z7" s="83">
        <f t="shared" si="7"/>
        <v>0</v>
      </c>
      <c r="AA7" s="80" t="s">
        <v>451</v>
      </c>
      <c r="AB7" s="83" t="s">
        <v>475</v>
      </c>
      <c r="AC7" s="83" t="s">
        <v>476</v>
      </c>
      <c r="AD7" s="83" t="s">
        <v>477</v>
      </c>
      <c r="AE7" s="80" t="s">
        <v>452</v>
      </c>
    </row>
    <row r="8" spans="1:31">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470</v>
      </c>
      <c r="V8" s="84"/>
      <c r="W8" s="84"/>
      <c r="X8" s="80"/>
      <c r="Y8" s="83"/>
      <c r="Z8" s="83"/>
      <c r="AA8" s="80"/>
      <c r="AB8" s="83"/>
      <c r="AC8" s="83"/>
      <c r="AD8" s="83"/>
      <c r="AE8" s="80"/>
    </row>
    <row r="9" spans="1:31">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88" t="s">
        <v>82</v>
      </c>
      <c r="R11" s="88" t="s">
        <v>83</v>
      </c>
      <c r="S11" s="89" t="s">
        <v>84</v>
      </c>
      <c r="T11" s="51"/>
      <c r="U11" s="80" t="s">
        <v>471</v>
      </c>
      <c r="V11" s="84">
        <f t="shared" si="4"/>
        <v>0</v>
      </c>
      <c r="W11" s="84">
        <f t="shared" si="5"/>
        <v>0</v>
      </c>
      <c r="X11" s="80" t="s">
        <v>451</v>
      </c>
      <c r="Y11" s="83">
        <f t="shared" si="6"/>
        <v>5276.5914600000006</v>
      </c>
      <c r="Z11" s="83">
        <f t="shared" si="7"/>
        <v>7621.7432200000012</v>
      </c>
      <c r="AA11" s="80" t="s">
        <v>451</v>
      </c>
      <c r="AB11" s="83" t="s">
        <v>475</v>
      </c>
      <c r="AC11" s="83" t="s">
        <v>476</v>
      </c>
      <c r="AD11" s="83" t="s">
        <v>477</v>
      </c>
      <c r="AE11" s="80" t="s">
        <v>452</v>
      </c>
    </row>
    <row r="12" spans="1:31">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88"/>
      <c r="R12" s="88"/>
      <c r="S12" s="90"/>
      <c r="T12" s="51"/>
      <c r="U12" s="80" t="s">
        <v>471</v>
      </c>
      <c r="V12" s="84">
        <f t="shared" si="4"/>
        <v>0</v>
      </c>
      <c r="W12" s="84">
        <f t="shared" si="5"/>
        <v>0</v>
      </c>
      <c r="X12" s="80" t="s">
        <v>451</v>
      </c>
      <c r="Y12" s="83">
        <f t="shared" si="6"/>
        <v>3070.5443999999998</v>
      </c>
      <c r="Z12" s="83">
        <f t="shared" si="7"/>
        <v>4435.2308000000003</v>
      </c>
      <c r="AA12" s="80" t="s">
        <v>451</v>
      </c>
      <c r="AB12" s="83" t="s">
        <v>475</v>
      </c>
      <c r="AC12" s="83" t="s">
        <v>476</v>
      </c>
      <c r="AD12" s="83" t="s">
        <v>477</v>
      </c>
      <c r="AE12" s="80" t="s">
        <v>452</v>
      </c>
    </row>
    <row r="13" spans="1:31">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88"/>
      <c r="R13" s="88"/>
      <c r="S13" s="90"/>
      <c r="T13" s="51"/>
      <c r="U13" s="80" t="s">
        <v>471</v>
      </c>
      <c r="V13" s="84">
        <f t="shared" si="4"/>
        <v>0</v>
      </c>
      <c r="W13" s="84">
        <f t="shared" si="5"/>
        <v>0</v>
      </c>
      <c r="X13" s="80" t="s">
        <v>451</v>
      </c>
      <c r="Y13" s="83">
        <f t="shared" si="6"/>
        <v>28.803599999999999</v>
      </c>
      <c r="Z13" s="83">
        <f t="shared" si="7"/>
        <v>41.605199999999996</v>
      </c>
      <c r="AA13" s="80" t="s">
        <v>451</v>
      </c>
      <c r="AB13" s="83" t="s">
        <v>475</v>
      </c>
      <c r="AC13" s="83" t="s">
        <v>476</v>
      </c>
      <c r="AD13" s="83" t="s">
        <v>477</v>
      </c>
      <c r="AE13" s="80" t="s">
        <v>452</v>
      </c>
    </row>
    <row r="14" spans="1:31">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5.5">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88" t="s">
        <v>82</v>
      </c>
      <c r="R15" s="88" t="s">
        <v>83</v>
      </c>
      <c r="S15" s="89" t="s">
        <v>84</v>
      </c>
      <c r="T15" s="51"/>
      <c r="U15" s="80" t="s">
        <v>471</v>
      </c>
      <c r="V15" s="84">
        <f t="shared" si="4"/>
        <v>0</v>
      </c>
      <c r="W15" s="84">
        <f t="shared" si="5"/>
        <v>0</v>
      </c>
      <c r="X15" s="80" t="s">
        <v>451</v>
      </c>
      <c r="Y15" s="83">
        <f t="shared" si="6"/>
        <v>1652.4</v>
      </c>
      <c r="Z15" s="83">
        <f t="shared" si="7"/>
        <v>2386.8000000000002</v>
      </c>
      <c r="AA15" s="80" t="s">
        <v>451</v>
      </c>
      <c r="AB15" s="83" t="s">
        <v>475</v>
      </c>
      <c r="AC15" s="83" t="s">
        <v>476</v>
      </c>
      <c r="AD15" s="83" t="s">
        <v>477</v>
      </c>
      <c r="AE15" s="80" t="s">
        <v>452</v>
      </c>
    </row>
    <row r="16" spans="1:31" ht="25.5">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88"/>
      <c r="R16" s="88"/>
      <c r="S16" s="90"/>
      <c r="T16" s="51"/>
      <c r="U16" s="80" t="s">
        <v>471</v>
      </c>
      <c r="V16" s="84">
        <f t="shared" si="4"/>
        <v>0</v>
      </c>
      <c r="W16" s="84">
        <f t="shared" si="5"/>
        <v>0</v>
      </c>
      <c r="X16" s="80" t="s">
        <v>451</v>
      </c>
      <c r="Y16" s="83">
        <f t="shared" si="6"/>
        <v>1299.7502999999999</v>
      </c>
      <c r="Z16" s="83">
        <f t="shared" si="7"/>
        <v>1877.4170999999999</v>
      </c>
      <c r="AA16" s="80" t="s">
        <v>451</v>
      </c>
      <c r="AB16" s="83" t="s">
        <v>475</v>
      </c>
      <c r="AC16" s="83" t="s">
        <v>476</v>
      </c>
      <c r="AD16" s="83" t="s">
        <v>477</v>
      </c>
      <c r="AE16" s="80" t="s">
        <v>452</v>
      </c>
    </row>
    <row r="17" spans="1:31" ht="38.25">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88"/>
      <c r="R17" s="88"/>
      <c r="S17" s="90"/>
      <c r="T17" s="51"/>
      <c r="U17" s="80" t="s">
        <v>471</v>
      </c>
      <c r="V17" s="84">
        <f t="shared" si="4"/>
        <v>0</v>
      </c>
      <c r="W17" s="84">
        <f t="shared" si="5"/>
        <v>0</v>
      </c>
      <c r="X17" s="80" t="s">
        <v>451</v>
      </c>
      <c r="Y17" s="83">
        <f t="shared" si="6"/>
        <v>993.10617000000013</v>
      </c>
      <c r="Z17" s="83">
        <f t="shared" si="7"/>
        <v>1434.4866900000002</v>
      </c>
      <c r="AA17" s="80" t="s">
        <v>451</v>
      </c>
      <c r="AB17" s="83" t="s">
        <v>475</v>
      </c>
      <c r="AC17" s="83" t="s">
        <v>476</v>
      </c>
      <c r="AD17" s="83" t="s">
        <v>477</v>
      </c>
      <c r="AE17" s="80" t="s">
        <v>452</v>
      </c>
    </row>
    <row r="18" spans="1:31">
      <c r="A18" s="55">
        <v>213</v>
      </c>
      <c r="B18" s="40">
        <f t="shared" si="0"/>
        <v>2</v>
      </c>
      <c r="C18" s="44" t="s">
        <v>122</v>
      </c>
      <c r="D18" s="41" t="str">
        <f t="shared" si="1"/>
        <v xml:space="preserve">            Main Function Buildings</v>
      </c>
      <c r="E18" s="41"/>
      <c r="F18" s="41"/>
      <c r="G18" s="41"/>
      <c r="H18" s="45"/>
      <c r="I18" s="46"/>
      <c r="J18" s="48"/>
      <c r="K18" s="54"/>
      <c r="L18" s="48"/>
      <c r="M18" s="48"/>
      <c r="N18" s="48"/>
      <c r="O18" s="45"/>
      <c r="P18" s="48"/>
      <c r="Q18" s="54"/>
      <c r="R18" s="49"/>
      <c r="S18" s="50"/>
      <c r="T18" s="51"/>
      <c r="U18" s="80"/>
      <c r="V18" s="84"/>
      <c r="W18" s="84"/>
      <c r="X18" s="80"/>
      <c r="Y18" s="83"/>
      <c r="Z18" s="83"/>
      <c r="AA18" s="80"/>
      <c r="AB18" s="83"/>
      <c r="AC18" s="83"/>
      <c r="AD18" s="83"/>
      <c r="AE18" s="80"/>
    </row>
    <row r="19" spans="1:31">
      <c r="A19" s="55">
        <v>213.1</v>
      </c>
      <c r="B19" s="40">
        <f t="shared" si="0"/>
        <v>3</v>
      </c>
      <c r="C19" s="44" t="s">
        <v>123</v>
      </c>
      <c r="D19" s="41" t="str">
        <f t="shared" si="1"/>
        <v xml:space="preserve">                  Energy conversion Building</v>
      </c>
      <c r="E19" s="41"/>
      <c r="F19" s="41"/>
      <c r="G19" s="41"/>
      <c r="H19" s="45"/>
      <c r="I19" s="46"/>
      <c r="J19" s="48"/>
      <c r="K19" s="54"/>
      <c r="L19" s="48"/>
      <c r="M19" s="48"/>
      <c r="N19" s="48"/>
      <c r="O19" s="45"/>
      <c r="P19" s="48"/>
      <c r="Q19" s="54"/>
      <c r="R19" s="49"/>
      <c r="S19" s="50"/>
      <c r="T19" s="51"/>
      <c r="U19" s="80"/>
      <c r="V19" s="84"/>
      <c r="W19" s="84"/>
      <c r="X19" s="80"/>
      <c r="Y19" s="83"/>
      <c r="Z19" s="83"/>
      <c r="AA19" s="80"/>
      <c r="AB19" s="83"/>
      <c r="AC19" s="83"/>
      <c r="AD19" s="83"/>
      <c r="AE19" s="80"/>
    </row>
    <row r="20" spans="1:31" ht="25.5">
      <c r="A20" s="55">
        <v>213.11</v>
      </c>
      <c r="B20" s="40">
        <f t="shared" si="0"/>
        <v>4</v>
      </c>
      <c r="C20" s="44" t="s">
        <v>110</v>
      </c>
      <c r="D20" s="41" t="str">
        <f t="shared" si="1"/>
        <v xml:space="preserve">                        Energy Conversion Building Slab Roof</v>
      </c>
      <c r="E20" s="41" t="s">
        <v>341</v>
      </c>
      <c r="F20" s="41"/>
      <c r="G20" s="41"/>
      <c r="H20" s="45"/>
      <c r="I20" s="46">
        <f>1200 *1.53</f>
        <v>1836</v>
      </c>
      <c r="J20" s="47" t="s">
        <v>79</v>
      </c>
      <c r="K20" s="49" t="s">
        <v>90</v>
      </c>
      <c r="L20" s="48"/>
      <c r="M20" s="47" t="s">
        <v>81</v>
      </c>
      <c r="N20" s="48"/>
      <c r="O20" s="68">
        <v>2024</v>
      </c>
      <c r="P20" s="47" t="s">
        <v>77</v>
      </c>
      <c r="Q20" s="88" t="s">
        <v>82</v>
      </c>
      <c r="R20" s="88" t="s">
        <v>83</v>
      </c>
      <c r="S20" s="89" t="s">
        <v>84</v>
      </c>
      <c r="T20" s="51"/>
      <c r="U20" s="80" t="s">
        <v>471</v>
      </c>
      <c r="V20" s="84">
        <f t="shared" si="4"/>
        <v>0</v>
      </c>
      <c r="W20" s="84">
        <f t="shared" si="5"/>
        <v>0</v>
      </c>
      <c r="X20" s="80" t="s">
        <v>451</v>
      </c>
      <c r="Y20" s="83">
        <f t="shared" si="6"/>
        <v>1652.4</v>
      </c>
      <c r="Z20" s="83">
        <f t="shared" si="7"/>
        <v>2386.8000000000002</v>
      </c>
      <c r="AA20" s="80" t="s">
        <v>451</v>
      </c>
      <c r="AB20" s="83" t="s">
        <v>475</v>
      </c>
      <c r="AC20" s="83" t="s">
        <v>476</v>
      </c>
      <c r="AD20" s="83" t="s">
        <v>477</v>
      </c>
      <c r="AE20" s="80" t="s">
        <v>452</v>
      </c>
    </row>
    <row r="21" spans="1:31" ht="25.5">
      <c r="A21" s="55">
        <v>213.12</v>
      </c>
      <c r="B21" s="40">
        <f t="shared" si="0"/>
        <v>4</v>
      </c>
      <c r="C21" s="44" t="s">
        <v>118</v>
      </c>
      <c r="D21" s="41" t="str">
        <f>REPT("   ", B21*2) &amp; C21</f>
        <v xml:space="preserve">                        Energy Conversion Building Basement</v>
      </c>
      <c r="E21" s="41" t="s">
        <v>341</v>
      </c>
      <c r="F21" s="41"/>
      <c r="G21" s="41"/>
      <c r="H21" s="45"/>
      <c r="I21" s="46">
        <f>943.9*1.53</f>
        <v>1444.1669999999999</v>
      </c>
      <c r="J21" s="47" t="s">
        <v>79</v>
      </c>
      <c r="K21" s="49" t="s">
        <v>93</v>
      </c>
      <c r="L21" s="48"/>
      <c r="M21" s="47" t="s">
        <v>81</v>
      </c>
      <c r="N21" s="48"/>
      <c r="O21" s="68">
        <v>2024</v>
      </c>
      <c r="P21" s="47" t="s">
        <v>77</v>
      </c>
      <c r="Q21" s="88"/>
      <c r="R21" s="88"/>
      <c r="S21" s="90"/>
      <c r="T21" s="51"/>
      <c r="U21" s="80" t="s">
        <v>471</v>
      </c>
      <c r="V21" s="84">
        <f t="shared" si="4"/>
        <v>0</v>
      </c>
      <c r="W21" s="84">
        <f t="shared" si="5"/>
        <v>0</v>
      </c>
      <c r="X21" s="80" t="s">
        <v>451</v>
      </c>
      <c r="Y21" s="83">
        <f t="shared" si="6"/>
        <v>1299.7502999999999</v>
      </c>
      <c r="Z21" s="83">
        <f t="shared" si="7"/>
        <v>1877.4170999999999</v>
      </c>
      <c r="AA21" s="80" t="s">
        <v>451</v>
      </c>
      <c r="AB21" s="83" t="s">
        <v>475</v>
      </c>
      <c r="AC21" s="83" t="s">
        <v>476</v>
      </c>
      <c r="AD21" s="83" t="s">
        <v>477</v>
      </c>
      <c r="AE21" s="80" t="s">
        <v>452</v>
      </c>
    </row>
    <row r="22" spans="1:31" ht="38.25">
      <c r="A22" s="55">
        <v>213.13</v>
      </c>
      <c r="B22" s="40">
        <f t="shared" si="0"/>
        <v>4</v>
      </c>
      <c r="C22" s="44" t="s">
        <v>111</v>
      </c>
      <c r="D22" s="41" t="str">
        <f t="shared" si="1"/>
        <v xml:space="preserve">                        Energy Conversion Building Walls</v>
      </c>
      <c r="E22" s="41" t="s">
        <v>341</v>
      </c>
      <c r="F22" s="41"/>
      <c r="G22" s="41"/>
      <c r="H22" s="45"/>
      <c r="I22" s="46">
        <f>721.21*1.53</f>
        <v>1103.4513000000002</v>
      </c>
      <c r="J22" s="47" t="s">
        <v>79</v>
      </c>
      <c r="K22" s="49" t="s">
        <v>474</v>
      </c>
      <c r="L22" s="48"/>
      <c r="M22" s="47" t="s">
        <v>81</v>
      </c>
      <c r="N22" s="48"/>
      <c r="O22" s="68">
        <v>2024</v>
      </c>
      <c r="P22" s="47" t="s">
        <v>77</v>
      </c>
      <c r="Q22" s="88"/>
      <c r="R22" s="88"/>
      <c r="S22" s="90"/>
      <c r="T22" s="51"/>
      <c r="U22" s="80" t="s">
        <v>471</v>
      </c>
      <c r="V22" s="84">
        <f t="shared" si="4"/>
        <v>0</v>
      </c>
      <c r="W22" s="84">
        <f t="shared" si="5"/>
        <v>0</v>
      </c>
      <c r="X22" s="80" t="s">
        <v>451</v>
      </c>
      <c r="Y22" s="83">
        <f t="shared" si="6"/>
        <v>993.10617000000013</v>
      </c>
      <c r="Z22" s="83">
        <f t="shared" si="7"/>
        <v>1434.4866900000002</v>
      </c>
      <c r="AA22" s="80" t="s">
        <v>451</v>
      </c>
      <c r="AB22" s="83" t="s">
        <v>475</v>
      </c>
      <c r="AC22" s="83" t="s">
        <v>476</v>
      </c>
      <c r="AD22" s="83" t="s">
        <v>477</v>
      </c>
      <c r="AE22" s="80" t="s">
        <v>452</v>
      </c>
    </row>
    <row r="23" spans="1:31">
      <c r="A23" s="55">
        <v>213.2</v>
      </c>
      <c r="B23" s="40">
        <f t="shared" si="0"/>
        <v>3</v>
      </c>
      <c r="C23" s="44" t="s">
        <v>105</v>
      </c>
      <c r="D23" s="41" t="str">
        <f t="shared" si="1"/>
        <v xml:space="preserve">                  Control building</v>
      </c>
      <c r="E23" s="41"/>
      <c r="F23" s="41"/>
      <c r="G23" s="41"/>
      <c r="H23" s="45"/>
      <c r="I23" s="46"/>
      <c r="J23" s="48"/>
      <c r="K23" s="54"/>
      <c r="L23" s="48"/>
      <c r="M23" s="48"/>
      <c r="N23" s="48"/>
      <c r="O23" s="45"/>
      <c r="P23" s="48"/>
      <c r="Q23" s="54"/>
      <c r="R23" s="49"/>
      <c r="S23" s="50"/>
      <c r="T23" s="51"/>
      <c r="U23" s="80"/>
      <c r="V23" s="84"/>
      <c r="W23" s="84"/>
      <c r="X23" s="80"/>
      <c r="Y23" s="83"/>
      <c r="Z23" s="83"/>
      <c r="AA23" s="80"/>
      <c r="AB23" s="83"/>
      <c r="AC23" s="83"/>
      <c r="AD23" s="83"/>
      <c r="AE23" s="80"/>
    </row>
    <row r="24" spans="1:31" ht="25.5">
      <c r="A24" s="55">
        <v>213.21</v>
      </c>
      <c r="B24" s="40">
        <f t="shared" si="0"/>
        <v>4</v>
      </c>
      <c r="C24" s="44" t="s">
        <v>112</v>
      </c>
      <c r="D24" s="41" t="str">
        <f t="shared" si="1"/>
        <v xml:space="preserve">                        Control Building Slab Roof</v>
      </c>
      <c r="E24" s="41" t="s">
        <v>341</v>
      </c>
      <c r="F24" s="41"/>
      <c r="G24" s="41"/>
      <c r="H24" s="45"/>
      <c r="I24" s="46">
        <f>1200 *1.53</f>
        <v>1836</v>
      </c>
      <c r="J24" s="47" t="s">
        <v>79</v>
      </c>
      <c r="K24" s="49" t="s">
        <v>87</v>
      </c>
      <c r="L24" s="48"/>
      <c r="M24" s="47" t="s">
        <v>81</v>
      </c>
      <c r="N24" s="48"/>
      <c r="O24" s="68">
        <v>2024</v>
      </c>
      <c r="P24" s="47" t="s">
        <v>77</v>
      </c>
      <c r="Q24" s="88" t="s">
        <v>82</v>
      </c>
      <c r="R24" s="88" t="s">
        <v>83</v>
      </c>
      <c r="S24" s="89" t="s">
        <v>84</v>
      </c>
      <c r="T24" s="51"/>
      <c r="U24" s="80" t="s">
        <v>471</v>
      </c>
      <c r="V24" s="84">
        <f t="shared" si="4"/>
        <v>0</v>
      </c>
      <c r="W24" s="84">
        <f t="shared" si="5"/>
        <v>0</v>
      </c>
      <c r="X24" s="80" t="s">
        <v>451</v>
      </c>
      <c r="Y24" s="83">
        <f t="shared" si="6"/>
        <v>1652.4</v>
      </c>
      <c r="Z24" s="83">
        <f t="shared" si="7"/>
        <v>2386.8000000000002</v>
      </c>
      <c r="AA24" s="80" t="s">
        <v>451</v>
      </c>
      <c r="AB24" s="83" t="s">
        <v>475</v>
      </c>
      <c r="AC24" s="83" t="s">
        <v>476</v>
      </c>
      <c r="AD24" s="83" t="s">
        <v>477</v>
      </c>
      <c r="AE24" s="80" t="s">
        <v>452</v>
      </c>
    </row>
    <row r="25" spans="1:31" ht="25.5">
      <c r="A25" s="55">
        <v>213.22</v>
      </c>
      <c r="B25" s="40">
        <f t="shared" si="0"/>
        <v>4</v>
      </c>
      <c r="C25" s="44" t="s">
        <v>124</v>
      </c>
      <c r="D25" s="41" t="str">
        <f t="shared" si="1"/>
        <v xml:space="preserve">                        Control Building Basement</v>
      </c>
      <c r="E25" s="41" t="s">
        <v>341</v>
      </c>
      <c r="F25" s="41"/>
      <c r="G25" s="41"/>
      <c r="H25" s="45"/>
      <c r="I25" s="46">
        <f>943.9*1.53</f>
        <v>1444.1669999999999</v>
      </c>
      <c r="J25" s="47" t="s">
        <v>79</v>
      </c>
      <c r="K25" s="49" t="s">
        <v>94</v>
      </c>
      <c r="L25" s="48"/>
      <c r="M25" s="47" t="s">
        <v>81</v>
      </c>
      <c r="N25" s="48"/>
      <c r="O25" s="68">
        <v>2024</v>
      </c>
      <c r="P25" s="47" t="s">
        <v>77</v>
      </c>
      <c r="Q25" s="88"/>
      <c r="R25" s="88"/>
      <c r="S25" s="90"/>
      <c r="T25" s="51"/>
      <c r="U25" s="80" t="s">
        <v>471</v>
      </c>
      <c r="V25" s="84">
        <f t="shared" si="4"/>
        <v>0</v>
      </c>
      <c r="W25" s="84">
        <f t="shared" si="5"/>
        <v>0</v>
      </c>
      <c r="X25" s="80" t="s">
        <v>451</v>
      </c>
      <c r="Y25" s="83">
        <f t="shared" si="6"/>
        <v>1299.7502999999999</v>
      </c>
      <c r="Z25" s="83">
        <f t="shared" si="7"/>
        <v>1877.4170999999999</v>
      </c>
      <c r="AA25" s="80" t="s">
        <v>451</v>
      </c>
      <c r="AB25" s="83" t="s">
        <v>475</v>
      </c>
      <c r="AC25" s="83" t="s">
        <v>476</v>
      </c>
      <c r="AD25" s="83" t="s">
        <v>477</v>
      </c>
      <c r="AE25" s="80" t="s">
        <v>452</v>
      </c>
    </row>
    <row r="26" spans="1:31" ht="38.25">
      <c r="A26" s="55">
        <v>213.23</v>
      </c>
      <c r="B26" s="40">
        <f t="shared" si="0"/>
        <v>4</v>
      </c>
      <c r="C26" s="44" t="s">
        <v>113</v>
      </c>
      <c r="D26" s="41" t="str">
        <f t="shared" si="1"/>
        <v xml:space="preserve">                        Control Building Walls</v>
      </c>
      <c r="E26" s="41" t="s">
        <v>341</v>
      </c>
      <c r="F26" s="41"/>
      <c r="G26" s="41"/>
      <c r="H26" s="45"/>
      <c r="I26" s="46">
        <f>721.21*1.53</f>
        <v>1103.4513000000002</v>
      </c>
      <c r="J26" s="47" t="s">
        <v>79</v>
      </c>
      <c r="K26" s="49" t="s">
        <v>142</v>
      </c>
      <c r="L26" s="48"/>
      <c r="M26" s="47" t="s">
        <v>81</v>
      </c>
      <c r="N26" s="48"/>
      <c r="O26" s="68">
        <v>2024</v>
      </c>
      <c r="P26" s="47" t="s">
        <v>77</v>
      </c>
      <c r="Q26" s="88"/>
      <c r="R26" s="88"/>
      <c r="S26" s="90"/>
      <c r="T26" s="51"/>
      <c r="U26" s="80" t="s">
        <v>471</v>
      </c>
      <c r="V26" s="84">
        <f t="shared" si="4"/>
        <v>0</v>
      </c>
      <c r="W26" s="84">
        <f t="shared" si="5"/>
        <v>0</v>
      </c>
      <c r="X26" s="80" t="s">
        <v>451</v>
      </c>
      <c r="Y26" s="83">
        <f t="shared" si="6"/>
        <v>993.10617000000013</v>
      </c>
      <c r="Z26" s="83">
        <f t="shared" si="7"/>
        <v>1434.4866900000002</v>
      </c>
      <c r="AA26" s="80" t="s">
        <v>451</v>
      </c>
      <c r="AB26" s="83" t="s">
        <v>475</v>
      </c>
      <c r="AC26" s="83" t="s">
        <v>476</v>
      </c>
      <c r="AD26" s="83" t="s">
        <v>477</v>
      </c>
      <c r="AE26" s="80" t="s">
        <v>452</v>
      </c>
    </row>
    <row r="27" spans="1:31">
      <c r="A27" s="55">
        <v>214</v>
      </c>
      <c r="B27" s="40">
        <f t="shared" si="0"/>
        <v>2</v>
      </c>
      <c r="C27" s="44" t="s">
        <v>9</v>
      </c>
      <c r="D27" s="41" t="str">
        <f t="shared" si="1"/>
        <v xml:space="preserve">            Buildings to Support Main Function </v>
      </c>
      <c r="E27" s="41"/>
      <c r="F27" s="41"/>
      <c r="G27" s="41"/>
      <c r="H27" s="45"/>
      <c r="I27" s="46"/>
      <c r="J27" s="48"/>
      <c r="K27" s="54"/>
      <c r="L27" s="48"/>
      <c r="M27" s="48"/>
      <c r="N27" s="48"/>
      <c r="O27" s="45"/>
      <c r="P27" s="48"/>
      <c r="Q27" s="54"/>
      <c r="R27" s="47"/>
      <c r="S27" s="51"/>
      <c r="T27" s="51"/>
      <c r="U27" s="80"/>
      <c r="V27" s="84"/>
      <c r="W27" s="84"/>
      <c r="X27" s="80"/>
      <c r="Y27" s="83"/>
      <c r="Z27" s="83"/>
      <c r="AA27" s="80"/>
      <c r="AB27" s="83"/>
      <c r="AC27" s="83"/>
      <c r="AD27" s="83"/>
      <c r="AE27" s="80"/>
    </row>
    <row r="28" spans="1:31">
      <c r="A28" s="55">
        <v>214.1</v>
      </c>
      <c r="B28" s="40">
        <f t="shared" si="0"/>
        <v>3</v>
      </c>
      <c r="C28" s="44" t="s">
        <v>125</v>
      </c>
      <c r="D28" s="41" t="str">
        <f t="shared" si="1"/>
        <v xml:space="preserve">                  Fuel Management Buildings</v>
      </c>
      <c r="E28" s="41"/>
      <c r="F28" s="41"/>
      <c r="G28" s="41"/>
      <c r="H28" s="45"/>
      <c r="I28" s="46"/>
      <c r="J28" s="48"/>
      <c r="K28" s="54"/>
      <c r="L28" s="48"/>
      <c r="M28" s="48"/>
      <c r="N28" s="48"/>
      <c r="O28" s="45"/>
      <c r="P28" s="48"/>
      <c r="Q28" s="54"/>
      <c r="R28" s="47"/>
      <c r="S28" s="51"/>
      <c r="T28" s="51"/>
      <c r="U28" s="80"/>
      <c r="V28" s="84"/>
      <c r="W28" s="84"/>
      <c r="X28" s="80"/>
      <c r="Y28" s="83"/>
      <c r="Z28" s="83"/>
      <c r="AA28" s="80"/>
      <c r="AB28" s="83"/>
      <c r="AC28" s="83"/>
      <c r="AD28" s="83"/>
      <c r="AE28" s="80"/>
    </row>
    <row r="29" spans="1:31">
      <c r="A29" s="55">
        <v>214.11</v>
      </c>
      <c r="B29" s="40">
        <f t="shared" si="0"/>
        <v>4</v>
      </c>
      <c r="C29" s="44" t="s">
        <v>114</v>
      </c>
      <c r="D29" s="41" t="str">
        <f t="shared" si="1"/>
        <v xml:space="preserve">                        Refueling Building</v>
      </c>
      <c r="E29" s="41"/>
      <c r="F29" s="41"/>
      <c r="G29" s="41"/>
      <c r="H29" s="45"/>
      <c r="I29" s="46"/>
      <c r="J29" s="48"/>
      <c r="K29" s="54"/>
      <c r="L29" s="48"/>
      <c r="M29" s="48"/>
      <c r="N29" s="48"/>
      <c r="O29" s="45"/>
      <c r="P29" s="48"/>
      <c r="Q29" s="54"/>
      <c r="R29" s="47"/>
      <c r="S29" s="51"/>
      <c r="T29" s="51"/>
      <c r="U29" s="80"/>
      <c r="V29" s="84"/>
      <c r="W29" s="84"/>
      <c r="X29" s="80"/>
      <c r="Y29" s="83"/>
      <c r="Z29" s="83"/>
      <c r="AA29" s="80"/>
      <c r="AB29" s="83"/>
      <c r="AC29" s="83"/>
      <c r="AD29" s="83"/>
      <c r="AE29" s="80"/>
    </row>
    <row r="30" spans="1:31" s="35" customFormat="1" ht="25.5">
      <c r="A30" s="55">
        <v>214.11099999999999</v>
      </c>
      <c r="B30" s="40">
        <f t="shared" si="0"/>
        <v>5</v>
      </c>
      <c r="C30" s="44" t="s">
        <v>106</v>
      </c>
      <c r="D30" s="41" t="str">
        <f t="shared" si="1"/>
        <v xml:space="preserve">                              Refueling Building Slab Roof</v>
      </c>
      <c r="E30" s="41" t="s">
        <v>341</v>
      </c>
      <c r="F30" s="41"/>
      <c r="G30" s="41"/>
      <c r="H30" s="45"/>
      <c r="I30" s="46">
        <f>1200 *1.53</f>
        <v>1836</v>
      </c>
      <c r="J30" s="47" t="s">
        <v>79</v>
      </c>
      <c r="K30" s="49" t="s">
        <v>88</v>
      </c>
      <c r="L30" s="48"/>
      <c r="M30" s="47" t="s">
        <v>81</v>
      </c>
      <c r="N30" s="48"/>
      <c r="O30" s="68">
        <v>2024</v>
      </c>
      <c r="P30" s="47" t="s">
        <v>77</v>
      </c>
      <c r="Q30" s="88" t="s">
        <v>82</v>
      </c>
      <c r="R30" s="88" t="s">
        <v>83</v>
      </c>
      <c r="S30" s="89" t="s">
        <v>84</v>
      </c>
      <c r="T30" s="51"/>
      <c r="U30" s="80" t="s">
        <v>471</v>
      </c>
      <c r="V30" s="84">
        <f t="shared" si="4"/>
        <v>0</v>
      </c>
      <c r="W30" s="84">
        <f t="shared" si="5"/>
        <v>0</v>
      </c>
      <c r="X30" s="80" t="s">
        <v>470</v>
      </c>
      <c r="Y30" s="83">
        <f t="shared" si="6"/>
        <v>1652.4</v>
      </c>
      <c r="Z30" s="83">
        <f t="shared" si="7"/>
        <v>2386.8000000000002</v>
      </c>
      <c r="AA30" s="80" t="s">
        <v>470</v>
      </c>
      <c r="AB30" s="83" t="s">
        <v>470</v>
      </c>
      <c r="AC30" s="83" t="s">
        <v>470</v>
      </c>
      <c r="AD30" s="83" t="s">
        <v>470</v>
      </c>
      <c r="AE30" s="80" t="s">
        <v>470</v>
      </c>
    </row>
    <row r="31" spans="1:31" s="35" customFormat="1" ht="25.5">
      <c r="A31" s="55">
        <v>214.11199999999999</v>
      </c>
      <c r="B31" s="40">
        <f t="shared" si="0"/>
        <v>5</v>
      </c>
      <c r="C31" s="44" t="s">
        <v>119</v>
      </c>
      <c r="D31" s="41" t="str">
        <f t="shared" si="1"/>
        <v xml:space="preserve">                              Refueling Building Basement</v>
      </c>
      <c r="E31" s="41" t="s">
        <v>341</v>
      </c>
      <c r="F31" s="41"/>
      <c r="G31" s="41"/>
      <c r="H31" s="45"/>
      <c r="I31" s="46">
        <f>943.9*1.53</f>
        <v>1444.1669999999999</v>
      </c>
      <c r="J31" s="47" t="s">
        <v>79</v>
      </c>
      <c r="K31" s="49" t="s">
        <v>95</v>
      </c>
      <c r="L31" s="48"/>
      <c r="M31" s="47" t="s">
        <v>81</v>
      </c>
      <c r="N31" s="48"/>
      <c r="O31" s="68">
        <v>2024</v>
      </c>
      <c r="P31" s="47" t="s">
        <v>77</v>
      </c>
      <c r="Q31" s="88"/>
      <c r="R31" s="88"/>
      <c r="S31" s="90"/>
      <c r="T31" s="51"/>
      <c r="U31" s="80" t="s">
        <v>471</v>
      </c>
      <c r="V31" s="84">
        <f t="shared" si="4"/>
        <v>0</v>
      </c>
      <c r="W31" s="84">
        <f t="shared" si="5"/>
        <v>0</v>
      </c>
      <c r="X31" s="80" t="s">
        <v>451</v>
      </c>
      <c r="Y31" s="83">
        <f t="shared" si="6"/>
        <v>1299.7502999999999</v>
      </c>
      <c r="Z31" s="83">
        <f t="shared" si="7"/>
        <v>1877.4170999999999</v>
      </c>
      <c r="AA31" s="80" t="s">
        <v>451</v>
      </c>
      <c r="AB31" s="83" t="s">
        <v>475</v>
      </c>
      <c r="AC31" s="83" t="s">
        <v>476</v>
      </c>
      <c r="AD31" s="83" t="s">
        <v>477</v>
      </c>
      <c r="AE31" s="80" t="s">
        <v>452</v>
      </c>
    </row>
    <row r="32" spans="1:31" s="35" customFormat="1" ht="38.25">
      <c r="A32" s="55">
        <v>214.113</v>
      </c>
      <c r="B32" s="40">
        <f t="shared" si="0"/>
        <v>5</v>
      </c>
      <c r="C32" s="44" t="s">
        <v>107</v>
      </c>
      <c r="D32" s="41" t="str">
        <f t="shared" si="1"/>
        <v xml:space="preserve">                              Refueling Building Walls</v>
      </c>
      <c r="E32" s="41" t="s">
        <v>341</v>
      </c>
      <c r="F32" s="41"/>
      <c r="G32" s="41"/>
      <c r="H32" s="45"/>
      <c r="I32" s="46">
        <f>721.21*1.53</f>
        <v>1103.4513000000002</v>
      </c>
      <c r="J32" s="47" t="s">
        <v>79</v>
      </c>
      <c r="K32" s="49" t="s">
        <v>96</v>
      </c>
      <c r="L32" s="48"/>
      <c r="M32" s="47" t="s">
        <v>81</v>
      </c>
      <c r="N32" s="48"/>
      <c r="O32" s="68">
        <v>2024</v>
      </c>
      <c r="P32" s="47" t="s">
        <v>77</v>
      </c>
      <c r="Q32" s="88"/>
      <c r="R32" s="88"/>
      <c r="S32" s="90"/>
      <c r="T32" s="51"/>
      <c r="U32" s="80" t="s">
        <v>471</v>
      </c>
      <c r="V32" s="84">
        <f t="shared" si="4"/>
        <v>0</v>
      </c>
      <c r="W32" s="84">
        <f t="shared" si="5"/>
        <v>0</v>
      </c>
      <c r="X32" s="80" t="s">
        <v>451</v>
      </c>
      <c r="Y32" s="83">
        <f t="shared" si="6"/>
        <v>993.10617000000013</v>
      </c>
      <c r="Z32" s="83">
        <f t="shared" si="7"/>
        <v>1434.4866900000002</v>
      </c>
      <c r="AA32" s="80" t="s">
        <v>451</v>
      </c>
      <c r="AB32" s="83" t="s">
        <v>475</v>
      </c>
      <c r="AC32" s="83" t="s">
        <v>476</v>
      </c>
      <c r="AD32" s="83" t="s">
        <v>477</v>
      </c>
      <c r="AE32" s="80" t="s">
        <v>452</v>
      </c>
    </row>
    <row r="33" spans="1:31">
      <c r="A33" s="55">
        <v>214.12</v>
      </c>
      <c r="B33" s="40">
        <f t="shared" si="0"/>
        <v>4</v>
      </c>
      <c r="C33" s="44" t="s">
        <v>115</v>
      </c>
      <c r="D33" s="41" t="str">
        <f t="shared" si="1"/>
        <v xml:space="preserve">                        Spent Fuel Building</v>
      </c>
      <c r="E33" s="41"/>
      <c r="F33" s="41"/>
      <c r="G33" s="41"/>
      <c r="H33" s="45"/>
      <c r="I33" s="46"/>
      <c r="J33" s="48"/>
      <c r="K33" s="54"/>
      <c r="L33" s="48"/>
      <c r="M33" s="48"/>
      <c r="N33" s="48"/>
      <c r="O33" s="45"/>
      <c r="P33" s="48"/>
      <c r="Q33" s="54"/>
      <c r="R33" s="47"/>
      <c r="S33" s="51"/>
      <c r="T33" s="51"/>
      <c r="U33" s="80"/>
      <c r="V33" s="84"/>
      <c r="W33" s="84"/>
      <c r="X33" s="80"/>
      <c r="Y33" s="83"/>
      <c r="Z33" s="83"/>
      <c r="AA33" s="80"/>
      <c r="AB33" s="83"/>
      <c r="AC33" s="83"/>
      <c r="AD33" s="83"/>
      <c r="AE33" s="80"/>
    </row>
    <row r="34" spans="1:31" s="35" customFormat="1" ht="38.25">
      <c r="A34" s="55">
        <v>214.12100000000001</v>
      </c>
      <c r="B34" s="40">
        <f t="shared" si="0"/>
        <v>5</v>
      </c>
      <c r="C34" s="44" t="s">
        <v>108</v>
      </c>
      <c r="D34" s="41" t="str">
        <f t="shared" si="1"/>
        <v xml:space="preserve">                              Spent Fuel Building Slab Roof</v>
      </c>
      <c r="E34" s="41" t="s">
        <v>341</v>
      </c>
      <c r="F34" s="41"/>
      <c r="G34" s="41"/>
      <c r="H34" s="45"/>
      <c r="I34" s="46">
        <f>1200 *1.53</f>
        <v>1836</v>
      </c>
      <c r="J34" s="47" t="s">
        <v>79</v>
      </c>
      <c r="K34" s="49" t="s">
        <v>89</v>
      </c>
      <c r="L34" s="48"/>
      <c r="M34" s="47" t="s">
        <v>81</v>
      </c>
      <c r="N34" s="48"/>
      <c r="O34" s="68">
        <v>2024</v>
      </c>
      <c r="P34" s="48" t="s">
        <v>77</v>
      </c>
      <c r="Q34" s="88" t="s">
        <v>82</v>
      </c>
      <c r="R34" s="88" t="s">
        <v>83</v>
      </c>
      <c r="S34" s="89" t="s">
        <v>84</v>
      </c>
      <c r="T34" s="51"/>
      <c r="U34" s="80" t="s">
        <v>471</v>
      </c>
      <c r="V34" s="84">
        <f t="shared" si="4"/>
        <v>0</v>
      </c>
      <c r="W34" s="84">
        <f t="shared" si="5"/>
        <v>0</v>
      </c>
      <c r="X34" s="80" t="s">
        <v>451</v>
      </c>
      <c r="Y34" s="83">
        <f t="shared" si="6"/>
        <v>1652.4</v>
      </c>
      <c r="Z34" s="83">
        <f t="shared" si="7"/>
        <v>2386.8000000000002</v>
      </c>
      <c r="AA34" s="80" t="s">
        <v>451</v>
      </c>
      <c r="AB34" s="83" t="s">
        <v>475</v>
      </c>
      <c r="AC34" s="83" t="s">
        <v>476</v>
      </c>
      <c r="AD34" s="83" t="s">
        <v>477</v>
      </c>
      <c r="AE34" s="80" t="s">
        <v>452</v>
      </c>
    </row>
    <row r="35" spans="1:31" s="35" customFormat="1" ht="38.25">
      <c r="A35" s="55">
        <v>214.12200000000001</v>
      </c>
      <c r="B35" s="40">
        <f t="shared" si="0"/>
        <v>5</v>
      </c>
      <c r="C35" s="44" t="s">
        <v>126</v>
      </c>
      <c r="D35" s="41" t="str">
        <f t="shared" si="1"/>
        <v xml:space="preserve">                              Spent Fuel Building Basement</v>
      </c>
      <c r="E35" s="41" t="s">
        <v>341</v>
      </c>
      <c r="F35" s="41"/>
      <c r="G35" s="41"/>
      <c r="H35" s="45"/>
      <c r="I35" s="46">
        <f>943.9*1.53</f>
        <v>1444.1669999999999</v>
      </c>
      <c r="J35" s="47" t="s">
        <v>79</v>
      </c>
      <c r="K35" s="49" t="s">
        <v>97</v>
      </c>
      <c r="L35" s="48"/>
      <c r="M35" s="47" t="s">
        <v>81</v>
      </c>
      <c r="N35" s="48"/>
      <c r="O35" s="68">
        <v>2024</v>
      </c>
      <c r="P35" s="48" t="s">
        <v>77</v>
      </c>
      <c r="Q35" s="88"/>
      <c r="R35" s="88"/>
      <c r="S35" s="90"/>
      <c r="T35" s="51"/>
      <c r="U35" s="80" t="s">
        <v>471</v>
      </c>
      <c r="V35" s="84">
        <f t="shared" si="4"/>
        <v>0</v>
      </c>
      <c r="W35" s="84">
        <f t="shared" si="5"/>
        <v>0</v>
      </c>
      <c r="X35" s="80" t="s">
        <v>451</v>
      </c>
      <c r="Y35" s="83">
        <f t="shared" si="6"/>
        <v>1299.7502999999999</v>
      </c>
      <c r="Z35" s="83">
        <f t="shared" si="7"/>
        <v>1877.4170999999999</v>
      </c>
      <c r="AA35" s="80" t="s">
        <v>451</v>
      </c>
      <c r="AB35" s="83" t="s">
        <v>475</v>
      </c>
      <c r="AC35" s="83" t="s">
        <v>476</v>
      </c>
      <c r="AD35" s="83" t="s">
        <v>477</v>
      </c>
      <c r="AE35" s="80" t="s">
        <v>452</v>
      </c>
    </row>
    <row r="36" spans="1:31" s="35" customFormat="1" ht="38.25">
      <c r="A36" s="55">
        <v>214.12299999999999</v>
      </c>
      <c r="B36" s="40">
        <f t="shared" si="0"/>
        <v>5</v>
      </c>
      <c r="C36" s="44" t="s">
        <v>109</v>
      </c>
      <c r="D36" s="41" t="str">
        <f t="shared" si="1"/>
        <v xml:space="preserve">                              Spent Fuel Building Walls</v>
      </c>
      <c r="E36" s="41" t="s">
        <v>341</v>
      </c>
      <c r="F36" s="41"/>
      <c r="G36" s="41"/>
      <c r="H36" s="45"/>
      <c r="I36" s="46">
        <f>721.21*1.53</f>
        <v>1103.4513000000002</v>
      </c>
      <c r="J36" s="47" t="s">
        <v>79</v>
      </c>
      <c r="K36" s="49" t="s">
        <v>98</v>
      </c>
      <c r="L36" s="48"/>
      <c r="M36" s="47" t="s">
        <v>81</v>
      </c>
      <c r="N36" s="48"/>
      <c r="O36" s="68">
        <v>2024</v>
      </c>
      <c r="P36" s="47" t="s">
        <v>77</v>
      </c>
      <c r="Q36" s="88"/>
      <c r="R36" s="88"/>
      <c r="S36" s="90"/>
      <c r="T36" s="51"/>
      <c r="U36" s="80" t="s">
        <v>471</v>
      </c>
      <c r="V36" s="84">
        <f t="shared" si="4"/>
        <v>0</v>
      </c>
      <c r="W36" s="84">
        <f t="shared" si="5"/>
        <v>0</v>
      </c>
      <c r="X36" s="80" t="s">
        <v>451</v>
      </c>
      <c r="Y36" s="83">
        <f t="shared" si="6"/>
        <v>993.10617000000013</v>
      </c>
      <c r="Z36" s="83">
        <f t="shared" si="7"/>
        <v>1434.4866900000002</v>
      </c>
      <c r="AA36" s="80" t="s">
        <v>451</v>
      </c>
      <c r="AB36" s="83" t="s">
        <v>475</v>
      </c>
      <c r="AC36" s="83" t="s">
        <v>476</v>
      </c>
      <c r="AD36" s="83" t="s">
        <v>477</v>
      </c>
      <c r="AE36" s="80" t="s">
        <v>452</v>
      </c>
    </row>
    <row r="37" spans="1:31" ht="25.5">
      <c r="A37" s="55">
        <v>214.7</v>
      </c>
      <c r="B37" s="40">
        <f t="shared" si="0"/>
        <v>3</v>
      </c>
      <c r="C37" s="44" t="s">
        <v>144</v>
      </c>
      <c r="D37" s="41" t="str">
        <f t="shared" si="1"/>
        <v xml:space="preserve">                  Emergency and Start-up Power Systems Building</v>
      </c>
      <c r="E37" s="41"/>
      <c r="F37" s="41"/>
      <c r="G37" s="41"/>
      <c r="H37" s="45"/>
      <c r="I37" s="46"/>
      <c r="J37" s="47"/>
      <c r="K37" s="49"/>
      <c r="L37" s="48"/>
      <c r="M37" s="47"/>
      <c r="N37" s="48"/>
      <c r="O37" s="68"/>
      <c r="P37" s="47"/>
      <c r="Q37" s="49"/>
      <c r="R37" s="47"/>
      <c r="S37" s="51"/>
      <c r="T37" s="51"/>
      <c r="U37" s="80"/>
      <c r="V37" s="84"/>
      <c r="W37" s="84"/>
      <c r="X37" s="80"/>
      <c r="Y37" s="83"/>
      <c r="Z37" s="83"/>
      <c r="AA37" s="80"/>
      <c r="AB37" s="83"/>
      <c r="AC37" s="83"/>
      <c r="AD37" s="83"/>
      <c r="AE37" s="80"/>
    </row>
    <row r="38" spans="1:31">
      <c r="A38" s="55">
        <v>214.71</v>
      </c>
      <c r="B38" s="40">
        <f t="shared" si="0"/>
        <v>4</v>
      </c>
      <c r="C38" s="44" t="s">
        <v>143</v>
      </c>
      <c r="D38" s="41" t="str">
        <f t="shared" si="1"/>
        <v xml:space="preserve">                        Emergency Building</v>
      </c>
      <c r="E38" s="41"/>
      <c r="F38" s="41"/>
      <c r="G38" s="41"/>
      <c r="H38" s="45"/>
      <c r="I38" s="46"/>
      <c r="J38" s="47"/>
      <c r="K38" s="49"/>
      <c r="L38" s="48"/>
      <c r="M38" s="47"/>
      <c r="N38" s="48"/>
      <c r="O38" s="68"/>
      <c r="P38" s="47"/>
      <c r="Q38" s="49"/>
      <c r="R38" s="47"/>
      <c r="S38" s="51"/>
      <c r="T38" s="51"/>
      <c r="U38" s="80"/>
      <c r="V38" s="84"/>
      <c r="W38" s="84"/>
      <c r="X38" s="80"/>
      <c r="Y38" s="83"/>
      <c r="Z38" s="83"/>
      <c r="AA38" s="80"/>
      <c r="AB38" s="83"/>
      <c r="AC38" s="83"/>
      <c r="AD38" s="83"/>
      <c r="AE38" s="80"/>
    </row>
    <row r="39" spans="1:31" s="35" customFormat="1" ht="38.25">
      <c r="A39" s="55">
        <v>214.71100000000001</v>
      </c>
      <c r="B39" s="40">
        <f t="shared" si="0"/>
        <v>5</v>
      </c>
      <c r="C39" s="44" t="s">
        <v>146</v>
      </c>
      <c r="D39" s="41" t="str">
        <f t="shared" si="1"/>
        <v xml:space="preserve">                              Emergency Building Slab Roof</v>
      </c>
      <c r="E39" s="41" t="s">
        <v>341</v>
      </c>
      <c r="F39" s="41"/>
      <c r="G39" s="41"/>
      <c r="H39" s="45"/>
      <c r="I39" s="46">
        <f>1200 *1.53</f>
        <v>1836</v>
      </c>
      <c r="J39" s="47" t="s">
        <v>79</v>
      </c>
      <c r="K39" s="49" t="s">
        <v>149</v>
      </c>
      <c r="L39" s="48"/>
      <c r="M39" s="47" t="s">
        <v>81</v>
      </c>
      <c r="N39" s="48"/>
      <c r="O39" s="68">
        <v>2024</v>
      </c>
      <c r="P39" s="48" t="s">
        <v>77</v>
      </c>
      <c r="Q39" s="88" t="s">
        <v>82</v>
      </c>
      <c r="R39" s="88" t="s">
        <v>83</v>
      </c>
      <c r="S39" s="89" t="s">
        <v>84</v>
      </c>
      <c r="T39" s="51"/>
      <c r="U39" s="80" t="s">
        <v>467</v>
      </c>
      <c r="V39" s="84">
        <f t="shared" si="4"/>
        <v>0</v>
      </c>
      <c r="W39" s="84">
        <f t="shared" si="5"/>
        <v>0</v>
      </c>
      <c r="X39" s="80" t="s">
        <v>451</v>
      </c>
      <c r="Y39" s="83">
        <f t="shared" si="6"/>
        <v>1652.4</v>
      </c>
      <c r="Z39" s="83">
        <f t="shared" si="7"/>
        <v>2386.8000000000002</v>
      </c>
      <c r="AA39" s="80" t="s">
        <v>451</v>
      </c>
      <c r="AB39" s="83" t="s">
        <v>475</v>
      </c>
      <c r="AC39" s="83" t="s">
        <v>476</v>
      </c>
      <c r="AD39" s="83" t="s">
        <v>477</v>
      </c>
      <c r="AE39" s="80" t="s">
        <v>452</v>
      </c>
    </row>
    <row r="40" spans="1:31" s="35" customFormat="1" ht="38.25">
      <c r="A40" s="55">
        <v>214.71199999999999</v>
      </c>
      <c r="B40" s="40">
        <f t="shared" si="0"/>
        <v>5</v>
      </c>
      <c r="C40" s="44" t="s">
        <v>147</v>
      </c>
      <c r="D40" s="41" t="str">
        <f t="shared" si="1"/>
        <v xml:space="preserve">                              Emergency Building Basement</v>
      </c>
      <c r="E40" s="41" t="s">
        <v>341</v>
      </c>
      <c r="F40" s="41"/>
      <c r="G40" s="41"/>
      <c r="H40" s="45"/>
      <c r="I40" s="46">
        <f>943.9*1.53</f>
        <v>1444.1669999999999</v>
      </c>
      <c r="J40" s="47" t="s">
        <v>79</v>
      </c>
      <c r="K40" s="49" t="s">
        <v>150</v>
      </c>
      <c r="L40" s="48"/>
      <c r="M40" s="47" t="s">
        <v>81</v>
      </c>
      <c r="N40" s="48"/>
      <c r="O40" s="68">
        <v>2024</v>
      </c>
      <c r="P40" s="48" t="s">
        <v>77</v>
      </c>
      <c r="Q40" s="88"/>
      <c r="R40" s="88"/>
      <c r="S40" s="90"/>
      <c r="T40" s="51"/>
      <c r="U40" s="80" t="s">
        <v>467</v>
      </c>
      <c r="V40" s="84">
        <f t="shared" si="4"/>
        <v>0</v>
      </c>
      <c r="W40" s="84">
        <f t="shared" si="5"/>
        <v>0</v>
      </c>
      <c r="X40" s="80" t="s">
        <v>451</v>
      </c>
      <c r="Y40" s="83">
        <f t="shared" si="6"/>
        <v>1299.7502999999999</v>
      </c>
      <c r="Z40" s="83">
        <f t="shared" si="7"/>
        <v>1877.4170999999999</v>
      </c>
      <c r="AA40" s="80" t="s">
        <v>451</v>
      </c>
      <c r="AB40" s="83" t="s">
        <v>475</v>
      </c>
      <c r="AC40" s="83" t="s">
        <v>476</v>
      </c>
      <c r="AD40" s="83" t="s">
        <v>477</v>
      </c>
      <c r="AE40" s="80" t="s">
        <v>452</v>
      </c>
    </row>
    <row r="41" spans="1:31" s="35" customFormat="1" ht="38.25">
      <c r="A41" s="55">
        <v>214.71299999999999</v>
      </c>
      <c r="B41" s="40">
        <f t="shared" si="0"/>
        <v>5</v>
      </c>
      <c r="C41" s="44" t="s">
        <v>148</v>
      </c>
      <c r="D41" s="41" t="str">
        <f t="shared" si="1"/>
        <v xml:space="preserve">                              Emergency Building Walls</v>
      </c>
      <c r="E41" s="41" t="s">
        <v>341</v>
      </c>
      <c r="F41" s="41"/>
      <c r="G41" s="41"/>
      <c r="H41" s="45"/>
      <c r="I41" s="46">
        <f>721.21*1.53</f>
        <v>1103.4513000000002</v>
      </c>
      <c r="J41" s="47" t="s">
        <v>79</v>
      </c>
      <c r="K41" s="49" t="s">
        <v>151</v>
      </c>
      <c r="L41" s="48"/>
      <c r="M41" s="47" t="s">
        <v>81</v>
      </c>
      <c r="N41" s="48"/>
      <c r="O41" s="68">
        <v>2024</v>
      </c>
      <c r="P41" s="47" t="s">
        <v>77</v>
      </c>
      <c r="Q41" s="88"/>
      <c r="R41" s="88"/>
      <c r="S41" s="90"/>
      <c r="T41" s="51"/>
      <c r="U41" s="80" t="s">
        <v>467</v>
      </c>
      <c r="V41" s="84">
        <f t="shared" si="4"/>
        <v>0</v>
      </c>
      <c r="W41" s="84">
        <f t="shared" si="5"/>
        <v>0</v>
      </c>
      <c r="X41" s="80" t="s">
        <v>451</v>
      </c>
      <c r="Y41" s="83">
        <f t="shared" si="6"/>
        <v>993.10617000000013</v>
      </c>
      <c r="Z41" s="83">
        <f t="shared" si="7"/>
        <v>1434.4866900000002</v>
      </c>
      <c r="AA41" s="80" t="s">
        <v>451</v>
      </c>
      <c r="AB41" s="83" t="s">
        <v>475</v>
      </c>
      <c r="AC41" s="83" t="s">
        <v>476</v>
      </c>
      <c r="AD41" s="83" t="s">
        <v>477</v>
      </c>
      <c r="AE41" s="80" t="s">
        <v>452</v>
      </c>
    </row>
    <row r="42" spans="1:31" ht="103.9" customHeight="1">
      <c r="A42" s="55">
        <v>214.72</v>
      </c>
      <c r="B42" s="40">
        <f t="shared" si="0"/>
        <v>4</v>
      </c>
      <c r="C42" s="58" t="s">
        <v>145</v>
      </c>
      <c r="D42" s="41" t="str">
        <f t="shared" si="1"/>
        <v xml:space="preserve">                        Diesel Generator</v>
      </c>
      <c r="E42" s="41" t="s">
        <v>341</v>
      </c>
      <c r="F42" s="41"/>
      <c r="G42" s="41"/>
      <c r="H42" s="45"/>
      <c r="I42" s="59">
        <f>MARVEL_Cost!C11/L42</f>
        <v>2717311.5662650601</v>
      </c>
      <c r="J42" s="47" t="s">
        <v>153</v>
      </c>
      <c r="K42" s="49" t="s">
        <v>154</v>
      </c>
      <c r="L42" s="47">
        <f>'Design Variables'!B3/1000</f>
        <v>8.3000000000000004E-2</v>
      </c>
      <c r="M42" s="47" t="s">
        <v>152</v>
      </c>
      <c r="N42" s="47">
        <v>0.7</v>
      </c>
      <c r="O42" s="68">
        <v>2024</v>
      </c>
      <c r="P42" s="47" t="s">
        <v>74</v>
      </c>
      <c r="Q42" s="49" t="s">
        <v>155</v>
      </c>
      <c r="R42" s="49" t="s">
        <v>156</v>
      </c>
      <c r="S42" s="60" t="s">
        <v>157</v>
      </c>
      <c r="T42" s="51"/>
      <c r="U42" s="80" t="s">
        <v>467</v>
      </c>
      <c r="V42" s="84">
        <f t="shared" si="4"/>
        <v>0</v>
      </c>
      <c r="W42" s="84">
        <f t="shared" si="5"/>
        <v>0</v>
      </c>
      <c r="X42" s="80" t="s">
        <v>451</v>
      </c>
      <c r="Y42" s="83">
        <f t="shared" si="6"/>
        <v>2445580.4096385543</v>
      </c>
      <c r="Z42" s="83">
        <f t="shared" si="7"/>
        <v>3532505.0361445784</v>
      </c>
      <c r="AA42" s="80" t="s">
        <v>451</v>
      </c>
      <c r="AB42" s="83" t="s">
        <v>475</v>
      </c>
      <c r="AC42" s="83" t="s">
        <v>476</v>
      </c>
      <c r="AD42" s="83" t="s">
        <v>477</v>
      </c>
      <c r="AE42" s="80" t="s">
        <v>452</v>
      </c>
    </row>
    <row r="43" spans="1:31">
      <c r="A43" s="55">
        <v>215</v>
      </c>
      <c r="B43" s="40">
        <f t="shared" si="0"/>
        <v>2</v>
      </c>
      <c r="C43" s="58" t="s">
        <v>158</v>
      </c>
      <c r="D43" s="41" t="str">
        <f t="shared" si="1"/>
        <v xml:space="preserve">            Supply Chain Buildings</v>
      </c>
      <c r="E43" s="41"/>
      <c r="F43" s="41"/>
      <c r="G43" s="41"/>
      <c r="H43" s="45"/>
      <c r="I43" s="59"/>
      <c r="J43" s="47"/>
      <c r="K43" s="49"/>
      <c r="L43" s="47"/>
      <c r="M43" s="47"/>
      <c r="N43" s="47"/>
      <c r="O43" s="68"/>
      <c r="P43" s="47"/>
      <c r="Q43" s="49"/>
      <c r="R43" s="49"/>
      <c r="S43" s="60"/>
      <c r="T43" s="51"/>
      <c r="U43" s="80"/>
      <c r="V43" s="84"/>
      <c r="W43" s="84"/>
      <c r="X43" s="80"/>
      <c r="Y43" s="83"/>
      <c r="Z43" s="83"/>
      <c r="AA43" s="80"/>
      <c r="AB43" s="83"/>
      <c r="AC43" s="83"/>
      <c r="AD43" s="83"/>
      <c r="AE43" s="80"/>
    </row>
    <row r="44" spans="1:31">
      <c r="A44" s="55">
        <v>215.1</v>
      </c>
      <c r="B44" s="40">
        <f t="shared" si="0"/>
        <v>3</v>
      </c>
      <c r="C44" s="58" t="s">
        <v>160</v>
      </c>
      <c r="D44" s="41" t="str">
        <f t="shared" si="1"/>
        <v xml:space="preserve">                  Storage Building</v>
      </c>
      <c r="E44" s="41"/>
      <c r="F44" s="41"/>
      <c r="G44" s="41"/>
      <c r="H44" s="45"/>
      <c r="I44" s="59"/>
      <c r="J44" s="47"/>
      <c r="K44" s="49"/>
      <c r="L44" s="47"/>
      <c r="M44" s="47"/>
      <c r="N44" s="47"/>
      <c r="O44" s="68"/>
      <c r="P44" s="47"/>
      <c r="Q44" s="49"/>
      <c r="R44" s="49"/>
      <c r="S44" s="60"/>
      <c r="T44" s="51"/>
      <c r="U44" s="80"/>
      <c r="V44" s="84"/>
      <c r="W44" s="84"/>
      <c r="X44" s="80"/>
      <c r="Y44" s="83"/>
      <c r="Z44" s="83"/>
      <c r="AA44" s="80"/>
      <c r="AB44" s="83"/>
      <c r="AC44" s="83"/>
      <c r="AD44" s="83"/>
      <c r="AE44" s="80"/>
    </row>
    <row r="45" spans="1:31" ht="25.5">
      <c r="A45" s="55">
        <v>215.11</v>
      </c>
      <c r="B45" s="40">
        <f t="shared" si="0"/>
        <v>4</v>
      </c>
      <c r="C45" s="58" t="s">
        <v>161</v>
      </c>
      <c r="D45" s="41" t="str">
        <f t="shared" si="1"/>
        <v xml:space="preserve">                        Storage Building Slab Roof</v>
      </c>
      <c r="E45" s="41" t="s">
        <v>341</v>
      </c>
      <c r="F45" s="41"/>
      <c r="G45" s="41"/>
      <c r="H45" s="45"/>
      <c r="I45" s="46">
        <f>1200 *1.53</f>
        <v>1836</v>
      </c>
      <c r="J45" s="47" t="s">
        <v>79</v>
      </c>
      <c r="K45" s="49" t="s">
        <v>167</v>
      </c>
      <c r="L45" s="47"/>
      <c r="M45" s="47" t="s">
        <v>81</v>
      </c>
      <c r="N45" s="47"/>
      <c r="O45" s="68">
        <v>2024</v>
      </c>
      <c r="P45" s="47" t="s">
        <v>77</v>
      </c>
      <c r="Q45" s="88" t="s">
        <v>82</v>
      </c>
      <c r="R45" s="88" t="s">
        <v>83</v>
      </c>
      <c r="S45" s="89" t="s">
        <v>84</v>
      </c>
      <c r="T45" s="51"/>
      <c r="U45" s="80" t="s">
        <v>471</v>
      </c>
      <c r="V45" s="84">
        <f t="shared" si="4"/>
        <v>0</v>
      </c>
      <c r="W45" s="84">
        <f t="shared" si="5"/>
        <v>0</v>
      </c>
      <c r="X45" s="80" t="s">
        <v>451</v>
      </c>
      <c r="Y45" s="83">
        <f t="shared" si="6"/>
        <v>1652.4</v>
      </c>
      <c r="Z45" s="83">
        <f t="shared" si="7"/>
        <v>2386.8000000000002</v>
      </c>
      <c r="AA45" s="80" t="s">
        <v>451</v>
      </c>
      <c r="AB45" s="83" t="s">
        <v>475</v>
      </c>
      <c r="AC45" s="83" t="s">
        <v>476</v>
      </c>
      <c r="AD45" s="83" t="s">
        <v>477</v>
      </c>
      <c r="AE45" s="80" t="s">
        <v>452</v>
      </c>
    </row>
    <row r="46" spans="1:31" ht="25.5">
      <c r="A46" s="55">
        <v>215.12</v>
      </c>
      <c r="B46" s="40">
        <f t="shared" si="0"/>
        <v>4</v>
      </c>
      <c r="C46" s="58" t="s">
        <v>162</v>
      </c>
      <c r="D46" s="41" t="str">
        <f t="shared" si="1"/>
        <v xml:space="preserve">                        Storage Building Basement</v>
      </c>
      <c r="E46" s="41" t="s">
        <v>341</v>
      </c>
      <c r="F46" s="41"/>
      <c r="G46" s="41"/>
      <c r="H46" s="45"/>
      <c r="I46" s="46">
        <f>943.9*1.53</f>
        <v>1444.1669999999999</v>
      </c>
      <c r="J46" s="47" t="s">
        <v>79</v>
      </c>
      <c r="K46" s="49" t="s">
        <v>168</v>
      </c>
      <c r="L46" s="47"/>
      <c r="M46" s="47" t="s">
        <v>81</v>
      </c>
      <c r="N46" s="47"/>
      <c r="O46" s="68">
        <v>2024</v>
      </c>
      <c r="P46" s="47" t="s">
        <v>77</v>
      </c>
      <c r="Q46" s="88"/>
      <c r="R46" s="88"/>
      <c r="S46" s="90"/>
      <c r="T46" s="51"/>
      <c r="U46" s="80" t="s">
        <v>471</v>
      </c>
      <c r="V46" s="84">
        <f t="shared" si="4"/>
        <v>0</v>
      </c>
      <c r="W46" s="84">
        <f t="shared" si="5"/>
        <v>0</v>
      </c>
      <c r="X46" s="80" t="s">
        <v>451</v>
      </c>
      <c r="Y46" s="83">
        <f t="shared" si="6"/>
        <v>1299.7502999999999</v>
      </c>
      <c r="Z46" s="83">
        <f t="shared" si="7"/>
        <v>1877.4170999999999</v>
      </c>
      <c r="AA46" s="80" t="s">
        <v>451</v>
      </c>
      <c r="AB46" s="83" t="s">
        <v>475</v>
      </c>
      <c r="AC46" s="83" t="s">
        <v>476</v>
      </c>
      <c r="AD46" s="83" t="s">
        <v>477</v>
      </c>
      <c r="AE46" s="80" t="s">
        <v>452</v>
      </c>
    </row>
    <row r="47" spans="1:31" ht="38.25">
      <c r="A47" s="55">
        <v>215.13</v>
      </c>
      <c r="B47" s="40">
        <f t="shared" si="0"/>
        <v>4</v>
      </c>
      <c r="C47" s="58" t="s">
        <v>163</v>
      </c>
      <c r="D47" s="41" t="str">
        <f t="shared" si="1"/>
        <v xml:space="preserve">                        Storage Building Walls</v>
      </c>
      <c r="E47" s="41" t="s">
        <v>341</v>
      </c>
      <c r="F47" s="41"/>
      <c r="G47" s="41"/>
      <c r="H47" s="45"/>
      <c r="I47" s="46">
        <f>721.21*1.53</f>
        <v>1103.4513000000002</v>
      </c>
      <c r="J47" s="47" t="s">
        <v>79</v>
      </c>
      <c r="K47" s="49" t="s">
        <v>169</v>
      </c>
      <c r="L47" s="47"/>
      <c r="M47" s="47" t="s">
        <v>81</v>
      </c>
      <c r="N47" s="47"/>
      <c r="O47" s="68">
        <v>2024</v>
      </c>
      <c r="P47" s="47" t="s">
        <v>77</v>
      </c>
      <c r="Q47" s="88"/>
      <c r="R47" s="88"/>
      <c r="S47" s="90"/>
      <c r="T47" s="51"/>
      <c r="U47" s="80" t="s">
        <v>471</v>
      </c>
      <c r="V47" s="84">
        <f t="shared" si="4"/>
        <v>0</v>
      </c>
      <c r="W47" s="84">
        <f t="shared" si="5"/>
        <v>0</v>
      </c>
      <c r="X47" s="80" t="s">
        <v>451</v>
      </c>
      <c r="Y47" s="83">
        <f t="shared" si="6"/>
        <v>993.10617000000013</v>
      </c>
      <c r="Z47" s="83">
        <f t="shared" si="7"/>
        <v>1434.4866900000002</v>
      </c>
      <c r="AA47" s="80" t="s">
        <v>451</v>
      </c>
      <c r="AB47" s="83" t="s">
        <v>475</v>
      </c>
      <c r="AC47" s="83" t="s">
        <v>476</v>
      </c>
      <c r="AD47" s="83" t="s">
        <v>477</v>
      </c>
      <c r="AE47" s="80" t="s">
        <v>452</v>
      </c>
    </row>
    <row r="48" spans="1:31">
      <c r="A48" s="55">
        <v>215.4</v>
      </c>
      <c r="B48" s="40">
        <f t="shared" si="0"/>
        <v>3</v>
      </c>
      <c r="C48" s="58" t="s">
        <v>159</v>
      </c>
      <c r="D48" s="41" t="str">
        <f t="shared" si="1"/>
        <v xml:space="preserve">                  Radwaste Building</v>
      </c>
      <c r="E48" s="41"/>
      <c r="F48" s="41"/>
      <c r="G48" s="41"/>
      <c r="H48" s="45"/>
      <c r="I48" s="59"/>
      <c r="J48" s="47"/>
      <c r="K48" s="49"/>
      <c r="L48" s="47"/>
      <c r="M48" s="47"/>
      <c r="N48" s="47"/>
      <c r="O48" s="68"/>
      <c r="P48" s="47"/>
      <c r="Q48" s="49"/>
      <c r="R48" s="49"/>
      <c r="S48" s="60"/>
      <c r="T48" s="51"/>
      <c r="U48" s="80"/>
      <c r="V48" s="84"/>
      <c r="W48" s="84"/>
      <c r="X48" s="80"/>
      <c r="Y48" s="83"/>
      <c r="Z48" s="83"/>
      <c r="AA48" s="80"/>
      <c r="AB48" s="83"/>
      <c r="AC48" s="83"/>
      <c r="AD48" s="83"/>
      <c r="AE48" s="80"/>
    </row>
    <row r="49" spans="1:31" ht="25.5">
      <c r="A49" s="55">
        <v>215.41</v>
      </c>
      <c r="B49" s="40">
        <f t="shared" si="0"/>
        <v>4</v>
      </c>
      <c r="C49" s="58" t="s">
        <v>165</v>
      </c>
      <c r="D49" s="41" t="str">
        <f t="shared" si="1"/>
        <v xml:space="preserve">                        Radwaste Building Slab Roof</v>
      </c>
      <c r="E49" s="41" t="s">
        <v>341</v>
      </c>
      <c r="F49" s="41"/>
      <c r="G49" s="41"/>
      <c r="H49" s="45"/>
      <c r="I49" s="46">
        <f>1200 *1.53</f>
        <v>1836</v>
      </c>
      <c r="J49" s="47" t="s">
        <v>79</v>
      </c>
      <c r="K49" s="49" t="s">
        <v>170</v>
      </c>
      <c r="L49" s="47"/>
      <c r="M49" s="47" t="s">
        <v>81</v>
      </c>
      <c r="N49" s="47"/>
      <c r="O49" s="68">
        <v>2024</v>
      </c>
      <c r="P49" s="47" t="s">
        <v>77</v>
      </c>
      <c r="Q49" s="88" t="s">
        <v>82</v>
      </c>
      <c r="R49" s="88" t="s">
        <v>83</v>
      </c>
      <c r="S49" s="89" t="s">
        <v>84</v>
      </c>
      <c r="T49" s="51"/>
      <c r="U49" s="80" t="s">
        <v>471</v>
      </c>
      <c r="V49" s="84">
        <f t="shared" si="4"/>
        <v>0</v>
      </c>
      <c r="W49" s="84">
        <f t="shared" si="5"/>
        <v>0</v>
      </c>
      <c r="X49" s="80" t="s">
        <v>451</v>
      </c>
      <c r="Y49" s="83">
        <f t="shared" si="6"/>
        <v>1652.4</v>
      </c>
      <c r="Z49" s="83">
        <f t="shared" si="7"/>
        <v>2386.8000000000002</v>
      </c>
      <c r="AA49" s="80" t="s">
        <v>451</v>
      </c>
      <c r="AB49" s="83" t="s">
        <v>475</v>
      </c>
      <c r="AC49" s="83" t="s">
        <v>476</v>
      </c>
      <c r="AD49" s="83" t="s">
        <v>477</v>
      </c>
      <c r="AE49" s="80" t="s">
        <v>452</v>
      </c>
    </row>
    <row r="50" spans="1:31" ht="25.5">
      <c r="A50" s="55">
        <v>215.42</v>
      </c>
      <c r="B50" s="40">
        <f t="shared" si="0"/>
        <v>4</v>
      </c>
      <c r="C50" s="58" t="s">
        <v>164</v>
      </c>
      <c r="D50" s="41" t="str">
        <f t="shared" si="1"/>
        <v xml:space="preserve">                        Radwaste Building Basement</v>
      </c>
      <c r="E50" s="41" t="s">
        <v>341</v>
      </c>
      <c r="F50" s="41"/>
      <c r="G50" s="41"/>
      <c r="H50" s="45"/>
      <c r="I50" s="46">
        <f>943.9*1.53</f>
        <v>1444.1669999999999</v>
      </c>
      <c r="J50" s="47" t="s">
        <v>79</v>
      </c>
      <c r="K50" s="49" t="s">
        <v>171</v>
      </c>
      <c r="L50" s="47"/>
      <c r="M50" s="47" t="s">
        <v>81</v>
      </c>
      <c r="N50" s="47"/>
      <c r="O50" s="68">
        <v>2024</v>
      </c>
      <c r="P50" s="47" t="s">
        <v>77</v>
      </c>
      <c r="Q50" s="88"/>
      <c r="R50" s="88"/>
      <c r="S50" s="90"/>
      <c r="T50" s="51"/>
      <c r="U50" s="80" t="s">
        <v>471</v>
      </c>
      <c r="V50" s="84">
        <f t="shared" si="4"/>
        <v>0</v>
      </c>
      <c r="W50" s="84">
        <f t="shared" si="5"/>
        <v>0</v>
      </c>
      <c r="X50" s="80" t="s">
        <v>451</v>
      </c>
      <c r="Y50" s="83">
        <f t="shared" si="6"/>
        <v>1299.7502999999999</v>
      </c>
      <c r="Z50" s="83">
        <f t="shared" si="7"/>
        <v>1877.4170999999999</v>
      </c>
      <c r="AA50" s="80" t="s">
        <v>451</v>
      </c>
      <c r="AB50" s="83" t="s">
        <v>475</v>
      </c>
      <c r="AC50" s="83" t="s">
        <v>476</v>
      </c>
      <c r="AD50" s="83" t="s">
        <v>477</v>
      </c>
      <c r="AE50" s="80" t="s">
        <v>452</v>
      </c>
    </row>
    <row r="51" spans="1:31" ht="38.25">
      <c r="A51" s="55">
        <v>215.43</v>
      </c>
      <c r="B51" s="40">
        <f t="shared" si="0"/>
        <v>4</v>
      </c>
      <c r="C51" s="58" t="s">
        <v>166</v>
      </c>
      <c r="D51" s="41" t="str">
        <f t="shared" si="1"/>
        <v xml:space="preserve">                        Radwaste Building Walls</v>
      </c>
      <c r="E51" s="41" t="s">
        <v>341</v>
      </c>
      <c r="F51" s="41"/>
      <c r="G51" s="41"/>
      <c r="H51" s="45"/>
      <c r="I51" s="46">
        <f>721.21*1.53</f>
        <v>1103.4513000000002</v>
      </c>
      <c r="J51" s="47" t="s">
        <v>79</v>
      </c>
      <c r="K51" s="49" t="s">
        <v>172</v>
      </c>
      <c r="L51" s="47"/>
      <c r="M51" s="47" t="s">
        <v>81</v>
      </c>
      <c r="N51" s="47"/>
      <c r="O51" s="68">
        <v>2024</v>
      </c>
      <c r="P51" s="47" t="s">
        <v>77</v>
      </c>
      <c r="Q51" s="88"/>
      <c r="R51" s="88"/>
      <c r="S51" s="90"/>
      <c r="T51" s="51"/>
      <c r="U51" s="80" t="s">
        <v>471</v>
      </c>
      <c r="V51" s="84">
        <f t="shared" si="4"/>
        <v>0</v>
      </c>
      <c r="W51" s="84">
        <f t="shared" si="5"/>
        <v>0</v>
      </c>
      <c r="X51" s="80" t="s">
        <v>451</v>
      </c>
      <c r="Y51" s="83">
        <f t="shared" si="6"/>
        <v>993.10617000000013</v>
      </c>
      <c r="Z51" s="83">
        <f t="shared" si="7"/>
        <v>1434.4866900000002</v>
      </c>
      <c r="AA51" s="80" t="s">
        <v>451</v>
      </c>
      <c r="AB51" s="83" t="s">
        <v>475</v>
      </c>
      <c r="AC51" s="83" t="s">
        <v>476</v>
      </c>
      <c r="AD51" s="83" t="s">
        <v>477</v>
      </c>
      <c r="AE51" s="80" t="s">
        <v>452</v>
      </c>
    </row>
    <row r="52" spans="1:31">
      <c r="A52" s="39">
        <v>22</v>
      </c>
      <c r="B52" s="40">
        <f t="shared" si="0"/>
        <v>1</v>
      </c>
      <c r="C52" s="58" t="s">
        <v>10</v>
      </c>
      <c r="D52" s="41" t="str">
        <f t="shared" si="1"/>
        <v xml:space="preserve">      Reactor System</v>
      </c>
      <c r="E52" s="41"/>
      <c r="F52" s="41"/>
      <c r="G52" s="41"/>
      <c r="H52" s="45"/>
      <c r="I52" s="46"/>
      <c r="J52" s="48"/>
      <c r="K52" s="61"/>
      <c r="L52" s="51"/>
      <c r="M52" s="51"/>
      <c r="N52" s="51"/>
      <c r="O52" s="68"/>
      <c r="P52" s="51"/>
      <c r="Q52" s="61"/>
      <c r="R52" s="51"/>
      <c r="S52" s="51"/>
      <c r="T52" s="51"/>
      <c r="U52" s="80"/>
      <c r="V52" s="84"/>
      <c r="W52" s="84"/>
      <c r="X52" s="80"/>
      <c r="Y52" s="83"/>
      <c r="Z52" s="83"/>
      <c r="AA52" s="80"/>
      <c r="AB52" s="83"/>
      <c r="AC52" s="83"/>
      <c r="AD52" s="83"/>
      <c r="AE52" s="80"/>
    </row>
    <row r="53" spans="1:31">
      <c r="A53" s="55">
        <v>221</v>
      </c>
      <c r="B53" s="40">
        <f t="shared" si="0"/>
        <v>2</v>
      </c>
      <c r="C53" s="58" t="s">
        <v>11</v>
      </c>
      <c r="D53" s="41" t="str">
        <f t="shared" si="1"/>
        <v xml:space="preserve">            Reactor Components</v>
      </c>
      <c r="E53" s="41"/>
      <c r="F53" s="41"/>
      <c r="G53" s="41"/>
      <c r="H53" s="45"/>
      <c r="I53" s="46"/>
      <c r="J53" s="48"/>
      <c r="K53" s="61"/>
      <c r="L53" s="51"/>
      <c r="M53" s="51"/>
      <c r="N53" s="51"/>
      <c r="O53" s="68"/>
      <c r="P53" s="51"/>
      <c r="Q53" s="61"/>
      <c r="R53" s="51"/>
      <c r="S53" s="51"/>
      <c r="T53" s="51"/>
      <c r="U53" s="80"/>
      <c r="V53" s="84"/>
      <c r="W53" s="84"/>
      <c r="X53" s="80"/>
      <c r="Y53" s="83"/>
      <c r="Z53" s="83"/>
      <c r="AA53" s="80"/>
      <c r="AB53" s="83"/>
      <c r="AC53" s="83"/>
      <c r="AD53" s="83"/>
      <c r="AE53" s="80"/>
    </row>
    <row r="54" spans="1:31" ht="30" customHeight="1">
      <c r="A54" s="55">
        <v>221.1</v>
      </c>
      <c r="B54" s="40">
        <f t="shared" si="0"/>
        <v>3</v>
      </c>
      <c r="C54" s="58" t="s">
        <v>127</v>
      </c>
      <c r="D54" s="41" t="str">
        <f t="shared" si="1"/>
        <v xml:space="preserve">                  Reactor Vessel and Accessories</v>
      </c>
      <c r="E54" s="41"/>
      <c r="F54" s="41"/>
      <c r="G54" s="41"/>
      <c r="H54" s="45"/>
      <c r="I54" s="62"/>
      <c r="J54" s="51"/>
      <c r="K54" s="61"/>
      <c r="L54" s="51"/>
      <c r="M54" s="51"/>
      <c r="N54" s="51"/>
      <c r="O54" s="68"/>
      <c r="P54" s="51"/>
      <c r="Q54" s="61"/>
      <c r="R54" s="51"/>
      <c r="S54" s="51"/>
      <c r="T54" s="51"/>
      <c r="U54" s="80"/>
      <c r="V54" s="84"/>
      <c r="W54" s="84"/>
      <c r="X54" s="80"/>
      <c r="Y54" s="83"/>
      <c r="Z54" s="83"/>
      <c r="AA54" s="80"/>
      <c r="AB54" s="83"/>
      <c r="AC54" s="83"/>
      <c r="AD54" s="83"/>
      <c r="AE54" s="80"/>
    </row>
    <row r="55" spans="1:31" ht="63" customHeight="1">
      <c r="A55" s="55">
        <v>221.11</v>
      </c>
      <c r="B55" s="40">
        <f t="shared" si="0"/>
        <v>4</v>
      </c>
      <c r="C55" s="58" t="s">
        <v>128</v>
      </c>
      <c r="D55" s="41" t="str">
        <f t="shared" si="1"/>
        <v xml:space="preserve">                        Reactor Support</v>
      </c>
      <c r="E55" s="41" t="s">
        <v>341</v>
      </c>
      <c r="F55" s="41"/>
      <c r="G55" s="41"/>
      <c r="H55" s="45"/>
      <c r="I55" s="63">
        <f>3171011/L55</f>
        <v>8.1938268733850137</v>
      </c>
      <c r="J55" s="51" t="s">
        <v>174</v>
      </c>
      <c r="K55" s="61" t="s">
        <v>329</v>
      </c>
      <c r="L55" s="51">
        <v>387000</v>
      </c>
      <c r="M55" s="51" t="s">
        <v>173</v>
      </c>
      <c r="N55" s="51">
        <v>0.85</v>
      </c>
      <c r="O55" s="68">
        <v>2018</v>
      </c>
      <c r="P55" s="51" t="s">
        <v>77</v>
      </c>
      <c r="Q55" s="61" t="s">
        <v>398</v>
      </c>
      <c r="R55" s="61"/>
      <c r="S55" s="58"/>
      <c r="T55" s="61" t="s">
        <v>178</v>
      </c>
      <c r="U55" s="80" t="s">
        <v>472</v>
      </c>
      <c r="V55" s="84">
        <f t="shared" si="4"/>
        <v>0</v>
      </c>
      <c r="W55" s="84">
        <f t="shared" si="5"/>
        <v>0</v>
      </c>
      <c r="X55" s="80" t="s">
        <v>451</v>
      </c>
      <c r="Y55" s="83">
        <f t="shared" si="6"/>
        <v>7.3744441860465129</v>
      </c>
      <c r="Z55" s="83">
        <f t="shared" si="7"/>
        <v>10.651974935400519</v>
      </c>
      <c r="AA55" s="80" t="s">
        <v>451</v>
      </c>
      <c r="AB55" s="83" t="s">
        <v>475</v>
      </c>
      <c r="AC55" s="83" t="s">
        <v>476</v>
      </c>
      <c r="AD55" s="83" t="s">
        <v>477</v>
      </c>
      <c r="AE55" s="80" t="s">
        <v>452</v>
      </c>
    </row>
    <row r="56" spans="1:31" ht="30" customHeight="1">
      <c r="A56" s="55">
        <v>221.12</v>
      </c>
      <c r="B56" s="40">
        <f t="shared" si="0"/>
        <v>4</v>
      </c>
      <c r="C56" s="58" t="s">
        <v>129</v>
      </c>
      <c r="D56" s="41" t="str">
        <f t="shared" si="1"/>
        <v xml:space="preserve">                        Outer Vessel Structure</v>
      </c>
      <c r="E56" s="41" t="s">
        <v>341</v>
      </c>
      <c r="F56" s="41" t="s">
        <v>486</v>
      </c>
      <c r="G56" s="41" t="s">
        <v>439</v>
      </c>
      <c r="H56" s="45"/>
      <c r="I56" s="63">
        <v>324.08</v>
      </c>
      <c r="J56" s="51" t="s">
        <v>174</v>
      </c>
      <c r="K56" s="61" t="s">
        <v>180</v>
      </c>
      <c r="L56" s="64"/>
      <c r="M56" s="51"/>
      <c r="N56" s="51"/>
      <c r="O56" s="68">
        <v>2017</v>
      </c>
      <c r="P56" s="51" t="s">
        <v>77</v>
      </c>
      <c r="Q56" s="61" t="s">
        <v>399</v>
      </c>
      <c r="R56" s="87" t="s">
        <v>350</v>
      </c>
      <c r="S56" s="58"/>
      <c r="T56" s="51"/>
      <c r="U56" s="80" t="s">
        <v>472</v>
      </c>
      <c r="V56" s="84">
        <f t="shared" si="4"/>
        <v>0</v>
      </c>
      <c r="W56" s="84">
        <f t="shared" si="5"/>
        <v>0</v>
      </c>
      <c r="X56" s="80" t="s">
        <v>451</v>
      </c>
      <c r="Y56" s="83">
        <f t="shared" si="6"/>
        <v>291.67199999999997</v>
      </c>
      <c r="Z56" s="83">
        <f t="shared" si="7"/>
        <v>421.30399999999997</v>
      </c>
      <c r="AA56" s="80" t="s">
        <v>451</v>
      </c>
      <c r="AB56" s="83" t="s">
        <v>475</v>
      </c>
      <c r="AC56" s="83" t="s">
        <v>476</v>
      </c>
      <c r="AD56" s="83" t="s">
        <v>477</v>
      </c>
      <c r="AE56" s="80" t="s">
        <v>452</v>
      </c>
    </row>
    <row r="57" spans="1:31" ht="30" customHeight="1">
      <c r="A57" s="55">
        <v>221.12</v>
      </c>
      <c r="B57" s="40">
        <f t="shared" si="0"/>
        <v>4</v>
      </c>
      <c r="C57" s="58" t="s">
        <v>129</v>
      </c>
      <c r="D57" s="41" t="str">
        <f t="shared" si="1"/>
        <v xml:space="preserve">                        Outer Vessel Structure</v>
      </c>
      <c r="E57" s="41" t="s">
        <v>341</v>
      </c>
      <c r="F57" s="41" t="s">
        <v>486</v>
      </c>
      <c r="G57" s="41" t="s">
        <v>440</v>
      </c>
      <c r="H57" s="45"/>
      <c r="I57" s="63">
        <v>154.08000000000001</v>
      </c>
      <c r="J57" s="51" t="s">
        <v>174</v>
      </c>
      <c r="K57" s="61" t="s">
        <v>180</v>
      </c>
      <c r="L57" s="64"/>
      <c r="M57" s="51"/>
      <c r="N57" s="51"/>
      <c r="O57" s="68">
        <v>2017</v>
      </c>
      <c r="P57" s="51" t="s">
        <v>77</v>
      </c>
      <c r="Q57" s="61" t="s">
        <v>399</v>
      </c>
      <c r="R57" s="87"/>
      <c r="S57" s="58"/>
      <c r="T57" s="51"/>
      <c r="U57" s="80" t="s">
        <v>472</v>
      </c>
      <c r="V57" s="84">
        <f t="shared" si="4"/>
        <v>0</v>
      </c>
      <c r="W57" s="84">
        <f t="shared" si="5"/>
        <v>0</v>
      </c>
      <c r="X57" s="80" t="s">
        <v>451</v>
      </c>
      <c r="Y57" s="83">
        <f t="shared" si="6"/>
        <v>138.67200000000003</v>
      </c>
      <c r="Z57" s="83">
        <f t="shared" si="7"/>
        <v>200.30400000000003</v>
      </c>
      <c r="AA57" s="80" t="s">
        <v>451</v>
      </c>
      <c r="AB57" s="83" t="s">
        <v>475</v>
      </c>
      <c r="AC57" s="83" t="s">
        <v>476</v>
      </c>
      <c r="AD57" s="83" t="s">
        <v>477</v>
      </c>
      <c r="AE57" s="80" t="s">
        <v>452</v>
      </c>
    </row>
    <row r="58" spans="1:31" ht="30" customHeight="1">
      <c r="A58" s="55">
        <v>221.12</v>
      </c>
      <c r="B58" s="40">
        <f t="shared" ref="B58" si="8">IF(ISNUMBER(A58),
    IF(AND(A58=INT(A58), MOD(A58, 10) = 0), 0,
        IF(AND(A58=INT(A58), LEN(A58)=2), 1,
            IF(AND(A58=INT(A58), LEN(A58)=3), 2,
                LEN(A58) - FIND(".", A58) + 2)
        )
    ),
"")</f>
        <v>4</v>
      </c>
      <c r="C58" s="58" t="s">
        <v>129</v>
      </c>
      <c r="D58" s="41" t="str">
        <f t="shared" ref="D58" si="9">REPT("   ", B58*2) &amp; C58</f>
        <v xml:space="preserve">                        Outer Vessel Structure</v>
      </c>
      <c r="E58" s="41" t="s">
        <v>341</v>
      </c>
      <c r="F58" s="41" t="s">
        <v>486</v>
      </c>
      <c r="G58" s="41" t="s">
        <v>441</v>
      </c>
      <c r="H58" s="45"/>
      <c r="I58" s="63">
        <v>444.08</v>
      </c>
      <c r="J58" s="51" t="s">
        <v>174</v>
      </c>
      <c r="K58" s="61" t="s">
        <v>180</v>
      </c>
      <c r="L58" s="64"/>
      <c r="M58" s="51"/>
      <c r="N58" s="51"/>
      <c r="O58" s="68">
        <v>2017</v>
      </c>
      <c r="P58" s="51" t="s">
        <v>77</v>
      </c>
      <c r="Q58" s="61" t="s">
        <v>399</v>
      </c>
      <c r="R58" s="87"/>
      <c r="S58" s="58"/>
      <c r="T58" s="51"/>
      <c r="U58" s="80" t="s">
        <v>472</v>
      </c>
      <c r="V58" s="84">
        <f t="shared" si="4"/>
        <v>0</v>
      </c>
      <c r="W58" s="84">
        <f t="shared" si="5"/>
        <v>0</v>
      </c>
      <c r="X58" s="80" t="s">
        <v>451</v>
      </c>
      <c r="Y58" s="83">
        <f t="shared" si="6"/>
        <v>399.67199999999997</v>
      </c>
      <c r="Z58" s="83">
        <f t="shared" si="7"/>
        <v>577.30399999999997</v>
      </c>
      <c r="AA58" s="80" t="s">
        <v>451</v>
      </c>
      <c r="AB58" s="83" t="s">
        <v>475</v>
      </c>
      <c r="AC58" s="83" t="s">
        <v>476</v>
      </c>
      <c r="AD58" s="83" t="s">
        <v>477</v>
      </c>
      <c r="AE58" s="80" t="s">
        <v>452</v>
      </c>
    </row>
    <row r="59" spans="1:31" ht="30" customHeight="1">
      <c r="A59" s="55">
        <v>221.13</v>
      </c>
      <c r="B59" s="40">
        <f t="shared" si="0"/>
        <v>4</v>
      </c>
      <c r="C59" s="58" t="s">
        <v>130</v>
      </c>
      <c r="D59" s="41" t="str">
        <f t="shared" si="1"/>
        <v xml:space="preserve">                        Inner Vessel Structure</v>
      </c>
      <c r="E59" s="41" t="s">
        <v>341</v>
      </c>
      <c r="F59" s="41" t="s">
        <v>487</v>
      </c>
      <c r="G59" s="41" t="s">
        <v>439</v>
      </c>
      <c r="H59" s="45"/>
      <c r="I59" s="63">
        <v>324.08</v>
      </c>
      <c r="J59" s="51" t="s">
        <v>174</v>
      </c>
      <c r="K59" s="61" t="s">
        <v>177</v>
      </c>
      <c r="L59" s="51"/>
      <c r="M59" s="51"/>
      <c r="N59" s="51"/>
      <c r="O59" s="68">
        <v>2017</v>
      </c>
      <c r="P59" s="51" t="s">
        <v>77</v>
      </c>
      <c r="Q59" s="61" t="s">
        <v>399</v>
      </c>
      <c r="R59" s="87"/>
      <c r="S59" s="58"/>
      <c r="T59" s="61" t="s">
        <v>179</v>
      </c>
      <c r="U59" s="80" t="s">
        <v>472</v>
      </c>
      <c r="V59" s="84">
        <f t="shared" si="4"/>
        <v>0</v>
      </c>
      <c r="W59" s="84">
        <f t="shared" si="5"/>
        <v>0</v>
      </c>
      <c r="X59" s="80" t="s">
        <v>451</v>
      </c>
      <c r="Y59" s="83">
        <f t="shared" si="6"/>
        <v>291.67199999999997</v>
      </c>
      <c r="Z59" s="83">
        <f t="shared" si="7"/>
        <v>421.30399999999997</v>
      </c>
      <c r="AA59" s="80" t="s">
        <v>451</v>
      </c>
      <c r="AB59" s="83" t="s">
        <v>475</v>
      </c>
      <c r="AC59" s="83" t="s">
        <v>476</v>
      </c>
      <c r="AD59" s="83" t="s">
        <v>477</v>
      </c>
      <c r="AE59" s="80" t="s">
        <v>452</v>
      </c>
    </row>
    <row r="60" spans="1:31" ht="30" customHeight="1">
      <c r="A60" s="55">
        <v>221.13</v>
      </c>
      <c r="B60" s="40">
        <f t="shared" si="0"/>
        <v>4</v>
      </c>
      <c r="C60" s="58" t="s">
        <v>130</v>
      </c>
      <c r="D60" s="41" t="str">
        <f t="shared" si="1"/>
        <v xml:space="preserve">                        Inner Vessel Structure</v>
      </c>
      <c r="E60" s="41" t="s">
        <v>341</v>
      </c>
      <c r="F60" s="41" t="s">
        <v>487</v>
      </c>
      <c r="G60" s="41" t="s">
        <v>440</v>
      </c>
      <c r="H60" s="45"/>
      <c r="I60" s="63">
        <v>154.08000000000001</v>
      </c>
      <c r="J60" s="51" t="s">
        <v>174</v>
      </c>
      <c r="K60" s="61" t="s">
        <v>177</v>
      </c>
      <c r="L60" s="51"/>
      <c r="M60" s="51"/>
      <c r="N60" s="51"/>
      <c r="O60" s="68">
        <v>2017</v>
      </c>
      <c r="P60" s="51" t="s">
        <v>77</v>
      </c>
      <c r="Q60" s="61" t="s">
        <v>399</v>
      </c>
      <c r="R60" s="87"/>
      <c r="S60" s="58"/>
      <c r="T60" s="61"/>
      <c r="U60" s="80" t="s">
        <v>472</v>
      </c>
      <c r="V60" s="84">
        <f t="shared" si="4"/>
        <v>0</v>
      </c>
      <c r="W60" s="84">
        <f t="shared" si="5"/>
        <v>0</v>
      </c>
      <c r="X60" s="80" t="s">
        <v>451</v>
      </c>
      <c r="Y60" s="83">
        <f t="shared" si="6"/>
        <v>138.67200000000003</v>
      </c>
      <c r="Z60" s="83">
        <f t="shared" si="7"/>
        <v>200.30400000000003</v>
      </c>
      <c r="AA60" s="80" t="s">
        <v>451</v>
      </c>
      <c r="AB60" s="83" t="s">
        <v>475</v>
      </c>
      <c r="AC60" s="83" t="s">
        <v>476</v>
      </c>
      <c r="AD60" s="83" t="s">
        <v>477</v>
      </c>
      <c r="AE60" s="80" t="s">
        <v>452</v>
      </c>
    </row>
    <row r="61" spans="1:31" ht="30" customHeight="1">
      <c r="A61" s="55">
        <v>221.13</v>
      </c>
      <c r="B61" s="40">
        <f t="shared" ref="B61" si="10">IF(ISNUMBER(A61),
    IF(AND(A61=INT(A61), MOD(A61, 10) = 0), 0,
        IF(AND(A61=INT(A61), LEN(A61)=2), 1,
            IF(AND(A61=INT(A61), LEN(A61)=3), 2,
                LEN(A61) - FIND(".", A61) + 2)
        )
    ),
"")</f>
        <v>4</v>
      </c>
      <c r="C61" s="58" t="s">
        <v>130</v>
      </c>
      <c r="D61" s="41" t="str">
        <f t="shared" ref="D61" si="11">REPT("   ", B61*2) &amp; C61</f>
        <v xml:space="preserve">                        Inner Vessel Structure</v>
      </c>
      <c r="E61" s="41" t="s">
        <v>341</v>
      </c>
      <c r="F61" s="41" t="s">
        <v>487</v>
      </c>
      <c r="G61" s="41" t="s">
        <v>441</v>
      </c>
      <c r="H61" s="45"/>
      <c r="I61" s="63">
        <v>444.08</v>
      </c>
      <c r="J61" s="51" t="s">
        <v>174</v>
      </c>
      <c r="K61" s="61" t="s">
        <v>177</v>
      </c>
      <c r="L61" s="51"/>
      <c r="M61" s="51"/>
      <c r="N61" s="51"/>
      <c r="O61" s="68">
        <v>2017</v>
      </c>
      <c r="P61" s="51" t="s">
        <v>77</v>
      </c>
      <c r="Q61" s="61" t="s">
        <v>399</v>
      </c>
      <c r="R61" s="87"/>
      <c r="S61" s="58"/>
      <c r="T61" s="61"/>
      <c r="U61" s="80" t="s">
        <v>472</v>
      </c>
      <c r="V61" s="84">
        <f t="shared" si="4"/>
        <v>0</v>
      </c>
      <c r="W61" s="84">
        <f t="shared" si="5"/>
        <v>0</v>
      </c>
      <c r="X61" s="80" t="s">
        <v>451</v>
      </c>
      <c r="Y61" s="83">
        <f t="shared" si="6"/>
        <v>399.67199999999997</v>
      </c>
      <c r="Z61" s="83">
        <f t="shared" si="7"/>
        <v>577.30399999999997</v>
      </c>
      <c r="AA61" s="80" t="s">
        <v>451</v>
      </c>
      <c r="AB61" s="83" t="s">
        <v>475</v>
      </c>
      <c r="AC61" s="83" t="s">
        <v>476</v>
      </c>
      <c r="AD61" s="83" t="s">
        <v>477</v>
      </c>
      <c r="AE61" s="80" t="s">
        <v>452</v>
      </c>
    </row>
    <row r="62" spans="1:31" ht="30" customHeight="1">
      <c r="A62" s="55">
        <v>221.2</v>
      </c>
      <c r="B62" s="40">
        <f t="shared" si="0"/>
        <v>3</v>
      </c>
      <c r="C62" s="58" t="s">
        <v>131</v>
      </c>
      <c r="D62" s="41" t="str">
        <f t="shared" si="1"/>
        <v xml:space="preserve">                  Reactor Control Devices</v>
      </c>
      <c r="E62" s="41"/>
      <c r="F62" s="41"/>
      <c r="G62" s="41"/>
      <c r="H62" s="45"/>
      <c r="I62" s="63"/>
      <c r="J62" s="51"/>
      <c r="K62" s="61"/>
      <c r="L62" s="51"/>
      <c r="M62" s="51"/>
      <c r="N62" s="51"/>
      <c r="O62" s="68"/>
      <c r="P62" s="51"/>
      <c r="Q62" s="61"/>
      <c r="R62" s="51"/>
      <c r="S62" s="51"/>
      <c r="T62" s="51"/>
      <c r="U62" s="80"/>
      <c r="V62" s="84"/>
      <c r="W62" s="84"/>
      <c r="X62" s="80"/>
      <c r="Y62" s="83"/>
      <c r="Z62" s="83"/>
      <c r="AA62" s="80"/>
      <c r="AB62" s="83"/>
      <c r="AC62" s="83"/>
      <c r="AD62" s="83"/>
      <c r="AE62" s="80"/>
    </row>
    <row r="63" spans="1:31" ht="30" customHeight="1">
      <c r="A63" s="55">
        <v>221.21</v>
      </c>
      <c r="B63" s="40">
        <f t="shared" si="0"/>
        <v>4</v>
      </c>
      <c r="C63" s="58" t="s">
        <v>132</v>
      </c>
      <c r="D63" s="41" t="str">
        <f t="shared" si="1"/>
        <v xml:space="preserve">                        Reactivity Control System </v>
      </c>
      <c r="E63" s="41"/>
      <c r="F63" s="41"/>
      <c r="G63" s="41"/>
      <c r="H63" s="45"/>
      <c r="I63" s="63"/>
      <c r="J63" s="51"/>
      <c r="K63" s="61"/>
      <c r="L63" s="51"/>
      <c r="M63" s="51"/>
      <c r="N63" s="51"/>
      <c r="O63" s="68"/>
      <c r="P63" s="51"/>
      <c r="Q63" s="61"/>
      <c r="R63" s="51"/>
      <c r="S63" s="51"/>
      <c r="T63" s="51"/>
      <c r="U63" s="80"/>
      <c r="V63" s="84"/>
      <c r="W63" s="84"/>
      <c r="X63" s="80"/>
      <c r="Y63" s="83"/>
      <c r="Z63" s="83"/>
      <c r="AA63" s="80"/>
      <c r="AB63" s="83"/>
      <c r="AC63" s="83"/>
      <c r="AD63" s="83"/>
      <c r="AE63" s="80"/>
    </row>
    <row r="64" spans="1:31" s="35" customFormat="1" ht="51">
      <c r="A64" s="55">
        <v>221.21100000000001</v>
      </c>
      <c r="B64" s="40">
        <f t="shared" si="0"/>
        <v>5</v>
      </c>
      <c r="C64" s="58" t="s">
        <v>12</v>
      </c>
      <c r="D64" s="41" t="str">
        <f t="shared" si="1"/>
        <v xml:space="preserve">                              Reactivity Control System Fabrication</v>
      </c>
      <c r="E64" s="41" t="s">
        <v>341</v>
      </c>
      <c r="F64" s="41"/>
      <c r="G64" s="41"/>
      <c r="H64" s="45"/>
      <c r="I64" s="63">
        <f>MARVEL_Cost!C21/'Design Variables'!B21</f>
        <v>347890</v>
      </c>
      <c r="J64" s="51" t="s">
        <v>400</v>
      </c>
      <c r="K64" s="61" t="s">
        <v>478</v>
      </c>
      <c r="L64" s="51"/>
      <c r="M64" s="51"/>
      <c r="N64" s="51"/>
      <c r="O64" s="68">
        <v>2024</v>
      </c>
      <c r="P64" s="51" t="s">
        <v>77</v>
      </c>
      <c r="Q64" s="61" t="s">
        <v>175</v>
      </c>
      <c r="R64" s="87" t="s">
        <v>176</v>
      </c>
      <c r="S64" s="91" t="s">
        <v>447</v>
      </c>
      <c r="T64" s="61" t="s">
        <v>184</v>
      </c>
      <c r="U64" s="80" t="s">
        <v>450</v>
      </c>
      <c r="V64" s="84">
        <f t="shared" si="4"/>
        <v>0</v>
      </c>
      <c r="W64" s="84">
        <f t="shared" si="5"/>
        <v>0</v>
      </c>
      <c r="X64" s="80" t="s">
        <v>451</v>
      </c>
      <c r="Y64" s="83">
        <f t="shared" si="6"/>
        <v>313101</v>
      </c>
      <c r="Z64" s="83">
        <f t="shared" si="7"/>
        <v>452257</v>
      </c>
      <c r="AA64" s="80" t="s">
        <v>451</v>
      </c>
      <c r="AB64" s="83" t="s">
        <v>475</v>
      </c>
      <c r="AC64" s="83" t="s">
        <v>476</v>
      </c>
      <c r="AD64" s="83" t="s">
        <v>477</v>
      </c>
      <c r="AE64" s="80" t="s">
        <v>452</v>
      </c>
    </row>
    <row r="65" spans="1:34" s="35" customFormat="1">
      <c r="A65" s="55">
        <v>221.21199999999999</v>
      </c>
      <c r="B65" s="40">
        <f t="shared" si="0"/>
        <v>5</v>
      </c>
      <c r="C65" s="58" t="s">
        <v>133</v>
      </c>
      <c r="D65" s="41" t="str">
        <f t="shared" si="1"/>
        <v xml:space="preserve">                              Installation</v>
      </c>
      <c r="E65" s="41" t="s">
        <v>341</v>
      </c>
      <c r="F65" s="41"/>
      <c r="G65" s="41"/>
      <c r="H65" s="45"/>
      <c r="I65" s="63">
        <f>MARVEL_Cost!C22/'Design Variables'!B21</f>
        <v>80665.75</v>
      </c>
      <c r="J65" s="51" t="s">
        <v>400</v>
      </c>
      <c r="K65" s="61" t="s">
        <v>478</v>
      </c>
      <c r="L65" s="51"/>
      <c r="M65" s="51"/>
      <c r="N65" s="51"/>
      <c r="O65" s="68">
        <v>2024</v>
      </c>
      <c r="P65" s="76" t="s">
        <v>85</v>
      </c>
      <c r="Q65" s="61" t="s">
        <v>175</v>
      </c>
      <c r="R65" s="87"/>
      <c r="S65" s="91"/>
      <c r="T65" s="51"/>
      <c r="U65" s="80" t="s">
        <v>450</v>
      </c>
      <c r="V65" s="84">
        <f t="shared" si="4"/>
        <v>0</v>
      </c>
      <c r="W65" s="84">
        <f t="shared" si="5"/>
        <v>0</v>
      </c>
      <c r="X65" s="80" t="s">
        <v>451</v>
      </c>
      <c r="Y65" s="83">
        <f t="shared" si="6"/>
        <v>72599.175000000003</v>
      </c>
      <c r="Z65" s="83">
        <f t="shared" si="7"/>
        <v>104865.47500000001</v>
      </c>
      <c r="AA65" s="80" t="s">
        <v>451</v>
      </c>
      <c r="AB65" s="83" t="s">
        <v>475</v>
      </c>
      <c r="AC65" s="83" t="s">
        <v>476</v>
      </c>
      <c r="AD65" s="83" t="s">
        <v>477</v>
      </c>
      <c r="AE65" s="80" t="s">
        <v>452</v>
      </c>
    </row>
    <row r="66" spans="1:34" s="35" customFormat="1" ht="30" customHeight="1">
      <c r="A66" s="55">
        <v>221.21299999999999</v>
      </c>
      <c r="B66" s="40">
        <f t="shared" si="0"/>
        <v>5</v>
      </c>
      <c r="C66" s="58" t="s">
        <v>181</v>
      </c>
      <c r="D66" s="41" t="str">
        <f>REPT("   ", B66*2) &amp; C66</f>
        <v xml:space="preserve">                              Control Drums Materials (Absorber)</v>
      </c>
      <c r="E66" s="41" t="s">
        <v>341</v>
      </c>
      <c r="F66" s="41" t="s">
        <v>328</v>
      </c>
      <c r="G66" s="41" t="s">
        <v>186</v>
      </c>
      <c r="H66" s="45"/>
      <c r="I66" s="63">
        <f>400000/L66</f>
        <v>14285.714285714286</v>
      </c>
      <c r="J66" s="51" t="s">
        <v>174</v>
      </c>
      <c r="K66" s="61" t="s">
        <v>185</v>
      </c>
      <c r="L66" s="51">
        <f>'Design Variables'!B28+'Design Variables'!B29</f>
        <v>28</v>
      </c>
      <c r="M66" s="51" t="s">
        <v>173</v>
      </c>
      <c r="N66" s="51">
        <v>1</v>
      </c>
      <c r="O66" s="68">
        <v>2024</v>
      </c>
      <c r="P66" s="51" t="s">
        <v>73</v>
      </c>
      <c r="Q66" s="61" t="s">
        <v>175</v>
      </c>
      <c r="R66" s="87"/>
      <c r="S66" s="91"/>
      <c r="T66" s="51"/>
      <c r="U66" s="80" t="s">
        <v>450</v>
      </c>
      <c r="V66" s="84">
        <f t="shared" si="4"/>
        <v>0</v>
      </c>
      <c r="W66" s="84">
        <f t="shared" si="5"/>
        <v>0</v>
      </c>
      <c r="X66" s="80" t="s">
        <v>451</v>
      </c>
      <c r="Y66" s="83">
        <f t="shared" si="6"/>
        <v>12857.142857142859</v>
      </c>
      <c r="Z66" s="83">
        <f t="shared" si="7"/>
        <v>18571.428571428572</v>
      </c>
      <c r="AA66" s="80" t="s">
        <v>451</v>
      </c>
      <c r="AB66" s="83" t="s">
        <v>475</v>
      </c>
      <c r="AC66" s="83" t="s">
        <v>476</v>
      </c>
      <c r="AD66" s="83" t="s">
        <v>477</v>
      </c>
      <c r="AE66" s="80" t="s">
        <v>452</v>
      </c>
    </row>
    <row r="67" spans="1:34" s="35" customFormat="1" ht="30" customHeight="1">
      <c r="A67" s="55">
        <v>221.21299999999999</v>
      </c>
      <c r="B67" s="40">
        <f t="shared" ref="B67" si="12">IF(ISNUMBER(A67),
    IF(AND(A67=INT(A67), MOD(A67, 10) = 0), 0,
        IF(AND(A67=INT(A67), LEN(A67)=2), 1,
            IF(AND(A67=INT(A67), LEN(A67)=3), 2,
                LEN(A67) - FIND(".", A67) + 2)
        )
    ),
"")</f>
        <v>5</v>
      </c>
      <c r="C67" s="58" t="s">
        <v>181</v>
      </c>
      <c r="D67" s="41" t="str">
        <f>REPT("   ", B67*2) &amp; C67</f>
        <v xml:space="preserve">                              Control Drums Materials (Absorber)</v>
      </c>
      <c r="E67" s="41" t="s">
        <v>341</v>
      </c>
      <c r="F67" s="41" t="s">
        <v>328</v>
      </c>
      <c r="G67" s="41" t="s">
        <v>435</v>
      </c>
      <c r="H67" s="45"/>
      <c r="I67" s="63">
        <v>10064</v>
      </c>
      <c r="J67" s="51" t="s">
        <v>174</v>
      </c>
      <c r="K67" s="61" t="s">
        <v>185</v>
      </c>
      <c r="L67" s="51"/>
      <c r="M67" s="51"/>
      <c r="N67" s="51"/>
      <c r="O67" s="68">
        <v>2023</v>
      </c>
      <c r="P67" s="51" t="s">
        <v>73</v>
      </c>
      <c r="Q67" s="61" t="s">
        <v>436</v>
      </c>
      <c r="R67" s="87"/>
      <c r="S67" s="91"/>
      <c r="T67" s="51"/>
      <c r="U67" s="80" t="s">
        <v>450</v>
      </c>
      <c r="V67" s="84">
        <f t="shared" si="4"/>
        <v>0</v>
      </c>
      <c r="W67" s="84">
        <f t="shared" si="5"/>
        <v>0</v>
      </c>
      <c r="X67" s="80" t="s">
        <v>451</v>
      </c>
      <c r="Y67" s="83">
        <f t="shared" si="6"/>
        <v>9057.6</v>
      </c>
      <c r="Z67" s="83">
        <f t="shared" si="7"/>
        <v>13083.2</v>
      </c>
      <c r="AA67" s="80" t="s">
        <v>451</v>
      </c>
      <c r="AB67" s="83" t="s">
        <v>475</v>
      </c>
      <c r="AC67" s="83" t="s">
        <v>476</v>
      </c>
      <c r="AD67" s="83" t="s">
        <v>477</v>
      </c>
      <c r="AE67" s="80" t="s">
        <v>452</v>
      </c>
    </row>
    <row r="68" spans="1:34" s="35" customFormat="1" ht="30" customHeight="1">
      <c r="A68" s="55">
        <v>221.214</v>
      </c>
      <c r="B68" s="40">
        <f t="shared" si="0"/>
        <v>5</v>
      </c>
      <c r="C68" s="58" t="s">
        <v>182</v>
      </c>
      <c r="D68" s="41" t="str">
        <f t="shared" si="1"/>
        <v xml:space="preserve">                              Control Drums Materials (Reflector)</v>
      </c>
      <c r="E68" s="41" t="s">
        <v>341</v>
      </c>
      <c r="F68" s="41" t="s">
        <v>327</v>
      </c>
      <c r="G68" s="41" t="s">
        <v>261</v>
      </c>
      <c r="H68" s="45"/>
      <c r="I68" s="66">
        <f>MARVEL_Cost!C27/L68</f>
        <v>10062.893081761007</v>
      </c>
      <c r="J68" s="51" t="s">
        <v>174</v>
      </c>
      <c r="K68" s="61" t="s">
        <v>183</v>
      </c>
      <c r="L68" s="51">
        <f>'Design Variables'!B17</f>
        <v>318</v>
      </c>
      <c r="M68" s="51" t="s">
        <v>173</v>
      </c>
      <c r="N68" s="51">
        <v>1</v>
      </c>
      <c r="O68" s="68">
        <v>2024</v>
      </c>
      <c r="P68" s="51" t="s">
        <v>73</v>
      </c>
      <c r="Q68" s="61" t="s">
        <v>175</v>
      </c>
      <c r="R68" s="87"/>
      <c r="S68" s="91"/>
      <c r="T68" s="51"/>
      <c r="U68" s="80" t="s">
        <v>450</v>
      </c>
      <c r="V68" s="84">
        <f t="shared" ref="V68:V127" si="13">0.9*$H68</f>
        <v>0</v>
      </c>
      <c r="W68" s="84">
        <f t="shared" ref="W68:W127" si="14">1.5*H68</f>
        <v>0</v>
      </c>
      <c r="X68" s="80" t="s">
        <v>451</v>
      </c>
      <c r="Y68" s="83">
        <f t="shared" ref="Y68:Y127" si="15">0.9*I68</f>
        <v>9056.6037735849059</v>
      </c>
      <c r="Z68" s="83">
        <f t="shared" ref="Z68:Z127" si="16">1.3*I68</f>
        <v>13081.761006289309</v>
      </c>
      <c r="AA68" s="80" t="s">
        <v>451</v>
      </c>
      <c r="AB68" s="83" t="s">
        <v>475</v>
      </c>
      <c r="AC68" s="83" t="s">
        <v>476</v>
      </c>
      <c r="AD68" s="83" t="s">
        <v>477</v>
      </c>
      <c r="AE68" s="80" t="s">
        <v>452</v>
      </c>
    </row>
    <row r="69" spans="1:34" s="35" customFormat="1" ht="30" customHeight="1">
      <c r="A69" s="55">
        <v>221.214</v>
      </c>
      <c r="B69" s="40">
        <f t="shared" si="0"/>
        <v>5</v>
      </c>
      <c r="C69" s="77" t="s">
        <v>182</v>
      </c>
      <c r="D69" s="41" t="str">
        <f t="shared" si="1"/>
        <v xml:space="preserve">                              Control Drums Materials (Reflector)</v>
      </c>
      <c r="E69" s="41" t="s">
        <v>341</v>
      </c>
      <c r="F69" s="41" t="s">
        <v>327</v>
      </c>
      <c r="G69" s="41" t="s">
        <v>449</v>
      </c>
      <c r="H69" s="81"/>
      <c r="I69" s="66">
        <f>MARVEL_Cost!C28/L69</f>
        <v>44736.84210526316</v>
      </c>
      <c r="J69" s="51" t="s">
        <v>174</v>
      </c>
      <c r="K69" s="61" t="s">
        <v>183</v>
      </c>
      <c r="L69" s="51">
        <f>1000*'Design Variables'!B19</f>
        <v>19</v>
      </c>
      <c r="M69" s="51" t="s">
        <v>173</v>
      </c>
      <c r="N69" s="51">
        <v>1</v>
      </c>
      <c r="O69" s="68">
        <v>2024</v>
      </c>
      <c r="P69" s="51" t="s">
        <v>73</v>
      </c>
      <c r="Q69" s="61" t="s">
        <v>175</v>
      </c>
      <c r="R69" s="82"/>
      <c r="S69" s="67"/>
      <c r="T69" s="51"/>
      <c r="U69" s="80" t="s">
        <v>450</v>
      </c>
      <c r="V69" s="84">
        <f t="shared" si="13"/>
        <v>0</v>
      </c>
      <c r="W69" s="84">
        <f t="shared" si="14"/>
        <v>0</v>
      </c>
      <c r="X69" s="80" t="s">
        <v>451</v>
      </c>
      <c r="Y69" s="83">
        <f t="shared" si="15"/>
        <v>40263.157894736847</v>
      </c>
      <c r="Z69" s="83">
        <f t="shared" si="16"/>
        <v>58157.894736842107</v>
      </c>
      <c r="AA69" s="80" t="s">
        <v>451</v>
      </c>
      <c r="AB69" s="83" t="s">
        <v>475</v>
      </c>
      <c r="AC69" s="83" t="s">
        <v>476</v>
      </c>
      <c r="AD69" s="83" t="s">
        <v>477</v>
      </c>
      <c r="AE69" s="80" t="s">
        <v>452</v>
      </c>
      <c r="AH69" s="38"/>
    </row>
    <row r="70" spans="1:34" s="35" customFormat="1" ht="30" customHeight="1">
      <c r="A70" s="55">
        <v>221.214</v>
      </c>
      <c r="B70" s="40">
        <f t="shared" ref="B70" si="17">IF(ISNUMBER(A70),
    IF(AND(A70=INT(A70), MOD(A70, 10) = 0), 0,
        IF(AND(A70=INT(A70), LEN(A70)=2), 1,
            IF(AND(A70=INT(A70), LEN(A70)=3), 2,
                LEN(A70) - FIND(".", A70) + 2)
        )
    ),
"")</f>
        <v>5</v>
      </c>
      <c r="C70" s="58" t="s">
        <v>182</v>
      </c>
      <c r="D70" s="41" t="str">
        <f t="shared" ref="D70" si="18">REPT("   ", B70*2) &amp; C70</f>
        <v xml:space="preserve">                              Control Drums Materials (Reflector)</v>
      </c>
      <c r="E70" s="41" t="s">
        <v>341</v>
      </c>
      <c r="F70" s="41" t="s">
        <v>327</v>
      </c>
      <c r="G70" s="41" t="s">
        <v>333</v>
      </c>
      <c r="H70" s="45"/>
      <c r="I70" s="66">
        <v>80</v>
      </c>
      <c r="J70" s="51" t="s">
        <v>174</v>
      </c>
      <c r="K70" s="61" t="s">
        <v>183</v>
      </c>
      <c r="L70" s="51"/>
      <c r="M70" s="51"/>
      <c r="N70" s="51"/>
      <c r="O70" s="68">
        <v>2022</v>
      </c>
      <c r="P70" s="51" t="s">
        <v>73</v>
      </c>
      <c r="Q70" s="61" t="s">
        <v>404</v>
      </c>
      <c r="R70" s="65" t="s">
        <v>405</v>
      </c>
      <c r="S70" s="67"/>
      <c r="T70" s="51"/>
      <c r="U70" s="80" t="s">
        <v>450</v>
      </c>
      <c r="V70" s="84">
        <f t="shared" si="13"/>
        <v>0</v>
      </c>
      <c r="W70" s="84">
        <f t="shared" si="14"/>
        <v>0</v>
      </c>
      <c r="X70" s="80" t="s">
        <v>451</v>
      </c>
      <c r="Y70" s="83">
        <f t="shared" si="15"/>
        <v>72</v>
      </c>
      <c r="Z70" s="83">
        <f t="shared" si="16"/>
        <v>104</v>
      </c>
      <c r="AA70" s="80" t="s">
        <v>451</v>
      </c>
      <c r="AB70" s="83" t="s">
        <v>475</v>
      </c>
      <c r="AC70" s="83" t="s">
        <v>476</v>
      </c>
      <c r="AD70" s="83" t="s">
        <v>477</v>
      </c>
      <c r="AE70" s="80" t="s">
        <v>452</v>
      </c>
    </row>
    <row r="71" spans="1:34" s="35" customFormat="1" ht="30" customHeight="1">
      <c r="A71" s="55">
        <v>221.215</v>
      </c>
      <c r="B71" s="40">
        <f t="shared" si="0"/>
        <v>5</v>
      </c>
      <c r="C71" s="58" t="s">
        <v>403</v>
      </c>
      <c r="D71" s="41" t="str">
        <f t="shared" si="1"/>
        <v xml:space="preserve">                              Control System Drive Mechanism</v>
      </c>
      <c r="E71" s="41" t="s">
        <v>341</v>
      </c>
      <c r="F71" s="41"/>
      <c r="G71" s="41"/>
      <c r="H71" s="45"/>
      <c r="I71" s="63">
        <v>74759</v>
      </c>
      <c r="J71" s="51" t="s">
        <v>400</v>
      </c>
      <c r="K71" s="61" t="s">
        <v>478</v>
      </c>
      <c r="L71" s="51"/>
      <c r="M71" s="51"/>
      <c r="N71" s="51"/>
      <c r="O71" s="68">
        <v>2023</v>
      </c>
      <c r="P71" s="51" t="s">
        <v>77</v>
      </c>
      <c r="Q71" s="61" t="s">
        <v>436</v>
      </c>
      <c r="R71" s="65" t="s">
        <v>401</v>
      </c>
      <c r="S71" s="67"/>
      <c r="T71" s="51" t="s">
        <v>402</v>
      </c>
      <c r="U71" s="80" t="s">
        <v>450</v>
      </c>
      <c r="V71" s="84">
        <f t="shared" si="13"/>
        <v>0</v>
      </c>
      <c r="W71" s="84">
        <f t="shared" si="14"/>
        <v>0</v>
      </c>
      <c r="X71" s="80" t="s">
        <v>451</v>
      </c>
      <c r="Y71" s="83">
        <f t="shared" si="15"/>
        <v>67283.100000000006</v>
      </c>
      <c r="Z71" s="83">
        <f t="shared" si="16"/>
        <v>97186.7</v>
      </c>
      <c r="AA71" s="80" t="s">
        <v>451</v>
      </c>
      <c r="AB71" s="83" t="s">
        <v>475</v>
      </c>
      <c r="AC71" s="83" t="s">
        <v>476</v>
      </c>
      <c r="AD71" s="83" t="s">
        <v>477</v>
      </c>
      <c r="AE71" s="80" t="s">
        <v>452</v>
      </c>
    </row>
    <row r="72" spans="1:34">
      <c r="A72" s="55">
        <v>221.3</v>
      </c>
      <c r="B72" s="40">
        <f t="shared" si="0"/>
        <v>3</v>
      </c>
      <c r="C72" s="58" t="s">
        <v>134</v>
      </c>
      <c r="D72" s="41" t="str">
        <f t="shared" si="1"/>
        <v xml:space="preserve">                  Non-Fuel Core Internals</v>
      </c>
      <c r="E72" s="41" t="s">
        <v>341</v>
      </c>
      <c r="F72" s="41"/>
      <c r="G72" s="41"/>
      <c r="H72" s="45"/>
      <c r="I72" s="63"/>
      <c r="J72" s="51"/>
      <c r="K72" s="51"/>
      <c r="L72" s="51"/>
      <c r="M72" s="51"/>
      <c r="N72" s="51"/>
      <c r="O72" s="68"/>
      <c r="P72" s="51"/>
      <c r="Q72" s="61"/>
      <c r="R72" s="51"/>
      <c r="S72" s="51"/>
      <c r="T72" s="51"/>
      <c r="U72" s="80"/>
      <c r="V72" s="84"/>
      <c r="W72" s="84"/>
      <c r="X72" s="80"/>
      <c r="Y72" s="83"/>
      <c r="Z72" s="83"/>
      <c r="AA72" s="80"/>
      <c r="AB72" s="83"/>
      <c r="AC72" s="83"/>
      <c r="AD72" s="83"/>
      <c r="AE72" s="80"/>
    </row>
    <row r="73" spans="1:34" ht="14.45" customHeight="1">
      <c r="A73" s="55">
        <v>221.31</v>
      </c>
      <c r="B73" s="40">
        <f t="shared" si="0"/>
        <v>4</v>
      </c>
      <c r="C73" s="58" t="s">
        <v>13</v>
      </c>
      <c r="D73" s="41" t="str">
        <f t="shared" si="1"/>
        <v xml:space="preserve">                        Reflector</v>
      </c>
      <c r="E73" s="41" t="s">
        <v>341</v>
      </c>
      <c r="F73" s="41" t="s">
        <v>13</v>
      </c>
      <c r="G73" s="41" t="s">
        <v>261</v>
      </c>
      <c r="H73" s="45">
        <f>MARVEL_Cost!C29</f>
        <v>120231</v>
      </c>
      <c r="I73" s="66">
        <f>MARVEL_Cost!C27/L73</f>
        <v>10062.893081761007</v>
      </c>
      <c r="J73" s="51" t="s">
        <v>174</v>
      </c>
      <c r="K73" s="61" t="s">
        <v>330</v>
      </c>
      <c r="L73" s="51">
        <f>'Design Variables'!B17</f>
        <v>318</v>
      </c>
      <c r="M73" s="51" t="s">
        <v>173</v>
      </c>
      <c r="N73" s="51">
        <v>1</v>
      </c>
      <c r="O73" s="68">
        <v>2024</v>
      </c>
      <c r="P73" s="51" t="s">
        <v>73</v>
      </c>
      <c r="Q73" s="61" t="s">
        <v>175</v>
      </c>
      <c r="R73" s="61" t="s">
        <v>176</v>
      </c>
      <c r="S73" s="91" t="s">
        <v>447</v>
      </c>
      <c r="T73" s="51"/>
      <c r="U73" s="80" t="s">
        <v>467</v>
      </c>
      <c r="V73" s="84">
        <f t="shared" si="13"/>
        <v>108207.90000000001</v>
      </c>
      <c r="W73" s="84">
        <f t="shared" si="14"/>
        <v>180346.5</v>
      </c>
      <c r="X73" s="80" t="s">
        <v>451</v>
      </c>
      <c r="Y73" s="83">
        <f t="shared" si="15"/>
        <v>9056.6037735849059</v>
      </c>
      <c r="Z73" s="83">
        <f t="shared" si="16"/>
        <v>13081.761006289309</v>
      </c>
      <c r="AA73" s="80" t="s">
        <v>451</v>
      </c>
      <c r="AB73" s="83" t="s">
        <v>475</v>
      </c>
      <c r="AC73" s="83" t="s">
        <v>476</v>
      </c>
      <c r="AD73" s="83" t="s">
        <v>477</v>
      </c>
      <c r="AE73" s="80" t="s">
        <v>452</v>
      </c>
    </row>
    <row r="74" spans="1:34" ht="14.45" customHeight="1">
      <c r="A74" s="55">
        <v>221.31</v>
      </c>
      <c r="B74" s="40">
        <f t="shared" ref="B74" si="19">IF(ISNUMBER(A74),
    IF(AND(A74=INT(A74), MOD(A74, 10) = 0), 0,
        IF(AND(A74=INT(A74), LEN(A74)=2), 1,
            IF(AND(A74=INT(A74), LEN(A74)=3), 2,
                LEN(A74) - FIND(".", A74) + 2)
        )
    ),
"")</f>
        <v>4</v>
      </c>
      <c r="C74" s="58" t="s">
        <v>13</v>
      </c>
      <c r="D74" s="41" t="str">
        <f t="shared" ref="D74" si="20">REPT("   ", B74*2) &amp; C74</f>
        <v xml:space="preserve">                        Reflector</v>
      </c>
      <c r="E74" s="41" t="s">
        <v>341</v>
      </c>
      <c r="F74" s="41" t="s">
        <v>13</v>
      </c>
      <c r="G74" s="41" t="s">
        <v>449</v>
      </c>
      <c r="H74" s="45"/>
      <c r="I74" s="66">
        <f>MARVEL_Cost!C28/L69</f>
        <v>44736.84210526316</v>
      </c>
      <c r="J74" s="51" t="s">
        <v>174</v>
      </c>
      <c r="K74" s="61" t="s">
        <v>330</v>
      </c>
      <c r="L74" s="51">
        <f>1000*'Design Variables'!B19</f>
        <v>19</v>
      </c>
      <c r="M74" s="51" t="s">
        <v>173</v>
      </c>
      <c r="N74" s="51">
        <v>1</v>
      </c>
      <c r="O74" s="68">
        <v>2024</v>
      </c>
      <c r="P74" s="51" t="s">
        <v>73</v>
      </c>
      <c r="Q74" s="61" t="s">
        <v>175</v>
      </c>
      <c r="R74" s="61" t="s">
        <v>176</v>
      </c>
      <c r="S74" s="91"/>
      <c r="T74" s="51"/>
      <c r="U74" s="80" t="s">
        <v>467</v>
      </c>
      <c r="V74" s="84">
        <f t="shared" si="13"/>
        <v>0</v>
      </c>
      <c r="W74" s="84">
        <f t="shared" si="14"/>
        <v>0</v>
      </c>
      <c r="X74" s="80" t="s">
        <v>451</v>
      </c>
      <c r="Y74" s="83">
        <f t="shared" si="15"/>
        <v>40263.157894736847</v>
      </c>
      <c r="Z74" s="83">
        <f t="shared" si="16"/>
        <v>58157.894736842107</v>
      </c>
      <c r="AA74" s="80" t="s">
        <v>451</v>
      </c>
      <c r="AB74" s="83" t="s">
        <v>475</v>
      </c>
      <c r="AC74" s="83" t="s">
        <v>476</v>
      </c>
      <c r="AD74" s="83" t="s">
        <v>477</v>
      </c>
      <c r="AE74" s="80" t="s">
        <v>452</v>
      </c>
    </row>
    <row r="75" spans="1:34" ht="51">
      <c r="A75" s="55">
        <v>221.31</v>
      </c>
      <c r="B75" s="40">
        <f t="shared" ref="B75" si="21">IF(ISNUMBER(A75),
    IF(AND(A75=INT(A75), MOD(A75, 10) = 0), 0,
        IF(AND(A75=INT(A75), LEN(A75)=2), 1,
            IF(AND(A75=INT(A75), LEN(A75)=3), 2,
                LEN(A75) - FIND(".", A75) + 2)
        )
    ),
"")</f>
        <v>4</v>
      </c>
      <c r="C75" s="58" t="s">
        <v>13</v>
      </c>
      <c r="D75" s="41" t="str">
        <f t="shared" si="1"/>
        <v xml:space="preserve">                        Reflector</v>
      </c>
      <c r="E75" s="41" t="s">
        <v>341</v>
      </c>
      <c r="F75" s="41" t="s">
        <v>13</v>
      </c>
      <c r="G75" s="41" t="s">
        <v>333</v>
      </c>
      <c r="H75" s="45"/>
      <c r="I75" s="66">
        <v>80</v>
      </c>
      <c r="J75" s="51" t="s">
        <v>174</v>
      </c>
      <c r="K75" s="61" t="s">
        <v>330</v>
      </c>
      <c r="L75" s="51"/>
      <c r="M75" s="51"/>
      <c r="N75" s="51"/>
      <c r="O75" s="68">
        <v>2022</v>
      </c>
      <c r="P75" s="51" t="s">
        <v>73</v>
      </c>
      <c r="Q75" s="61" t="s">
        <v>404</v>
      </c>
      <c r="R75" s="61" t="s">
        <v>405</v>
      </c>
      <c r="S75" s="91"/>
      <c r="T75" s="51"/>
      <c r="U75" s="80" t="s">
        <v>467</v>
      </c>
      <c r="V75" s="84">
        <f t="shared" si="13"/>
        <v>0</v>
      </c>
      <c r="W75" s="84">
        <f t="shared" si="14"/>
        <v>0</v>
      </c>
      <c r="X75" s="80" t="s">
        <v>451</v>
      </c>
      <c r="Y75" s="83">
        <f t="shared" si="15"/>
        <v>72</v>
      </c>
      <c r="Z75" s="83">
        <f t="shared" si="16"/>
        <v>104</v>
      </c>
      <c r="AA75" s="80" t="s">
        <v>451</v>
      </c>
      <c r="AB75" s="83" t="s">
        <v>475</v>
      </c>
      <c r="AC75" s="83" t="s">
        <v>476</v>
      </c>
      <c r="AD75" s="83" t="s">
        <v>477</v>
      </c>
      <c r="AE75" s="80" t="s">
        <v>452</v>
      </c>
    </row>
    <row r="76" spans="1:34">
      <c r="A76" s="55">
        <v>221.31</v>
      </c>
      <c r="B76" s="40">
        <f t="shared" ref="B76" si="22">IF(ISNUMBER(A76),
    IF(AND(A76=INT(A76), MOD(A76, 10) = 0), 0,
        IF(AND(A76=INT(A76), LEN(A76)=2), 1,
            IF(AND(A76=INT(A76), LEN(A76)=3), 2,
                LEN(A76) - FIND(".", A76) + 2)
        )
    ),
"")</f>
        <v>4</v>
      </c>
      <c r="C76" s="58" t="s">
        <v>13</v>
      </c>
      <c r="D76" s="41" t="str">
        <f t="shared" ref="D76" si="23">REPT("   ", B76*2) &amp; C76</f>
        <v xml:space="preserve">                        Reflector</v>
      </c>
      <c r="E76" s="41" t="s">
        <v>341</v>
      </c>
      <c r="F76" s="41" t="s">
        <v>13</v>
      </c>
      <c r="G76" s="41" t="s">
        <v>406</v>
      </c>
      <c r="H76" s="45"/>
      <c r="I76" s="66">
        <v>134.1</v>
      </c>
      <c r="J76" s="51" t="s">
        <v>174</v>
      </c>
      <c r="K76" s="61" t="s">
        <v>330</v>
      </c>
      <c r="L76" s="51"/>
      <c r="M76" s="51"/>
      <c r="N76" s="51"/>
      <c r="O76" s="68">
        <v>2017</v>
      </c>
      <c r="P76" s="51" t="s">
        <v>73</v>
      </c>
      <c r="Q76" s="61" t="s">
        <v>408</v>
      </c>
      <c r="R76" s="61"/>
      <c r="S76" s="91"/>
      <c r="T76" s="51"/>
      <c r="U76" s="80" t="s">
        <v>467</v>
      </c>
      <c r="V76" s="84">
        <f t="shared" si="13"/>
        <v>0</v>
      </c>
      <c r="W76" s="84">
        <f t="shared" si="14"/>
        <v>0</v>
      </c>
      <c r="X76" s="80" t="s">
        <v>451</v>
      </c>
      <c r="Y76" s="83">
        <f t="shared" si="15"/>
        <v>120.69</v>
      </c>
      <c r="Z76" s="83">
        <f t="shared" si="16"/>
        <v>174.33</v>
      </c>
      <c r="AA76" s="80" t="s">
        <v>451</v>
      </c>
      <c r="AB76" s="83" t="s">
        <v>475</v>
      </c>
      <c r="AC76" s="83" t="s">
        <v>476</v>
      </c>
      <c r="AD76" s="83" t="s">
        <v>477</v>
      </c>
      <c r="AE76" s="80" t="s">
        <v>452</v>
      </c>
    </row>
    <row r="77" spans="1:34">
      <c r="A77" s="55">
        <v>221.32</v>
      </c>
      <c r="B77" s="40">
        <f t="shared" si="0"/>
        <v>4</v>
      </c>
      <c r="C77" s="58" t="s">
        <v>14</v>
      </c>
      <c r="D77" s="41" t="str">
        <f t="shared" si="1"/>
        <v xml:space="preserve">                        Shield</v>
      </c>
      <c r="E77" s="41"/>
      <c r="F77" s="41"/>
      <c r="G77" s="41"/>
      <c r="H77" s="45"/>
      <c r="I77" s="63"/>
      <c r="J77" s="51"/>
      <c r="K77" s="61"/>
      <c r="L77" s="51"/>
      <c r="M77" s="51"/>
      <c r="N77" s="51"/>
      <c r="O77" s="68"/>
      <c r="P77" s="51"/>
      <c r="Q77" s="61"/>
      <c r="R77" s="61"/>
      <c r="S77" s="91"/>
      <c r="T77" s="51"/>
      <c r="U77" s="80"/>
      <c r="V77" s="84"/>
      <c r="W77" s="84"/>
      <c r="X77" s="80"/>
      <c r="Y77" s="83"/>
      <c r="Z77" s="83"/>
      <c r="AA77" s="80"/>
      <c r="AB77" s="83"/>
      <c r="AC77" s="83"/>
      <c r="AD77" s="83"/>
      <c r="AE77" s="80"/>
    </row>
    <row r="78" spans="1:34" s="35" customFormat="1" ht="30" customHeight="1">
      <c r="A78" s="55">
        <v>221.321</v>
      </c>
      <c r="B78" s="40">
        <f t="shared" si="0"/>
        <v>5</v>
      </c>
      <c r="C78" s="58" t="s">
        <v>135</v>
      </c>
      <c r="D78" s="41" t="str">
        <f t="shared" si="1"/>
        <v xml:space="preserve">                              In Vessel Shield Materials</v>
      </c>
      <c r="E78" s="41" t="s">
        <v>341</v>
      </c>
      <c r="F78" s="41" t="s">
        <v>482</v>
      </c>
      <c r="G78" s="41" t="s">
        <v>186</v>
      </c>
      <c r="H78" s="45">
        <f>MARVEL_Cost!C30</f>
        <v>647990.6</v>
      </c>
      <c r="I78" s="63">
        <f>I66</f>
        <v>14285.714285714286</v>
      </c>
      <c r="J78" s="51" t="s">
        <v>174</v>
      </c>
      <c r="K78" s="61" t="s">
        <v>484</v>
      </c>
      <c r="L78" s="51">
        <f>L66</f>
        <v>28</v>
      </c>
      <c r="M78" s="51" t="s">
        <v>173</v>
      </c>
      <c r="N78" s="51">
        <v>1</v>
      </c>
      <c r="O78" s="68">
        <v>2024</v>
      </c>
      <c r="P78" s="51" t="s">
        <v>73</v>
      </c>
      <c r="Q78" s="61" t="s">
        <v>175</v>
      </c>
      <c r="R78" s="61"/>
      <c r="S78" s="91"/>
      <c r="T78" s="51"/>
      <c r="U78" s="80" t="s">
        <v>467</v>
      </c>
      <c r="V78" s="84">
        <f t="shared" si="13"/>
        <v>583191.54</v>
      </c>
      <c r="W78" s="84">
        <f t="shared" si="14"/>
        <v>971985.89999999991</v>
      </c>
      <c r="X78" s="80" t="s">
        <v>451</v>
      </c>
      <c r="Y78" s="83">
        <f t="shared" si="15"/>
        <v>12857.142857142859</v>
      </c>
      <c r="Z78" s="83">
        <f t="shared" si="16"/>
        <v>18571.428571428572</v>
      </c>
      <c r="AA78" s="80" t="s">
        <v>451</v>
      </c>
      <c r="AB78" s="83" t="s">
        <v>475</v>
      </c>
      <c r="AC78" s="83" t="s">
        <v>476</v>
      </c>
      <c r="AD78" s="83" t="s">
        <v>477</v>
      </c>
      <c r="AE78" s="80" t="s">
        <v>452</v>
      </c>
    </row>
    <row r="79" spans="1:34" s="35" customFormat="1" ht="30" customHeight="1">
      <c r="A79" s="55">
        <v>221.322</v>
      </c>
      <c r="B79" s="40">
        <f t="shared" si="0"/>
        <v>5</v>
      </c>
      <c r="C79" s="58" t="s">
        <v>136</v>
      </c>
      <c r="D79" s="41" t="str">
        <f t="shared" si="1"/>
        <v xml:space="preserve">                              Out The Vessel Shield Materials</v>
      </c>
      <c r="E79" s="41" t="s">
        <v>341</v>
      </c>
      <c r="F79" s="41" t="s">
        <v>483</v>
      </c>
      <c r="G79" s="41" t="s">
        <v>331</v>
      </c>
      <c r="H79" s="45"/>
      <c r="I79" s="63">
        <v>20</v>
      </c>
      <c r="J79" s="51" t="s">
        <v>174</v>
      </c>
      <c r="K79" s="61" t="s">
        <v>485</v>
      </c>
      <c r="L79" s="51">
        <f>'Design Variables'!B43</f>
        <v>925.3</v>
      </c>
      <c r="M79" s="51" t="s">
        <v>173</v>
      </c>
      <c r="N79" s="51">
        <v>1</v>
      </c>
      <c r="O79" s="68">
        <v>2024</v>
      </c>
      <c r="P79" s="51" t="s">
        <v>73</v>
      </c>
      <c r="Q79" s="61" t="s">
        <v>175</v>
      </c>
      <c r="R79" s="61"/>
      <c r="S79" s="91"/>
      <c r="T79" s="51"/>
      <c r="U79" s="80" t="s">
        <v>467</v>
      </c>
      <c r="V79" s="84">
        <f>0.9*$H79</f>
        <v>0</v>
      </c>
      <c r="W79" s="84">
        <f>1.5*H79</f>
        <v>0</v>
      </c>
      <c r="X79" s="80" t="s">
        <v>451</v>
      </c>
      <c r="Y79" s="83">
        <f>0.9*I79</f>
        <v>18</v>
      </c>
      <c r="Z79" s="83">
        <f>1.3*I79</f>
        <v>26</v>
      </c>
      <c r="AA79" s="80" t="s">
        <v>451</v>
      </c>
      <c r="AB79" s="83" t="s">
        <v>475</v>
      </c>
      <c r="AC79" s="83" t="s">
        <v>476</v>
      </c>
      <c r="AD79" s="83" t="s">
        <v>477</v>
      </c>
      <c r="AE79" s="80" t="s">
        <v>452</v>
      </c>
    </row>
    <row r="80" spans="1:34" ht="69" customHeight="1">
      <c r="A80" s="55">
        <v>221.33</v>
      </c>
      <c r="B80" s="40">
        <f t="shared" si="0"/>
        <v>4</v>
      </c>
      <c r="C80" s="58" t="s">
        <v>444</v>
      </c>
      <c r="D80" s="41" t="str">
        <f>REPT("   ", B81*2) &amp; C80</f>
        <v xml:space="preserve">                        Moderator (Booster)</v>
      </c>
      <c r="E80" s="41" t="s">
        <v>341</v>
      </c>
      <c r="F80" s="41" t="s">
        <v>453</v>
      </c>
      <c r="G80" s="41" t="s">
        <v>332</v>
      </c>
      <c r="H80" s="45"/>
      <c r="I80" s="63">
        <v>1520</v>
      </c>
      <c r="J80" s="51" t="s">
        <v>174</v>
      </c>
      <c r="K80" s="61" t="s">
        <v>442</v>
      </c>
      <c r="L80" s="51"/>
      <c r="M80" s="51" t="s">
        <v>173</v>
      </c>
      <c r="N80" s="51"/>
      <c r="O80" s="68">
        <v>2017</v>
      </c>
      <c r="P80" s="51" t="s">
        <v>73</v>
      </c>
      <c r="Q80" s="61" t="s">
        <v>335</v>
      </c>
      <c r="R80" s="65" t="s">
        <v>336</v>
      </c>
      <c r="S80" s="67"/>
      <c r="T80" s="51"/>
      <c r="U80" s="80" t="s">
        <v>467</v>
      </c>
      <c r="V80" s="84">
        <f t="shared" si="13"/>
        <v>0</v>
      </c>
      <c r="W80" s="84">
        <f t="shared" si="14"/>
        <v>0</v>
      </c>
      <c r="X80" s="80" t="s">
        <v>451</v>
      </c>
      <c r="Y80" s="83">
        <f t="shared" si="15"/>
        <v>1368</v>
      </c>
      <c r="Z80" s="83">
        <f t="shared" si="16"/>
        <v>1976</v>
      </c>
      <c r="AA80" s="80" t="s">
        <v>451</v>
      </c>
      <c r="AB80" s="83" t="s">
        <v>475</v>
      </c>
      <c r="AC80" s="83" t="s">
        <v>476</v>
      </c>
      <c r="AD80" s="83" t="s">
        <v>477</v>
      </c>
      <c r="AE80" s="80" t="s">
        <v>452</v>
      </c>
    </row>
    <row r="81" spans="1:31" ht="30" customHeight="1">
      <c r="A81" s="55">
        <v>221.33</v>
      </c>
      <c r="B81" s="40">
        <f t="shared" si="0"/>
        <v>4</v>
      </c>
      <c r="C81" s="58" t="s">
        <v>199</v>
      </c>
      <c r="D81" s="41" t="str">
        <f>REPT("   ", B82*2) &amp; C81</f>
        <v xml:space="preserve">            Moderator</v>
      </c>
      <c r="E81" s="41" t="s">
        <v>341</v>
      </c>
      <c r="F81" s="41" t="s">
        <v>199</v>
      </c>
      <c r="G81" s="41" t="s">
        <v>333</v>
      </c>
      <c r="H81" s="45"/>
      <c r="I81" s="63">
        <v>80</v>
      </c>
      <c r="J81" s="51" t="s">
        <v>174</v>
      </c>
      <c r="K81" s="61" t="s">
        <v>334</v>
      </c>
      <c r="L81" s="51"/>
      <c r="M81" s="51" t="s">
        <v>173</v>
      </c>
      <c r="N81" s="51"/>
      <c r="O81" s="68">
        <v>2022</v>
      </c>
      <c r="P81" s="51" t="s">
        <v>73</v>
      </c>
      <c r="Q81" s="61" t="s">
        <v>404</v>
      </c>
      <c r="R81" s="65" t="s">
        <v>405</v>
      </c>
      <c r="S81" s="67"/>
      <c r="T81" s="51"/>
      <c r="U81" s="80" t="s">
        <v>467</v>
      </c>
      <c r="V81" s="84">
        <f t="shared" si="13"/>
        <v>0</v>
      </c>
      <c r="W81" s="84">
        <f t="shared" si="14"/>
        <v>0</v>
      </c>
      <c r="X81" s="80" t="s">
        <v>451</v>
      </c>
      <c r="Y81" s="83">
        <f t="shared" si="15"/>
        <v>72</v>
      </c>
      <c r="Z81" s="83">
        <f t="shared" si="16"/>
        <v>104</v>
      </c>
      <c r="AA81" s="80" t="s">
        <v>451</v>
      </c>
      <c r="AB81" s="83" t="s">
        <v>475</v>
      </c>
      <c r="AC81" s="83" t="s">
        <v>476</v>
      </c>
      <c r="AD81" s="83" t="s">
        <v>477</v>
      </c>
      <c r="AE81" s="80" t="s">
        <v>452</v>
      </c>
    </row>
    <row r="82" spans="1:31" ht="30" customHeight="1">
      <c r="A82" s="55">
        <v>222</v>
      </c>
      <c r="B82" s="40">
        <f t="shared" si="0"/>
        <v>2</v>
      </c>
      <c r="C82" s="58" t="s">
        <v>15</v>
      </c>
      <c r="D82" s="41" t="str">
        <f t="shared" si="1"/>
        <v xml:space="preserve">            Main Heat Transport System</v>
      </c>
      <c r="E82" s="41"/>
      <c r="F82" s="41"/>
      <c r="G82" s="41"/>
      <c r="H82" s="45"/>
      <c r="I82" s="63"/>
      <c r="J82" s="51"/>
      <c r="K82" s="61"/>
      <c r="L82" s="51"/>
      <c r="M82" s="51"/>
      <c r="N82" s="51"/>
      <c r="O82" s="68"/>
      <c r="P82" s="51"/>
      <c r="Q82" s="61"/>
      <c r="R82" s="65"/>
      <c r="S82" s="51"/>
      <c r="T82" s="51"/>
      <c r="U82" s="80"/>
      <c r="V82" s="84"/>
      <c r="W82" s="84"/>
      <c r="X82" s="80"/>
      <c r="Y82" s="83"/>
      <c r="Z82" s="83"/>
      <c r="AA82" s="80"/>
      <c r="AB82" s="83"/>
      <c r="AC82" s="83"/>
      <c r="AD82" s="83"/>
      <c r="AE82" s="80"/>
    </row>
    <row r="83" spans="1:31">
      <c r="A83" s="55">
        <v>222.1</v>
      </c>
      <c r="B83" s="40">
        <f t="shared" ref="B83:B88" si="24">IF(ISNUMBER(A83),
    IF(AND(A83=INT(A83), MOD(A83, 10) = 0), 0,
        IF(AND(A83=INT(A83), LEN(A83)=2), 1,
            IF(AND(A83=INT(A83), LEN(A83)=3), 2,
                LEN(A83) - FIND(".", A83) + 2)
        )
    ),
"")</f>
        <v>3</v>
      </c>
      <c r="C83" s="58" t="s">
        <v>352</v>
      </c>
      <c r="D83" s="41" t="str">
        <f t="shared" si="1"/>
        <v xml:space="preserve">                  Fluid Circulation Drive System</v>
      </c>
      <c r="E83" s="41"/>
      <c r="F83" s="41"/>
      <c r="G83" s="41"/>
      <c r="H83" s="45"/>
      <c r="I83" s="68"/>
      <c r="J83" s="51"/>
      <c r="K83" s="61"/>
      <c r="L83" s="51"/>
      <c r="M83" s="51"/>
      <c r="N83" s="51"/>
      <c r="O83" s="68"/>
      <c r="P83" s="51"/>
      <c r="Q83" s="61"/>
      <c r="R83" s="51"/>
      <c r="S83" s="51"/>
      <c r="T83" s="51"/>
      <c r="U83" s="80"/>
      <c r="V83" s="84"/>
      <c r="W83" s="84"/>
      <c r="X83" s="80"/>
      <c r="Y83" s="83"/>
      <c r="Z83" s="83"/>
      <c r="AA83" s="80"/>
      <c r="AB83" s="83"/>
      <c r="AC83" s="83"/>
      <c r="AD83" s="83"/>
      <c r="AE83" s="80"/>
    </row>
    <row r="84" spans="1:31" ht="61.15" customHeight="1">
      <c r="A84" s="44">
        <v>222.11</v>
      </c>
      <c r="B84" s="40">
        <f t="shared" si="24"/>
        <v>4</v>
      </c>
      <c r="C84" s="58" t="s">
        <v>348</v>
      </c>
      <c r="D84" s="41" t="str">
        <f>REPT("   ", B84*2) &amp; C84</f>
        <v xml:space="preserve">                        Primary Pump</v>
      </c>
      <c r="E84" s="41" t="s">
        <v>342</v>
      </c>
      <c r="F84" s="41" t="s">
        <v>348</v>
      </c>
      <c r="G84" s="41" t="s">
        <v>355</v>
      </c>
      <c r="H84" s="45"/>
      <c r="I84" s="63">
        <f>12.5*705.48</f>
        <v>8818.5</v>
      </c>
      <c r="J84" s="51" t="s">
        <v>345</v>
      </c>
      <c r="K84" s="61" t="s">
        <v>337</v>
      </c>
      <c r="L84" s="51"/>
      <c r="M84" s="51"/>
      <c r="N84" s="51">
        <v>0.71</v>
      </c>
      <c r="O84" s="68">
        <v>2003</v>
      </c>
      <c r="P84" s="51" t="s">
        <v>77</v>
      </c>
      <c r="Q84" s="61" t="s">
        <v>343</v>
      </c>
      <c r="R84" s="87" t="s">
        <v>448</v>
      </c>
      <c r="S84" s="93" t="s">
        <v>344</v>
      </c>
      <c r="T84" s="87"/>
      <c r="U84" s="80" t="s">
        <v>467</v>
      </c>
      <c r="V84" s="84">
        <f t="shared" si="13"/>
        <v>0</v>
      </c>
      <c r="W84" s="84">
        <f t="shared" si="14"/>
        <v>0</v>
      </c>
      <c r="X84" s="80" t="s">
        <v>451</v>
      </c>
      <c r="Y84" s="83">
        <f t="shared" si="15"/>
        <v>7936.6500000000005</v>
      </c>
      <c r="Z84" s="83">
        <f t="shared" si="16"/>
        <v>11464.050000000001</v>
      </c>
      <c r="AA84" s="80" t="s">
        <v>451</v>
      </c>
      <c r="AB84" s="83" t="s">
        <v>475</v>
      </c>
      <c r="AC84" s="83" t="s">
        <v>476</v>
      </c>
      <c r="AD84" s="83" t="s">
        <v>477</v>
      </c>
      <c r="AE84" s="80" t="s">
        <v>452</v>
      </c>
    </row>
    <row r="85" spans="1:31" ht="25.5">
      <c r="A85" s="44">
        <v>222.12</v>
      </c>
      <c r="B85" s="40">
        <f t="shared" si="24"/>
        <v>4</v>
      </c>
      <c r="C85" s="58" t="s">
        <v>347</v>
      </c>
      <c r="D85" s="41" t="str">
        <f t="shared" si="1"/>
        <v xml:space="preserve">                        Secondary Pump</v>
      </c>
      <c r="E85" s="41" t="s">
        <v>342</v>
      </c>
      <c r="F85" s="41" t="s">
        <v>347</v>
      </c>
      <c r="G85" s="41" t="s">
        <v>355</v>
      </c>
      <c r="H85" s="45"/>
      <c r="I85" s="63">
        <v>705.48</v>
      </c>
      <c r="J85" s="51" t="s">
        <v>345</v>
      </c>
      <c r="K85" s="61" t="s">
        <v>338</v>
      </c>
      <c r="L85" s="51"/>
      <c r="M85" s="51"/>
      <c r="N85" s="51">
        <v>0.71</v>
      </c>
      <c r="O85" s="68">
        <v>2003</v>
      </c>
      <c r="P85" s="51" t="s">
        <v>77</v>
      </c>
      <c r="Q85" s="61" t="s">
        <v>339</v>
      </c>
      <c r="R85" s="87"/>
      <c r="S85" s="94"/>
      <c r="T85" s="87"/>
      <c r="U85" s="80" t="s">
        <v>467</v>
      </c>
      <c r="V85" s="84">
        <f t="shared" si="13"/>
        <v>0</v>
      </c>
      <c r="W85" s="84">
        <f t="shared" si="14"/>
        <v>0</v>
      </c>
      <c r="X85" s="80" t="s">
        <v>451</v>
      </c>
      <c r="Y85" s="83">
        <f t="shared" si="15"/>
        <v>634.93200000000002</v>
      </c>
      <c r="Z85" s="83">
        <f t="shared" si="16"/>
        <v>917.12400000000002</v>
      </c>
      <c r="AA85" s="80" t="s">
        <v>451</v>
      </c>
      <c r="AB85" s="83" t="s">
        <v>475</v>
      </c>
      <c r="AC85" s="83" t="s">
        <v>476</v>
      </c>
      <c r="AD85" s="83" t="s">
        <v>477</v>
      </c>
      <c r="AE85" s="80" t="s">
        <v>452</v>
      </c>
    </row>
    <row r="86" spans="1:31" ht="89.25">
      <c r="A86" s="44">
        <v>222.13</v>
      </c>
      <c r="B86" s="40">
        <f t="shared" si="24"/>
        <v>4</v>
      </c>
      <c r="C86" s="58" t="s">
        <v>353</v>
      </c>
      <c r="D86" s="41" t="str">
        <f t="shared" ref="D86" si="25">REPT("   ", B86*2) &amp; C86</f>
        <v xml:space="preserve">                        Compressor</v>
      </c>
      <c r="E86" s="41" t="s">
        <v>342</v>
      </c>
      <c r="F86" s="41"/>
      <c r="G86" s="41"/>
      <c r="H86" s="45"/>
      <c r="I86" s="63">
        <v>7100000</v>
      </c>
      <c r="J86" s="51" t="s">
        <v>413</v>
      </c>
      <c r="K86" s="61"/>
      <c r="L86" s="51"/>
      <c r="M86" s="51"/>
      <c r="N86" s="51"/>
      <c r="O86" s="68">
        <v>2020</v>
      </c>
      <c r="P86" s="51" t="s">
        <v>77</v>
      </c>
      <c r="Q86" s="61" t="s">
        <v>407</v>
      </c>
      <c r="R86" s="65" t="s">
        <v>409</v>
      </c>
      <c r="S86" s="69"/>
      <c r="T86" s="65" t="s">
        <v>488</v>
      </c>
      <c r="U86" s="80" t="s">
        <v>467</v>
      </c>
      <c r="V86" s="84">
        <f t="shared" si="13"/>
        <v>0</v>
      </c>
      <c r="W86" s="84">
        <f t="shared" si="14"/>
        <v>0</v>
      </c>
      <c r="X86" s="80" t="s">
        <v>451</v>
      </c>
      <c r="Y86" s="83">
        <f t="shared" si="15"/>
        <v>6390000</v>
      </c>
      <c r="Z86" s="83">
        <f t="shared" si="16"/>
        <v>9230000</v>
      </c>
      <c r="AA86" s="80" t="s">
        <v>451</v>
      </c>
      <c r="AB86" s="83" t="s">
        <v>475</v>
      </c>
      <c r="AC86" s="83" t="s">
        <v>476</v>
      </c>
      <c r="AD86" s="83" t="s">
        <v>477</v>
      </c>
      <c r="AE86" s="80" t="s">
        <v>452</v>
      </c>
    </row>
    <row r="87" spans="1:31" ht="30" customHeight="1">
      <c r="A87" s="55">
        <v>222.2</v>
      </c>
      <c r="B87" s="40">
        <f t="shared" si="24"/>
        <v>3</v>
      </c>
      <c r="C87" s="58" t="s">
        <v>16</v>
      </c>
      <c r="D87" s="41" t="str">
        <f t="shared" si="1"/>
        <v xml:space="preserve">                  Reactor Heat Transfer Piping System</v>
      </c>
      <c r="E87" s="41" t="s">
        <v>341</v>
      </c>
      <c r="F87" s="41"/>
      <c r="G87" s="41"/>
      <c r="H87" s="45"/>
      <c r="I87" s="63">
        <v>20000</v>
      </c>
      <c r="J87" s="51" t="s">
        <v>67</v>
      </c>
      <c r="K87" s="47" t="s">
        <v>71</v>
      </c>
      <c r="L87" s="51"/>
      <c r="M87" s="51"/>
      <c r="N87" s="51"/>
      <c r="O87" s="68">
        <v>2017</v>
      </c>
      <c r="P87" s="51" t="s">
        <v>74</v>
      </c>
      <c r="Q87" s="61" t="s">
        <v>349</v>
      </c>
      <c r="R87" s="61" t="s">
        <v>350</v>
      </c>
      <c r="S87" s="51"/>
      <c r="T87" s="51"/>
      <c r="U87" s="80" t="s">
        <v>467</v>
      </c>
      <c r="V87" s="84">
        <f t="shared" si="13"/>
        <v>0</v>
      </c>
      <c r="W87" s="84">
        <f t="shared" ref="W87" si="26">1.5*H87</f>
        <v>0</v>
      </c>
      <c r="X87" s="80" t="s">
        <v>451</v>
      </c>
      <c r="Y87" s="83">
        <f t="shared" ref="Y87" si="27">0.9*I87</f>
        <v>18000</v>
      </c>
      <c r="Z87" s="83">
        <f t="shared" ref="Z87" si="28">1.3*I87</f>
        <v>26000</v>
      </c>
      <c r="AA87" s="80" t="s">
        <v>451</v>
      </c>
      <c r="AB87" s="83" t="s">
        <v>475</v>
      </c>
      <c r="AC87" s="83" t="s">
        <v>476</v>
      </c>
      <c r="AD87" s="83" t="s">
        <v>477</v>
      </c>
      <c r="AE87" s="80" t="s">
        <v>452</v>
      </c>
    </row>
    <row r="88" spans="1:31">
      <c r="A88" s="55">
        <v>222.3</v>
      </c>
      <c r="B88" s="40">
        <f t="shared" si="24"/>
        <v>3</v>
      </c>
      <c r="C88" s="58" t="s">
        <v>17</v>
      </c>
      <c r="D88" s="41" t="str">
        <f t="shared" si="1"/>
        <v xml:space="preserve">                  Heat Exchangers</v>
      </c>
      <c r="E88" s="41"/>
      <c r="F88" s="41"/>
      <c r="G88" s="41"/>
      <c r="H88" s="45"/>
      <c r="I88" s="63"/>
      <c r="J88" s="51"/>
      <c r="K88" s="61"/>
      <c r="L88" s="51"/>
      <c r="M88" s="51"/>
      <c r="N88" s="51"/>
      <c r="O88" s="68"/>
      <c r="P88" s="51"/>
      <c r="Q88" s="61"/>
      <c r="R88" s="51"/>
      <c r="S88" s="51"/>
      <c r="T88" s="51"/>
      <c r="U88" s="80"/>
      <c r="V88" s="84"/>
      <c r="W88" s="84"/>
      <c r="X88" s="80"/>
      <c r="Y88" s="83"/>
      <c r="Z88" s="83"/>
      <c r="AA88" s="80"/>
      <c r="AB88" s="83"/>
      <c r="AC88" s="83"/>
      <c r="AD88" s="83"/>
      <c r="AE88" s="80"/>
    </row>
    <row r="89" spans="1:31" ht="30" customHeight="1">
      <c r="A89" s="55">
        <v>222.31</v>
      </c>
      <c r="B89" s="40">
        <f t="shared" ref="B89" si="29">IF(ISNUMBER(A89),
    IF(AND(A89=INT(A89), MOD(A89, 10) = 0), 0,
        IF(AND(A89=INT(A89), LEN(A89)=2), 1,
            IF(AND(A89=INT(A89), LEN(A89)=3), 2,
                LEN(A89) - FIND(".", A89) + 2)
        )
    ),
"")</f>
        <v>4</v>
      </c>
      <c r="C89" s="58" t="s">
        <v>356</v>
      </c>
      <c r="D89" s="41" t="str">
        <f t="shared" ref="D89" si="30">REPT("   ", B89*2) &amp; C89</f>
        <v xml:space="preserve">                        Primary Heat Exchanger</v>
      </c>
      <c r="E89" s="41" t="s">
        <v>341</v>
      </c>
      <c r="F89" s="41" t="s">
        <v>411</v>
      </c>
      <c r="G89" s="41" t="s">
        <v>410</v>
      </c>
      <c r="H89" s="45"/>
      <c r="I89" s="63">
        <v>50</v>
      </c>
      <c r="J89" s="51" t="s">
        <v>174</v>
      </c>
      <c r="K89" s="61" t="s">
        <v>357</v>
      </c>
      <c r="L89" s="51"/>
      <c r="M89" s="51" t="s">
        <v>173</v>
      </c>
      <c r="N89" s="51"/>
      <c r="O89" s="68">
        <v>2004</v>
      </c>
      <c r="P89" s="51" t="s">
        <v>74</v>
      </c>
      <c r="Q89" s="61" t="s">
        <v>359</v>
      </c>
      <c r="R89" s="65" t="s">
        <v>360</v>
      </c>
      <c r="S89" s="51"/>
      <c r="T89" s="51"/>
      <c r="U89" s="80" t="s">
        <v>467</v>
      </c>
      <c r="V89" s="84">
        <f t="shared" si="13"/>
        <v>0</v>
      </c>
      <c r="W89" s="84">
        <f t="shared" si="14"/>
        <v>0</v>
      </c>
      <c r="X89" s="80" t="s">
        <v>451</v>
      </c>
      <c r="Y89" s="83">
        <f t="shared" si="15"/>
        <v>45</v>
      </c>
      <c r="Z89" s="83">
        <f t="shared" si="16"/>
        <v>65</v>
      </c>
      <c r="AA89" s="80" t="s">
        <v>451</v>
      </c>
      <c r="AB89" s="83" t="s">
        <v>475</v>
      </c>
      <c r="AC89" s="83" t="s">
        <v>476</v>
      </c>
      <c r="AD89" s="83" t="s">
        <v>477</v>
      </c>
      <c r="AE89" s="80" t="s">
        <v>452</v>
      </c>
    </row>
    <row r="90" spans="1:31" ht="30" customHeight="1">
      <c r="A90" s="55">
        <v>222.31</v>
      </c>
      <c r="B90" s="40">
        <f t="shared" ref="B90" si="31">IF(ISNUMBER(A90),
    IF(AND(A90=INT(A90), MOD(A90, 10) = 0), 0,
        IF(AND(A90=INT(A90), LEN(A90)=2), 1,
            IF(AND(A90=INT(A90), LEN(A90)=3), 2,
                LEN(A90) - FIND(".", A90) + 2)
        )
    ),
"")</f>
        <v>4</v>
      </c>
      <c r="C90" s="58" t="s">
        <v>356</v>
      </c>
      <c r="D90" s="41" t="str">
        <f t="shared" ref="D90" si="32">REPT("   ", B90*2) &amp; C90</f>
        <v xml:space="preserve">                        Primary Heat Exchanger</v>
      </c>
      <c r="E90" s="41" t="s">
        <v>341</v>
      </c>
      <c r="F90" s="41" t="s">
        <v>411</v>
      </c>
      <c r="G90" s="41" t="s">
        <v>412</v>
      </c>
      <c r="H90" s="45"/>
      <c r="I90" s="63">
        <v>120</v>
      </c>
      <c r="J90" s="51" t="s">
        <v>174</v>
      </c>
      <c r="K90" s="61" t="s">
        <v>357</v>
      </c>
      <c r="L90" s="51"/>
      <c r="M90" s="51" t="s">
        <v>173</v>
      </c>
      <c r="N90" s="51"/>
      <c r="O90" s="68">
        <v>2013</v>
      </c>
      <c r="P90" s="51" t="s">
        <v>74</v>
      </c>
      <c r="Q90" s="61" t="s">
        <v>359</v>
      </c>
      <c r="R90" s="65" t="s">
        <v>361</v>
      </c>
      <c r="S90" s="51"/>
      <c r="T90" s="51"/>
      <c r="U90" s="80" t="s">
        <v>467</v>
      </c>
      <c r="V90" s="84">
        <f t="shared" si="13"/>
        <v>0</v>
      </c>
      <c r="W90" s="84">
        <f t="shared" si="14"/>
        <v>0</v>
      </c>
      <c r="X90" s="80" t="s">
        <v>451</v>
      </c>
      <c r="Y90" s="83">
        <f t="shared" si="15"/>
        <v>108</v>
      </c>
      <c r="Z90" s="83">
        <f t="shared" si="16"/>
        <v>156</v>
      </c>
      <c r="AA90" s="80" t="s">
        <v>451</v>
      </c>
      <c r="AB90" s="83" t="s">
        <v>475</v>
      </c>
      <c r="AC90" s="83" t="s">
        <v>476</v>
      </c>
      <c r="AD90" s="83" t="s">
        <v>477</v>
      </c>
      <c r="AE90" s="80" t="s">
        <v>452</v>
      </c>
    </row>
    <row r="91" spans="1:31" ht="30" customHeight="1">
      <c r="A91" s="55">
        <v>222.32</v>
      </c>
      <c r="B91" s="40">
        <f t="shared" ref="B91" si="33">IF(ISNUMBER(A91),
    IF(AND(A91=INT(A91), MOD(A91, 10) = 0), 0,
        IF(AND(A91=INT(A91), LEN(A91)=2), 1,
            IF(AND(A91=INT(A91), LEN(A91)=3), 2,
                LEN(A91) - FIND(".", A91) + 2)
        )
    ),
"")</f>
        <v>4</v>
      </c>
      <c r="C91" s="58" t="s">
        <v>18</v>
      </c>
      <c r="D91" s="41" t="str">
        <f t="shared" ref="D91" si="34">REPT("   ", B91*2) &amp; C91</f>
        <v xml:space="preserve">                        Secondary Heat Exchanger</v>
      </c>
      <c r="E91" s="41" t="s">
        <v>341</v>
      </c>
      <c r="F91" s="41" t="s">
        <v>411</v>
      </c>
      <c r="G91" s="41" t="s">
        <v>410</v>
      </c>
      <c r="H91" s="45"/>
      <c r="I91" s="63">
        <v>50</v>
      </c>
      <c r="J91" s="51" t="s">
        <v>174</v>
      </c>
      <c r="K91" s="61" t="s">
        <v>358</v>
      </c>
      <c r="L91" s="51"/>
      <c r="M91" s="51" t="s">
        <v>173</v>
      </c>
      <c r="N91" s="51"/>
      <c r="O91" s="68">
        <v>2004</v>
      </c>
      <c r="P91" s="51" t="s">
        <v>74</v>
      </c>
      <c r="Q91" s="61" t="s">
        <v>359</v>
      </c>
      <c r="R91" s="65" t="s">
        <v>360</v>
      </c>
      <c r="S91" s="51"/>
      <c r="T91" s="51"/>
      <c r="U91" s="80" t="s">
        <v>467</v>
      </c>
      <c r="V91" s="84">
        <f t="shared" si="13"/>
        <v>0</v>
      </c>
      <c r="W91" s="84">
        <f t="shared" si="14"/>
        <v>0</v>
      </c>
      <c r="X91" s="80" t="s">
        <v>451</v>
      </c>
      <c r="Y91" s="83">
        <f t="shared" si="15"/>
        <v>45</v>
      </c>
      <c r="Z91" s="83">
        <f t="shared" si="16"/>
        <v>65</v>
      </c>
      <c r="AA91" s="80" t="s">
        <v>451</v>
      </c>
      <c r="AB91" s="83" t="s">
        <v>475</v>
      </c>
      <c r="AC91" s="83" t="s">
        <v>476</v>
      </c>
      <c r="AD91" s="83" t="s">
        <v>477</v>
      </c>
      <c r="AE91" s="80" t="s">
        <v>452</v>
      </c>
    </row>
    <row r="92" spans="1:31" ht="30" customHeight="1">
      <c r="A92" s="55">
        <v>222.32</v>
      </c>
      <c r="B92" s="40">
        <f t="shared" ref="B92" si="35">IF(ISNUMBER(A92),
    IF(AND(A92=INT(A92), MOD(A92, 10) = 0), 0,
        IF(AND(A92=INT(A92), LEN(A92)=2), 1,
            IF(AND(A92=INT(A92), LEN(A92)=3), 2,
                LEN(A92) - FIND(".", A92) + 2)
        )
    ),
"")</f>
        <v>4</v>
      </c>
      <c r="C92" s="58" t="s">
        <v>18</v>
      </c>
      <c r="D92" s="41" t="str">
        <f t="shared" ref="D92" si="36">REPT("   ", B92*2) &amp; C92</f>
        <v xml:space="preserve">                        Secondary Heat Exchanger</v>
      </c>
      <c r="E92" s="41" t="s">
        <v>341</v>
      </c>
      <c r="F92" s="41" t="s">
        <v>411</v>
      </c>
      <c r="G92" s="41" t="s">
        <v>412</v>
      </c>
      <c r="H92" s="45"/>
      <c r="I92" s="63">
        <v>120</v>
      </c>
      <c r="J92" s="51" t="s">
        <v>174</v>
      </c>
      <c r="K92" s="61" t="s">
        <v>358</v>
      </c>
      <c r="L92" s="51"/>
      <c r="M92" s="51" t="s">
        <v>173</v>
      </c>
      <c r="N92" s="51"/>
      <c r="O92" s="68">
        <v>2013</v>
      </c>
      <c r="P92" s="51" t="s">
        <v>74</v>
      </c>
      <c r="Q92" s="61" t="s">
        <v>359</v>
      </c>
      <c r="R92" s="65" t="s">
        <v>361</v>
      </c>
      <c r="S92" s="51"/>
      <c r="T92" s="51"/>
      <c r="U92" s="80" t="s">
        <v>467</v>
      </c>
      <c r="V92" s="84">
        <f t="shared" si="13"/>
        <v>0</v>
      </c>
      <c r="W92" s="84">
        <f t="shared" si="14"/>
        <v>0</v>
      </c>
      <c r="X92" s="80" t="s">
        <v>451</v>
      </c>
      <c r="Y92" s="83">
        <f t="shared" si="15"/>
        <v>108</v>
      </c>
      <c r="Z92" s="83">
        <f t="shared" si="16"/>
        <v>156</v>
      </c>
      <c r="AA92" s="80" t="s">
        <v>451</v>
      </c>
      <c r="AB92" s="83" t="s">
        <v>475</v>
      </c>
      <c r="AC92" s="83" t="s">
        <v>476</v>
      </c>
      <c r="AD92" s="83" t="s">
        <v>477</v>
      </c>
      <c r="AE92" s="80" t="s">
        <v>452</v>
      </c>
    </row>
    <row r="93" spans="1:31">
      <c r="A93" s="55">
        <v>223</v>
      </c>
      <c r="B93" s="40">
        <f t="shared" si="0"/>
        <v>2</v>
      </c>
      <c r="C93" s="58" t="s">
        <v>19</v>
      </c>
      <c r="D93" s="41" t="str">
        <f t="shared" si="1"/>
        <v xml:space="preserve">            Safety Systems</v>
      </c>
      <c r="E93" s="41"/>
      <c r="F93" s="41"/>
      <c r="G93" s="41"/>
      <c r="H93" s="45"/>
      <c r="I93" s="63"/>
      <c r="J93" s="51"/>
      <c r="K93" s="61"/>
      <c r="L93" s="51"/>
      <c r="M93" s="51"/>
      <c r="N93" s="51"/>
      <c r="O93" s="68"/>
      <c r="P93" s="51"/>
      <c r="Q93" s="61"/>
      <c r="R93" s="51"/>
      <c r="S93" s="51"/>
      <c r="T93" s="51"/>
      <c r="U93" s="80"/>
      <c r="V93" s="84"/>
      <c r="W93" s="84"/>
      <c r="X93" s="80"/>
      <c r="Y93" s="83"/>
      <c r="Z93" s="83"/>
      <c r="AA93" s="80"/>
      <c r="AB93" s="83"/>
      <c r="AC93" s="83"/>
      <c r="AD93" s="83"/>
      <c r="AE93" s="80"/>
    </row>
    <row r="94" spans="1:31" ht="25.5">
      <c r="A94" s="55">
        <v>223.2</v>
      </c>
      <c r="B94" s="40">
        <f t="shared" si="0"/>
        <v>3</v>
      </c>
      <c r="C94" s="58" t="s">
        <v>137</v>
      </c>
      <c r="D94" s="41" t="str">
        <f t="shared" si="1"/>
        <v xml:space="preserve">                  Reactor Cavity Cooling System (Rvacs)</v>
      </c>
      <c r="E94" s="41"/>
      <c r="F94" s="41"/>
      <c r="G94" s="41"/>
      <c r="H94" s="45"/>
      <c r="I94" s="63"/>
      <c r="J94" s="51"/>
      <c r="K94" s="61"/>
      <c r="L94" s="51"/>
      <c r="M94" s="51"/>
      <c r="N94" s="51"/>
      <c r="O94" s="68"/>
      <c r="P94" s="51"/>
      <c r="Q94" s="61"/>
      <c r="R94" s="51"/>
      <c r="S94" s="51"/>
      <c r="T94" s="51"/>
      <c r="U94" s="80"/>
      <c r="V94" s="84"/>
      <c r="W94" s="84"/>
      <c r="X94" s="80"/>
      <c r="Y94" s="83"/>
      <c r="Z94" s="83"/>
      <c r="AA94" s="80"/>
      <c r="AB94" s="83"/>
      <c r="AC94" s="83"/>
      <c r="AD94" s="83"/>
      <c r="AE94" s="80"/>
    </row>
    <row r="95" spans="1:31" ht="30" customHeight="1">
      <c r="A95" s="55">
        <v>223.21</v>
      </c>
      <c r="B95" s="40">
        <f t="shared" si="0"/>
        <v>4</v>
      </c>
      <c r="C95" s="58" t="s">
        <v>138</v>
      </c>
      <c r="D95" s="41" t="str">
        <f t="shared" si="1"/>
        <v xml:space="preserve">                        Rvacs (Cooling Vessel)</v>
      </c>
      <c r="E95" s="41" t="s">
        <v>341</v>
      </c>
      <c r="F95" s="41"/>
      <c r="G95" s="47"/>
      <c r="H95" s="68"/>
      <c r="I95" s="63">
        <f>I56</f>
        <v>324.08</v>
      </c>
      <c r="J95" s="51" t="s">
        <v>174</v>
      </c>
      <c r="K95" s="61" t="s">
        <v>362</v>
      </c>
      <c r="L95" s="51"/>
      <c r="M95" s="51"/>
      <c r="N95" s="51"/>
      <c r="O95" s="68">
        <v>2017</v>
      </c>
      <c r="P95" s="51" t="s">
        <v>77</v>
      </c>
      <c r="Q95" s="61" t="s">
        <v>399</v>
      </c>
      <c r="R95" s="65" t="s">
        <v>350</v>
      </c>
      <c r="S95" s="51"/>
      <c r="T95" s="51"/>
      <c r="U95" s="80" t="s">
        <v>467</v>
      </c>
      <c r="V95" s="84">
        <f t="shared" si="13"/>
        <v>0</v>
      </c>
      <c r="W95" s="84">
        <f t="shared" si="14"/>
        <v>0</v>
      </c>
      <c r="X95" s="80" t="s">
        <v>451</v>
      </c>
      <c r="Y95" s="83">
        <f t="shared" si="15"/>
        <v>291.67199999999997</v>
      </c>
      <c r="Z95" s="83">
        <f t="shared" si="16"/>
        <v>421.30399999999997</v>
      </c>
      <c r="AA95" s="80" t="s">
        <v>451</v>
      </c>
      <c r="AB95" s="83" t="s">
        <v>475</v>
      </c>
      <c r="AC95" s="83" t="s">
        <v>476</v>
      </c>
      <c r="AD95" s="83" t="s">
        <v>477</v>
      </c>
      <c r="AE95" s="80" t="s">
        <v>452</v>
      </c>
    </row>
    <row r="96" spans="1:31" ht="30" customHeight="1">
      <c r="A96" s="55">
        <v>223.22</v>
      </c>
      <c r="B96" s="40">
        <f t="shared" si="0"/>
        <v>4</v>
      </c>
      <c r="C96" s="58" t="s">
        <v>139</v>
      </c>
      <c r="D96" s="41" t="str">
        <f>REPT("   ", B96*2) &amp; C96</f>
        <v xml:space="preserve">                        Rvacs (Intake Vessel)</v>
      </c>
      <c r="E96" s="41" t="s">
        <v>341</v>
      </c>
      <c r="F96" s="41"/>
      <c r="G96" s="47"/>
      <c r="H96" s="68"/>
      <c r="I96" s="63">
        <f>I95</f>
        <v>324.08</v>
      </c>
      <c r="J96" s="51" t="s">
        <v>174</v>
      </c>
      <c r="K96" s="61" t="s">
        <v>363</v>
      </c>
      <c r="L96" s="51"/>
      <c r="M96" s="51"/>
      <c r="N96" s="51"/>
      <c r="O96" s="68">
        <v>2017</v>
      </c>
      <c r="P96" s="51" t="s">
        <v>77</v>
      </c>
      <c r="Q96" s="61" t="s">
        <v>399</v>
      </c>
      <c r="R96" s="65" t="s">
        <v>350</v>
      </c>
      <c r="S96" s="51"/>
      <c r="T96" s="51"/>
      <c r="U96" s="80" t="s">
        <v>467</v>
      </c>
      <c r="V96" s="84">
        <f t="shared" si="13"/>
        <v>0</v>
      </c>
      <c r="W96" s="84">
        <f t="shared" si="14"/>
        <v>0</v>
      </c>
      <c r="X96" s="80" t="s">
        <v>451</v>
      </c>
      <c r="Y96" s="83">
        <f t="shared" si="15"/>
        <v>291.67199999999997</v>
      </c>
      <c r="Z96" s="83">
        <f t="shared" si="16"/>
        <v>421.30399999999997</v>
      </c>
      <c r="AA96" s="80" t="s">
        <v>451</v>
      </c>
      <c r="AB96" s="83" t="s">
        <v>475</v>
      </c>
      <c r="AC96" s="83" t="s">
        <v>476</v>
      </c>
      <c r="AD96" s="83" t="s">
        <v>477</v>
      </c>
      <c r="AE96" s="80" t="s">
        <v>452</v>
      </c>
    </row>
    <row r="97" spans="1:31" ht="30" customHeight="1">
      <c r="A97" s="55">
        <v>226</v>
      </c>
      <c r="B97" s="40">
        <f t="shared" si="0"/>
        <v>2</v>
      </c>
      <c r="C97" s="58" t="s">
        <v>208</v>
      </c>
      <c r="D97" s="41" t="str">
        <f>REPT("   ", B97*2) &amp; C97</f>
        <v xml:space="preserve">            Other Reactor Plant Equipment</v>
      </c>
      <c r="E97" s="41" t="s">
        <v>341</v>
      </c>
      <c r="F97" s="41" t="s">
        <v>351</v>
      </c>
      <c r="G97" s="47" t="s">
        <v>414</v>
      </c>
      <c r="H97" s="63">
        <f>MARVEL_Cost!C42</f>
        <v>456297</v>
      </c>
      <c r="I97" s="63"/>
      <c r="J97" s="51"/>
      <c r="K97" s="61"/>
      <c r="L97" s="51"/>
      <c r="M97" s="51"/>
      <c r="N97" s="51"/>
      <c r="O97" s="68">
        <v>2024</v>
      </c>
      <c r="P97" s="51" t="s">
        <v>74</v>
      </c>
      <c r="Q97" s="61" t="s">
        <v>364</v>
      </c>
      <c r="R97" s="51"/>
      <c r="S97" s="51"/>
      <c r="T97" s="51"/>
      <c r="U97" s="80" t="s">
        <v>467</v>
      </c>
      <c r="V97" s="84">
        <f t="shared" si="13"/>
        <v>410667.3</v>
      </c>
      <c r="W97" s="84">
        <f t="shared" si="14"/>
        <v>684445.5</v>
      </c>
      <c r="X97" s="80" t="s">
        <v>451</v>
      </c>
      <c r="Y97" s="83">
        <f t="shared" si="15"/>
        <v>0</v>
      </c>
      <c r="Z97" s="83">
        <f t="shared" si="16"/>
        <v>0</v>
      </c>
      <c r="AA97" s="80" t="s">
        <v>451</v>
      </c>
      <c r="AB97" s="83" t="s">
        <v>475</v>
      </c>
      <c r="AC97" s="83" t="s">
        <v>476</v>
      </c>
      <c r="AD97" s="83" t="s">
        <v>477</v>
      </c>
      <c r="AE97" s="80" t="s">
        <v>452</v>
      </c>
    </row>
    <row r="98" spans="1:31" ht="30" customHeight="1">
      <c r="A98" s="55">
        <v>226</v>
      </c>
      <c r="B98" s="40">
        <v>2</v>
      </c>
      <c r="C98" s="58" t="s">
        <v>208</v>
      </c>
      <c r="D98" s="41" t="str">
        <f>REPT("   ", B98*2) &amp; C98</f>
        <v xml:space="preserve">            Other Reactor Plant Equipment</v>
      </c>
      <c r="E98" s="41" t="s">
        <v>341</v>
      </c>
      <c r="F98" s="41" t="s">
        <v>351</v>
      </c>
      <c r="G98" s="47" t="s">
        <v>354</v>
      </c>
      <c r="H98" s="63"/>
      <c r="I98" s="63">
        <f>8844770/L98*8.15527886031535</f>
        <v>118207.77405377067</v>
      </c>
      <c r="J98" s="51" t="s">
        <v>413</v>
      </c>
      <c r="K98" s="61" t="s">
        <v>438</v>
      </c>
      <c r="L98" s="51">
        <v>610.21</v>
      </c>
      <c r="M98" s="51" t="s">
        <v>415</v>
      </c>
      <c r="N98" s="51">
        <v>0.6</v>
      </c>
      <c r="O98" s="68">
        <v>2023</v>
      </c>
      <c r="P98" s="51" t="s">
        <v>77</v>
      </c>
      <c r="Q98" s="61" t="s">
        <v>416</v>
      </c>
      <c r="R98" s="51" t="s">
        <v>417</v>
      </c>
      <c r="S98" s="78" t="s">
        <v>418</v>
      </c>
      <c r="T98" s="51" t="s">
        <v>419</v>
      </c>
      <c r="U98" s="80" t="s">
        <v>467</v>
      </c>
      <c r="V98" s="84">
        <f t="shared" si="13"/>
        <v>0</v>
      </c>
      <c r="W98" s="84">
        <f t="shared" si="14"/>
        <v>0</v>
      </c>
      <c r="X98" s="80" t="s">
        <v>451</v>
      </c>
      <c r="Y98" s="83">
        <f t="shared" si="15"/>
        <v>106386.9966483936</v>
      </c>
      <c r="Z98" s="83">
        <f t="shared" si="16"/>
        <v>153670.10626990188</v>
      </c>
      <c r="AA98" s="80" t="s">
        <v>451</v>
      </c>
      <c r="AB98" s="83" t="s">
        <v>475</v>
      </c>
      <c r="AC98" s="83" t="s">
        <v>476</v>
      </c>
      <c r="AD98" s="83" t="s">
        <v>477</v>
      </c>
      <c r="AE98" s="80" t="s">
        <v>452</v>
      </c>
    </row>
    <row r="99" spans="1:31" ht="51">
      <c r="A99" s="55">
        <v>227</v>
      </c>
      <c r="B99" s="40">
        <f t="shared" ref="B99:B141" si="37">IF(ISNUMBER(A99),
    IF(AND(A99=INT(A99), MOD(A99, 10) = 0), 0,
        IF(AND(A99=INT(A99), LEN(A99)=2), 1,
            IF(AND(A99=INT(A99), LEN(A99)=3), 2,
                LEN(A99) - FIND(".", A99) + 2)
        )
    ),
"")</f>
        <v>2</v>
      </c>
      <c r="C99" s="58" t="s">
        <v>20</v>
      </c>
      <c r="D99" s="41" t="str">
        <f t="shared" ref="D99:D141" si="38">REPT("   ", B99*2) &amp; C99</f>
        <v xml:space="preserve">            Reactor Instrumentation and Control (I&amp;C)</v>
      </c>
      <c r="E99" s="41" t="s">
        <v>341</v>
      </c>
      <c r="F99" s="41"/>
      <c r="G99" s="47"/>
      <c r="H99" s="63">
        <v>8500000</v>
      </c>
      <c r="I99" s="63"/>
      <c r="J99" s="51"/>
      <c r="K99" s="61"/>
      <c r="L99" s="51"/>
      <c r="M99" s="51"/>
      <c r="N99" s="51"/>
      <c r="O99" s="68">
        <v>2023</v>
      </c>
      <c r="P99" s="51" t="s">
        <v>85</v>
      </c>
      <c r="Q99" s="61" t="s">
        <v>420</v>
      </c>
      <c r="R99" s="61" t="s">
        <v>426</v>
      </c>
      <c r="S99" s="78" t="s">
        <v>421</v>
      </c>
      <c r="T99" s="51" t="s">
        <v>437</v>
      </c>
      <c r="U99" s="80" t="s">
        <v>467</v>
      </c>
      <c r="V99" s="84">
        <f t="shared" si="13"/>
        <v>7650000</v>
      </c>
      <c r="W99" s="84">
        <f t="shared" si="14"/>
        <v>12750000</v>
      </c>
      <c r="X99" s="80" t="s">
        <v>451</v>
      </c>
      <c r="Y99" s="83">
        <f t="shared" si="15"/>
        <v>0</v>
      </c>
      <c r="Z99" s="83">
        <f t="shared" si="16"/>
        <v>0</v>
      </c>
      <c r="AA99" s="80" t="s">
        <v>451</v>
      </c>
      <c r="AB99" s="83" t="s">
        <v>475</v>
      </c>
      <c r="AC99" s="83" t="s">
        <v>476</v>
      </c>
      <c r="AD99" s="83" t="s">
        <v>477</v>
      </c>
      <c r="AE99" s="80" t="s">
        <v>452</v>
      </c>
    </row>
    <row r="100" spans="1:31">
      <c r="A100" s="55">
        <v>228</v>
      </c>
      <c r="B100" s="40">
        <f t="shared" si="37"/>
        <v>2</v>
      </c>
      <c r="C100" s="58" t="s">
        <v>211</v>
      </c>
      <c r="D100" s="41" t="str">
        <f t="shared" si="38"/>
        <v xml:space="preserve">            Reactor Plant Miscellaneous Items</v>
      </c>
      <c r="E100" s="41" t="s">
        <v>341</v>
      </c>
      <c r="F100" s="41"/>
      <c r="G100" s="47"/>
      <c r="H100" s="63">
        <f>MARVEL_Cost!C44</f>
        <v>30960</v>
      </c>
      <c r="I100" s="63"/>
      <c r="J100" s="51"/>
      <c r="K100" s="61"/>
      <c r="L100" s="51"/>
      <c r="M100" s="51"/>
      <c r="N100" s="51"/>
      <c r="O100" s="68">
        <v>2024</v>
      </c>
      <c r="P100" s="51" t="s">
        <v>77</v>
      </c>
      <c r="Q100" s="61" t="s">
        <v>364</v>
      </c>
      <c r="R100" s="51"/>
      <c r="S100" s="51"/>
      <c r="T100" s="51"/>
      <c r="U100" s="80" t="s">
        <v>467</v>
      </c>
      <c r="V100" s="84">
        <f t="shared" si="13"/>
        <v>27864</v>
      </c>
      <c r="W100" s="84">
        <f t="shared" si="14"/>
        <v>46440</v>
      </c>
      <c r="X100" s="80" t="s">
        <v>451</v>
      </c>
      <c r="Y100" s="83">
        <f t="shared" si="15"/>
        <v>0</v>
      </c>
      <c r="Z100" s="83">
        <f t="shared" si="16"/>
        <v>0</v>
      </c>
      <c r="AA100" s="80" t="s">
        <v>451</v>
      </c>
      <c r="AB100" s="83" t="s">
        <v>475</v>
      </c>
      <c r="AC100" s="83" t="s">
        <v>476</v>
      </c>
      <c r="AD100" s="83" t="s">
        <v>477</v>
      </c>
      <c r="AE100" s="80" t="s">
        <v>452</v>
      </c>
    </row>
    <row r="101" spans="1:31">
      <c r="A101" s="39">
        <v>23</v>
      </c>
      <c r="B101" s="40">
        <f t="shared" si="37"/>
        <v>1</v>
      </c>
      <c r="C101" s="58" t="s">
        <v>21</v>
      </c>
      <c r="D101" s="41" t="str">
        <f t="shared" si="38"/>
        <v xml:space="preserve">      Energy Conversion System </v>
      </c>
      <c r="E101" s="41"/>
      <c r="F101" s="41"/>
      <c r="G101" s="47"/>
      <c r="H101" s="68"/>
      <c r="I101" s="63"/>
      <c r="J101" s="51"/>
      <c r="K101" s="61"/>
      <c r="L101" s="51"/>
      <c r="M101" s="51"/>
      <c r="N101" s="51"/>
      <c r="O101" s="68"/>
      <c r="P101" s="51"/>
      <c r="Q101" s="61"/>
      <c r="R101" s="51"/>
      <c r="S101" s="51"/>
      <c r="T101" s="51"/>
      <c r="U101" s="80"/>
      <c r="V101" s="84"/>
      <c r="W101" s="84"/>
      <c r="X101" s="80"/>
      <c r="Y101" s="83"/>
      <c r="Z101" s="83"/>
      <c r="AA101" s="80"/>
      <c r="AB101" s="83"/>
      <c r="AC101" s="83"/>
      <c r="AD101" s="83"/>
      <c r="AE101" s="80"/>
    </row>
    <row r="102" spans="1:31">
      <c r="A102" s="55">
        <v>232</v>
      </c>
      <c r="B102" s="40">
        <f t="shared" si="37"/>
        <v>2</v>
      </c>
      <c r="C102" s="58" t="s">
        <v>22</v>
      </c>
      <c r="D102" s="41" t="str">
        <f t="shared" si="38"/>
        <v xml:space="preserve">            Energy Applications</v>
      </c>
      <c r="E102" s="41"/>
      <c r="F102" s="41"/>
      <c r="G102" s="47"/>
      <c r="H102" s="68"/>
      <c r="I102" s="63"/>
      <c r="J102" s="51"/>
      <c r="K102" s="61"/>
      <c r="L102" s="51"/>
      <c r="M102" s="51"/>
      <c r="N102" s="51"/>
      <c r="O102" s="68"/>
      <c r="P102" s="51"/>
      <c r="Q102" s="61"/>
      <c r="R102" s="51"/>
      <c r="S102" s="51"/>
      <c r="T102" s="51"/>
      <c r="U102" s="80"/>
      <c r="V102" s="84"/>
      <c r="W102" s="84"/>
      <c r="X102" s="80"/>
      <c r="Y102" s="83"/>
      <c r="Z102" s="83"/>
      <c r="AA102" s="80"/>
      <c r="AB102" s="83"/>
      <c r="AC102" s="83"/>
      <c r="AD102" s="83"/>
      <c r="AE102" s="80"/>
    </row>
    <row r="103" spans="1:31">
      <c r="A103" s="55">
        <v>232.1</v>
      </c>
      <c r="B103" s="40">
        <f t="shared" si="37"/>
        <v>3</v>
      </c>
      <c r="C103" s="58" t="s">
        <v>213</v>
      </c>
      <c r="D103" s="41" t="str">
        <f>REPT("   ", B103*2) &amp; C103</f>
        <v xml:space="preserve">                  Electricity Generation Systems</v>
      </c>
      <c r="E103" s="41" t="s">
        <v>341</v>
      </c>
      <c r="F103" s="41"/>
      <c r="G103" s="47"/>
      <c r="H103" s="68"/>
      <c r="I103" s="70">
        <v>12504</v>
      </c>
      <c r="J103" s="51" t="s">
        <v>422</v>
      </c>
      <c r="K103" s="47" t="s">
        <v>443</v>
      </c>
      <c r="L103" s="51">
        <v>1</v>
      </c>
      <c r="M103" s="51"/>
      <c r="N103" s="47">
        <v>0.77700000000000002</v>
      </c>
      <c r="O103" s="68">
        <v>2023</v>
      </c>
      <c r="P103" s="51" t="s">
        <v>77</v>
      </c>
      <c r="Q103" s="61" t="s">
        <v>423</v>
      </c>
      <c r="R103" s="61" t="s">
        <v>423</v>
      </c>
      <c r="S103" s="78" t="s">
        <v>424</v>
      </c>
      <c r="T103" s="51"/>
      <c r="U103" s="80" t="s">
        <v>467</v>
      </c>
      <c r="V103" s="84">
        <f t="shared" si="13"/>
        <v>0</v>
      </c>
      <c r="W103" s="84">
        <f t="shared" si="14"/>
        <v>0</v>
      </c>
      <c r="X103" s="80" t="s">
        <v>451</v>
      </c>
      <c r="Y103" s="83">
        <f t="shared" si="15"/>
        <v>11253.6</v>
      </c>
      <c r="Z103" s="83">
        <f t="shared" si="16"/>
        <v>16255.2</v>
      </c>
      <c r="AA103" s="80" t="s">
        <v>451</v>
      </c>
      <c r="AB103" s="83" t="s">
        <v>475</v>
      </c>
      <c r="AC103" s="83" t="s">
        <v>476</v>
      </c>
      <c r="AD103" s="83" t="s">
        <v>477</v>
      </c>
      <c r="AE103" s="80" t="s">
        <v>452</v>
      </c>
    </row>
    <row r="104" spans="1:31" ht="51">
      <c r="A104" s="55">
        <v>236</v>
      </c>
      <c r="B104" s="40">
        <f t="shared" si="37"/>
        <v>2</v>
      </c>
      <c r="C104" s="58" t="s">
        <v>425</v>
      </c>
      <c r="D104" s="41" t="str">
        <f>REPT("   ", B104*2) &amp; C104</f>
        <v xml:space="preserve">            Common Instrumentation &amp; Controls</v>
      </c>
      <c r="E104" s="41" t="s">
        <v>341</v>
      </c>
      <c r="F104" s="41"/>
      <c r="G104" s="47"/>
      <c r="H104" s="70">
        <v>1000000</v>
      </c>
      <c r="I104" s="70"/>
      <c r="J104" s="51"/>
      <c r="K104" s="47"/>
      <c r="L104" s="51"/>
      <c r="M104" s="51"/>
      <c r="N104" s="47"/>
      <c r="O104" s="68">
        <v>2023</v>
      </c>
      <c r="P104" s="51" t="s">
        <v>77</v>
      </c>
      <c r="Q104" s="61" t="s">
        <v>420</v>
      </c>
      <c r="R104" s="61" t="s">
        <v>426</v>
      </c>
      <c r="S104" s="78" t="s">
        <v>421</v>
      </c>
      <c r="T104" s="51"/>
      <c r="U104" s="80" t="s">
        <v>467</v>
      </c>
      <c r="V104" s="84">
        <f t="shared" si="13"/>
        <v>900000</v>
      </c>
      <c r="W104" s="84">
        <f t="shared" si="14"/>
        <v>1500000</v>
      </c>
      <c r="X104" s="80" t="s">
        <v>470</v>
      </c>
      <c r="Y104" s="83">
        <f t="shared" si="15"/>
        <v>0</v>
      </c>
      <c r="Z104" s="83">
        <f t="shared" si="16"/>
        <v>0</v>
      </c>
      <c r="AA104" s="80" t="s">
        <v>470</v>
      </c>
      <c r="AB104" s="83" t="s">
        <v>470</v>
      </c>
      <c r="AC104" s="83" t="s">
        <v>470</v>
      </c>
      <c r="AD104" s="83" t="s">
        <v>470</v>
      </c>
      <c r="AE104" s="80" t="s">
        <v>470</v>
      </c>
    </row>
    <row r="105" spans="1:31">
      <c r="A105" s="39">
        <v>24</v>
      </c>
      <c r="B105" s="40">
        <f t="shared" si="37"/>
        <v>1</v>
      </c>
      <c r="C105" s="58" t="s">
        <v>23</v>
      </c>
      <c r="D105" s="41" t="str">
        <f t="shared" si="38"/>
        <v xml:space="preserve">      Electrical Equipment</v>
      </c>
      <c r="E105" s="41"/>
      <c r="F105" s="41"/>
      <c r="G105" s="47"/>
      <c r="H105" s="68"/>
      <c r="I105" s="63"/>
      <c r="J105" s="51"/>
      <c r="K105" s="61"/>
      <c r="L105" s="51"/>
      <c r="M105" s="51"/>
      <c r="N105" s="51"/>
      <c r="O105" s="68"/>
      <c r="P105" s="51"/>
      <c r="Q105" s="61"/>
      <c r="R105" s="51"/>
      <c r="S105" s="51"/>
      <c r="T105" s="51"/>
      <c r="U105" s="80"/>
      <c r="V105" s="84"/>
      <c r="W105" s="84"/>
      <c r="X105" s="80"/>
      <c r="Y105" s="83"/>
      <c r="Z105" s="83"/>
      <c r="AA105" s="80"/>
      <c r="AB105" s="83"/>
      <c r="AC105" s="83"/>
      <c r="AD105" s="83"/>
      <c r="AE105" s="80"/>
    </row>
    <row r="106" spans="1:31">
      <c r="A106" s="39">
        <v>241</v>
      </c>
      <c r="B106" s="40">
        <f t="shared" si="37"/>
        <v>2</v>
      </c>
      <c r="C106" s="79" t="s">
        <v>428</v>
      </c>
      <c r="D106" s="41" t="str">
        <f t="shared" si="38"/>
        <v xml:space="preserve">            Switchgear</v>
      </c>
      <c r="E106" s="41" t="s">
        <v>341</v>
      </c>
      <c r="F106" s="41"/>
      <c r="G106" s="47"/>
      <c r="H106" s="68"/>
      <c r="I106" s="63">
        <f>14424707.2061682/L106</f>
        <v>12609.009795601574</v>
      </c>
      <c r="J106" s="51" t="s">
        <v>67</v>
      </c>
      <c r="K106" s="47" t="s">
        <v>71</v>
      </c>
      <c r="L106" s="51">
        <v>1144</v>
      </c>
      <c r="M106" s="51" t="s">
        <v>69</v>
      </c>
      <c r="N106" s="47">
        <v>0.6</v>
      </c>
      <c r="O106" s="68">
        <v>2018</v>
      </c>
      <c r="P106" s="51" t="s">
        <v>77</v>
      </c>
      <c r="Q106" s="92" t="s">
        <v>427</v>
      </c>
      <c r="R106" s="92" t="s">
        <v>365</v>
      </c>
      <c r="S106" s="51"/>
      <c r="T106" s="51"/>
      <c r="U106" s="80" t="s">
        <v>467</v>
      </c>
      <c r="V106" s="84">
        <f t="shared" si="13"/>
        <v>0</v>
      </c>
      <c r="W106" s="84">
        <f t="shared" si="14"/>
        <v>0</v>
      </c>
      <c r="X106" s="80" t="s">
        <v>470</v>
      </c>
      <c r="Y106" s="83">
        <f t="shared" si="15"/>
        <v>11348.108816041417</v>
      </c>
      <c r="Z106" s="83">
        <f t="shared" si="16"/>
        <v>16391.712734282046</v>
      </c>
      <c r="AA106" s="80" t="s">
        <v>470</v>
      </c>
      <c r="AB106" s="83" t="s">
        <v>470</v>
      </c>
      <c r="AC106" s="83" t="s">
        <v>470</v>
      </c>
      <c r="AD106" s="83" t="s">
        <v>470</v>
      </c>
      <c r="AE106" s="80" t="s">
        <v>470</v>
      </c>
    </row>
    <row r="107" spans="1:31">
      <c r="A107" s="39">
        <v>242</v>
      </c>
      <c r="B107" s="40">
        <f t="shared" si="37"/>
        <v>2</v>
      </c>
      <c r="C107" s="79" t="s">
        <v>429</v>
      </c>
      <c r="D107" s="41" t="str">
        <f t="shared" si="38"/>
        <v xml:space="preserve">            Station Service Equipment</v>
      </c>
      <c r="E107" s="41" t="s">
        <v>341</v>
      </c>
      <c r="F107" s="41"/>
      <c r="G107" s="47"/>
      <c r="H107" s="68"/>
      <c r="I107" s="63">
        <f>11992641.3775456/L106</f>
        <v>10483.078127225175</v>
      </c>
      <c r="J107" s="51" t="s">
        <v>67</v>
      </c>
      <c r="K107" s="47" t="s">
        <v>71</v>
      </c>
      <c r="L107" s="51">
        <v>1144</v>
      </c>
      <c r="M107" s="51" t="s">
        <v>69</v>
      </c>
      <c r="N107" s="47">
        <v>0.6</v>
      </c>
      <c r="O107" s="68">
        <v>2018</v>
      </c>
      <c r="P107" s="51" t="s">
        <v>77</v>
      </c>
      <c r="Q107" s="92"/>
      <c r="R107" s="92"/>
      <c r="S107" s="51"/>
      <c r="T107" s="51"/>
      <c r="U107" s="80" t="s">
        <v>467</v>
      </c>
      <c r="V107" s="84">
        <f t="shared" si="13"/>
        <v>0</v>
      </c>
      <c r="W107" s="84">
        <f t="shared" si="14"/>
        <v>0</v>
      </c>
      <c r="X107" s="80" t="s">
        <v>470</v>
      </c>
      <c r="Y107" s="83">
        <f t="shared" si="15"/>
        <v>9434.7703145026571</v>
      </c>
      <c r="Z107" s="83">
        <f t="shared" si="16"/>
        <v>13628.001565392728</v>
      </c>
      <c r="AA107" s="80" t="s">
        <v>470</v>
      </c>
      <c r="AB107" s="83" t="s">
        <v>470</v>
      </c>
      <c r="AC107" s="83" t="s">
        <v>470</v>
      </c>
      <c r="AD107" s="83" t="s">
        <v>470</v>
      </c>
      <c r="AE107" s="80" t="s">
        <v>470</v>
      </c>
    </row>
    <row r="108" spans="1:31">
      <c r="A108" s="39">
        <v>243</v>
      </c>
      <c r="B108" s="40">
        <f t="shared" si="37"/>
        <v>2</v>
      </c>
      <c r="C108" s="79" t="s">
        <v>430</v>
      </c>
      <c r="D108" s="41" t="str">
        <f t="shared" si="38"/>
        <v xml:space="preserve">            Switchboards</v>
      </c>
      <c r="E108" s="41" t="s">
        <v>341</v>
      </c>
      <c r="F108" s="41"/>
      <c r="G108" s="47"/>
      <c r="H108" s="68"/>
      <c r="I108" s="63">
        <f>3894246.37400843/L106</f>
        <v>3404.0615157416346</v>
      </c>
      <c r="J108" s="51" t="s">
        <v>67</v>
      </c>
      <c r="K108" s="47" t="s">
        <v>71</v>
      </c>
      <c r="L108" s="51">
        <v>1144</v>
      </c>
      <c r="M108" s="51" t="s">
        <v>69</v>
      </c>
      <c r="N108" s="47">
        <v>0.6</v>
      </c>
      <c r="O108" s="68">
        <v>2018</v>
      </c>
      <c r="P108" s="51" t="s">
        <v>77</v>
      </c>
      <c r="Q108" s="92"/>
      <c r="R108" s="92"/>
      <c r="S108" s="51"/>
      <c r="T108" s="51"/>
      <c r="U108" s="80" t="s">
        <v>467</v>
      </c>
      <c r="V108" s="84">
        <f t="shared" si="13"/>
        <v>0</v>
      </c>
      <c r="W108" s="84">
        <f t="shared" si="14"/>
        <v>0</v>
      </c>
      <c r="X108" s="80" t="s">
        <v>470</v>
      </c>
      <c r="Y108" s="83">
        <f t="shared" si="15"/>
        <v>3063.6553641674714</v>
      </c>
      <c r="Z108" s="83">
        <f t="shared" si="16"/>
        <v>4425.2799704641247</v>
      </c>
      <c r="AA108" s="80" t="s">
        <v>470</v>
      </c>
      <c r="AB108" s="83" t="s">
        <v>470</v>
      </c>
      <c r="AC108" s="83" t="s">
        <v>470</v>
      </c>
      <c r="AD108" s="83" t="s">
        <v>470</v>
      </c>
      <c r="AE108" s="80" t="s">
        <v>470</v>
      </c>
    </row>
    <row r="109" spans="1:31">
      <c r="A109" s="39">
        <v>244</v>
      </c>
      <c r="B109" s="40">
        <f t="shared" si="37"/>
        <v>2</v>
      </c>
      <c r="C109" s="79" t="s">
        <v>431</v>
      </c>
      <c r="D109" s="41" t="str">
        <f t="shared" si="38"/>
        <v xml:space="preserve">            Protective Equipment</v>
      </c>
      <c r="E109" s="41" t="s">
        <v>341</v>
      </c>
      <c r="F109" s="41"/>
      <c r="G109" s="47"/>
      <c r="H109" s="68"/>
      <c r="I109" s="63">
        <f>11183911.9256997/L106</f>
        <v>9776.1467881990375</v>
      </c>
      <c r="J109" s="51" t="s">
        <v>67</v>
      </c>
      <c r="K109" s="47" t="s">
        <v>71</v>
      </c>
      <c r="L109" s="51">
        <v>1144</v>
      </c>
      <c r="M109" s="51" t="s">
        <v>69</v>
      </c>
      <c r="N109" s="47">
        <v>0.6</v>
      </c>
      <c r="O109" s="68">
        <v>2018</v>
      </c>
      <c r="P109" s="51" t="s">
        <v>77</v>
      </c>
      <c r="Q109" s="92"/>
      <c r="R109" s="92"/>
      <c r="S109" s="51"/>
      <c r="T109" s="51"/>
      <c r="U109" s="80" t="s">
        <v>467</v>
      </c>
      <c r="V109" s="84">
        <f t="shared" si="13"/>
        <v>0</v>
      </c>
      <c r="W109" s="84">
        <f t="shared" si="14"/>
        <v>0</v>
      </c>
      <c r="X109" s="80" t="s">
        <v>470</v>
      </c>
      <c r="Y109" s="83">
        <f t="shared" si="15"/>
        <v>8798.5321093791335</v>
      </c>
      <c r="Z109" s="83">
        <f t="shared" si="16"/>
        <v>12708.990824658749</v>
      </c>
      <c r="AA109" s="80" t="s">
        <v>470</v>
      </c>
      <c r="AB109" s="83" t="s">
        <v>470</v>
      </c>
      <c r="AC109" s="83" t="s">
        <v>470</v>
      </c>
      <c r="AD109" s="83" t="s">
        <v>470</v>
      </c>
      <c r="AE109" s="80" t="s">
        <v>470</v>
      </c>
    </row>
    <row r="110" spans="1:31" ht="25.5">
      <c r="A110" s="39">
        <v>245</v>
      </c>
      <c r="B110" s="40">
        <f t="shared" si="37"/>
        <v>2</v>
      </c>
      <c r="C110" s="79" t="s">
        <v>432</v>
      </c>
      <c r="D110" s="41" t="str">
        <f t="shared" si="38"/>
        <v xml:space="preserve">            Electrical Structure &amp; Wiring Container</v>
      </c>
      <c r="E110" s="41" t="s">
        <v>341</v>
      </c>
      <c r="F110" s="41"/>
      <c r="G110" s="47"/>
      <c r="H110" s="68"/>
      <c r="I110" s="63">
        <f>60312483.673456/L106</f>
        <v>52720.70251176224</v>
      </c>
      <c r="J110" s="51" t="s">
        <v>67</v>
      </c>
      <c r="K110" s="47" t="s">
        <v>71</v>
      </c>
      <c r="L110" s="51">
        <v>1144</v>
      </c>
      <c r="M110" s="51" t="s">
        <v>69</v>
      </c>
      <c r="N110" s="47">
        <v>0.6</v>
      </c>
      <c r="O110" s="68">
        <v>2018</v>
      </c>
      <c r="P110" s="51" t="s">
        <v>77</v>
      </c>
      <c r="Q110" s="92"/>
      <c r="R110" s="92"/>
      <c r="S110" s="51"/>
      <c r="T110" s="51"/>
      <c r="U110" s="80" t="s">
        <v>467</v>
      </c>
      <c r="V110" s="84">
        <f t="shared" si="13"/>
        <v>0</v>
      </c>
      <c r="W110" s="84">
        <f t="shared" si="14"/>
        <v>0</v>
      </c>
      <c r="X110" s="80" t="s">
        <v>470</v>
      </c>
      <c r="Y110" s="83">
        <f t="shared" si="15"/>
        <v>47448.632260586019</v>
      </c>
      <c r="Z110" s="83">
        <f t="shared" si="16"/>
        <v>68536.913265290917</v>
      </c>
      <c r="AA110" s="80" t="s">
        <v>470</v>
      </c>
      <c r="AB110" s="83" t="s">
        <v>470</v>
      </c>
      <c r="AC110" s="83" t="s">
        <v>470</v>
      </c>
      <c r="AD110" s="83" t="s">
        <v>470</v>
      </c>
      <c r="AE110" s="80" t="s">
        <v>470</v>
      </c>
    </row>
    <row r="111" spans="1:31">
      <c r="A111" s="39">
        <v>256</v>
      </c>
      <c r="B111" s="40">
        <f t="shared" si="37"/>
        <v>2</v>
      </c>
      <c r="C111" s="79" t="s">
        <v>433</v>
      </c>
      <c r="D111" s="41" t="str">
        <f t="shared" si="38"/>
        <v xml:space="preserve">            Power &amp; Control Wiring</v>
      </c>
      <c r="E111" s="41" t="s">
        <v>341</v>
      </c>
      <c r="F111" s="41"/>
      <c r="G111" s="47"/>
      <c r="H111" s="68"/>
      <c r="I111" s="63">
        <f>45613077.4753702/L106</f>
        <v>39871.571219729194</v>
      </c>
      <c r="J111" s="51" t="s">
        <v>67</v>
      </c>
      <c r="K111" s="47" t="s">
        <v>71</v>
      </c>
      <c r="L111" s="51">
        <v>1144</v>
      </c>
      <c r="M111" s="51" t="s">
        <v>69</v>
      </c>
      <c r="N111" s="47">
        <v>0.6</v>
      </c>
      <c r="O111" s="68">
        <v>2018</v>
      </c>
      <c r="P111" s="51" t="s">
        <v>77</v>
      </c>
      <c r="Q111" s="92"/>
      <c r="R111" s="92"/>
      <c r="S111" s="51"/>
      <c r="T111" s="51"/>
      <c r="U111" s="80" t="s">
        <v>467</v>
      </c>
      <c r="V111" s="84">
        <f t="shared" si="13"/>
        <v>0</v>
      </c>
      <c r="W111" s="84">
        <f t="shared" si="14"/>
        <v>0</v>
      </c>
      <c r="X111" s="80" t="s">
        <v>470</v>
      </c>
      <c r="Y111" s="83">
        <f t="shared" si="15"/>
        <v>35884.414097756278</v>
      </c>
      <c r="Z111" s="83">
        <f t="shared" si="16"/>
        <v>51833.042585647956</v>
      </c>
      <c r="AA111" s="80" t="s">
        <v>470</v>
      </c>
      <c r="AB111" s="83" t="s">
        <v>470</v>
      </c>
      <c r="AC111" s="83" t="s">
        <v>470</v>
      </c>
      <c r="AD111" s="83" t="s">
        <v>470</v>
      </c>
      <c r="AE111" s="80" t="s">
        <v>470</v>
      </c>
    </row>
    <row r="112" spans="1:31">
      <c r="A112" s="39">
        <v>25</v>
      </c>
      <c r="B112" s="40">
        <f t="shared" si="37"/>
        <v>1</v>
      </c>
      <c r="C112" s="58" t="s">
        <v>24</v>
      </c>
      <c r="D112" s="41" t="str">
        <f t="shared" si="38"/>
        <v xml:space="preserve">      Initial Fuel Inventory</v>
      </c>
      <c r="E112" s="41"/>
      <c r="F112" s="41"/>
      <c r="G112" s="47"/>
      <c r="H112" s="68"/>
      <c r="I112" s="63"/>
      <c r="J112" s="51"/>
      <c r="K112" s="61"/>
      <c r="L112" s="51"/>
      <c r="M112" s="51"/>
      <c r="N112" s="51"/>
      <c r="O112" s="68"/>
      <c r="P112" s="51"/>
      <c r="Q112" s="61"/>
      <c r="R112" s="51"/>
      <c r="S112" s="51"/>
      <c r="T112" s="51"/>
      <c r="U112" s="80"/>
      <c r="V112" s="84"/>
      <c r="W112" s="84"/>
      <c r="X112" s="80"/>
      <c r="Y112" s="83"/>
      <c r="Z112" s="83"/>
      <c r="AA112" s="80"/>
      <c r="AB112" s="83"/>
      <c r="AC112" s="83"/>
      <c r="AD112" s="83"/>
      <c r="AE112" s="80"/>
    </row>
    <row r="113" spans="1:31" ht="16.149999999999999" customHeight="1">
      <c r="A113" s="55">
        <v>251</v>
      </c>
      <c r="B113" s="40">
        <f t="shared" si="37"/>
        <v>2</v>
      </c>
      <c r="C113" s="58" t="s">
        <v>25</v>
      </c>
      <c r="D113" s="41" t="str">
        <f t="shared" si="38"/>
        <v xml:space="preserve">            First Core Mining</v>
      </c>
      <c r="E113" s="41" t="s">
        <v>341</v>
      </c>
      <c r="F113" s="41"/>
      <c r="G113" s="47"/>
      <c r="H113" s="68"/>
      <c r="I113" s="68">
        <v>184</v>
      </c>
      <c r="J113" s="51" t="s">
        <v>174</v>
      </c>
      <c r="K113" s="47" t="s">
        <v>367</v>
      </c>
      <c r="L113" s="51"/>
      <c r="M113" s="51"/>
      <c r="N113" s="51"/>
      <c r="O113" s="68">
        <v>2022</v>
      </c>
      <c r="P113" s="51" t="s">
        <v>73</v>
      </c>
      <c r="Q113" s="87" t="s">
        <v>369</v>
      </c>
      <c r="R113" s="87" t="s">
        <v>370</v>
      </c>
      <c r="S113" s="51"/>
      <c r="T113" s="51"/>
      <c r="U113" s="80" t="s">
        <v>468</v>
      </c>
      <c r="V113" s="84">
        <f t="shared" si="13"/>
        <v>0</v>
      </c>
      <c r="W113" s="84">
        <f t="shared" si="14"/>
        <v>0</v>
      </c>
      <c r="X113" s="80" t="s">
        <v>451</v>
      </c>
      <c r="Y113" s="83">
        <f t="shared" si="15"/>
        <v>165.6</v>
      </c>
      <c r="Z113" s="83">
        <f t="shared" si="16"/>
        <v>239.20000000000002</v>
      </c>
      <c r="AA113" s="80" t="s">
        <v>451</v>
      </c>
      <c r="AB113" s="83" t="s">
        <v>475</v>
      </c>
      <c r="AC113" s="83" t="s">
        <v>476</v>
      </c>
      <c r="AD113" s="83" t="s">
        <v>477</v>
      </c>
      <c r="AE113" s="80" t="s">
        <v>452</v>
      </c>
    </row>
    <row r="114" spans="1:31">
      <c r="A114" s="55">
        <v>252</v>
      </c>
      <c r="B114" s="40">
        <f t="shared" si="37"/>
        <v>2</v>
      </c>
      <c r="C114" s="58" t="s">
        <v>26</v>
      </c>
      <c r="D114" s="41" t="str">
        <f t="shared" si="38"/>
        <v xml:space="preserve">            First Core Conversion </v>
      </c>
      <c r="E114" s="41" t="s">
        <v>341</v>
      </c>
      <c r="F114" s="41"/>
      <c r="G114" s="47"/>
      <c r="H114" s="68"/>
      <c r="I114" s="68">
        <v>15.1</v>
      </c>
      <c r="J114" s="51" t="s">
        <v>174</v>
      </c>
      <c r="K114" s="47" t="s">
        <v>367</v>
      </c>
      <c r="L114" s="51"/>
      <c r="M114" s="51"/>
      <c r="N114" s="51"/>
      <c r="O114" s="68">
        <v>2022</v>
      </c>
      <c r="P114" s="51" t="s">
        <v>73</v>
      </c>
      <c r="Q114" s="87"/>
      <c r="R114" s="87"/>
      <c r="S114" s="51"/>
      <c r="T114" s="51"/>
      <c r="U114" s="80" t="s">
        <v>468</v>
      </c>
      <c r="V114" s="84">
        <f t="shared" si="13"/>
        <v>0</v>
      </c>
      <c r="W114" s="84">
        <f t="shared" si="14"/>
        <v>0</v>
      </c>
      <c r="X114" s="80" t="s">
        <v>451</v>
      </c>
      <c r="Y114" s="83">
        <f t="shared" si="15"/>
        <v>13.59</v>
      </c>
      <c r="Z114" s="83">
        <f t="shared" si="16"/>
        <v>19.63</v>
      </c>
      <c r="AA114" s="80" t="s">
        <v>451</v>
      </c>
      <c r="AB114" s="83" t="s">
        <v>475</v>
      </c>
      <c r="AC114" s="83" t="s">
        <v>476</v>
      </c>
      <c r="AD114" s="83" t="s">
        <v>477</v>
      </c>
      <c r="AE114" s="80" t="s">
        <v>452</v>
      </c>
    </row>
    <row r="115" spans="1:31">
      <c r="A115" s="55">
        <v>253</v>
      </c>
      <c r="B115" s="40">
        <f t="shared" si="37"/>
        <v>2</v>
      </c>
      <c r="C115" s="58" t="s">
        <v>27</v>
      </c>
      <c r="D115" s="41" t="str">
        <f t="shared" si="38"/>
        <v xml:space="preserve">            First Core Enrichment </v>
      </c>
      <c r="E115" s="41" t="s">
        <v>342</v>
      </c>
      <c r="F115" s="41"/>
      <c r="G115" s="47"/>
      <c r="H115" s="68"/>
      <c r="I115" s="68">
        <v>184.2</v>
      </c>
      <c r="J115" s="51" t="s">
        <v>366</v>
      </c>
      <c r="K115" s="61" t="s">
        <v>368</v>
      </c>
      <c r="L115" s="51"/>
      <c r="M115" s="51"/>
      <c r="N115" s="51">
        <v>1</v>
      </c>
      <c r="O115" s="68">
        <v>2022</v>
      </c>
      <c r="P115" s="51" t="s">
        <v>73</v>
      </c>
      <c r="Q115" s="87"/>
      <c r="R115" s="87"/>
      <c r="S115" s="51"/>
      <c r="T115" s="51"/>
      <c r="U115" s="80" t="s">
        <v>468</v>
      </c>
      <c r="V115" s="84">
        <f t="shared" si="13"/>
        <v>0</v>
      </c>
      <c r="W115" s="84">
        <f t="shared" si="14"/>
        <v>0</v>
      </c>
      <c r="X115" s="80" t="s">
        <v>451</v>
      </c>
      <c r="Y115" s="83">
        <f t="shared" si="15"/>
        <v>165.78</v>
      </c>
      <c r="Z115" s="83">
        <f t="shared" si="16"/>
        <v>239.45999999999998</v>
      </c>
      <c r="AA115" s="80" t="s">
        <v>451</v>
      </c>
      <c r="AB115" s="83" t="s">
        <v>475</v>
      </c>
      <c r="AC115" s="83" t="s">
        <v>476</v>
      </c>
      <c r="AD115" s="83" t="s">
        <v>477</v>
      </c>
      <c r="AE115" s="80" t="s">
        <v>452</v>
      </c>
    </row>
    <row r="116" spans="1:31" ht="25.5">
      <c r="A116" s="55">
        <v>254</v>
      </c>
      <c r="B116" s="40">
        <f t="shared" si="37"/>
        <v>2</v>
      </c>
      <c r="C116" s="58" t="s">
        <v>28</v>
      </c>
      <c r="D116" s="41" t="str">
        <f t="shared" si="38"/>
        <v xml:space="preserve">            First Core Fuel Assembly Fabrication </v>
      </c>
      <c r="E116" s="41" t="s">
        <v>341</v>
      </c>
      <c r="F116" s="41" t="s">
        <v>372</v>
      </c>
      <c r="G116" s="47" t="s">
        <v>373</v>
      </c>
      <c r="H116" s="68"/>
      <c r="I116" s="68">
        <v>1520</v>
      </c>
      <c r="J116" s="51" t="s">
        <v>174</v>
      </c>
      <c r="K116" s="61" t="s">
        <v>371</v>
      </c>
      <c r="L116" s="51"/>
      <c r="M116" s="51"/>
      <c r="N116" s="51"/>
      <c r="O116" s="68">
        <v>2023</v>
      </c>
      <c r="P116" s="51" t="s">
        <v>73</v>
      </c>
      <c r="Q116" s="87"/>
      <c r="R116" s="87"/>
      <c r="S116" s="51"/>
      <c r="T116" s="51"/>
      <c r="U116" s="80" t="s">
        <v>467</v>
      </c>
      <c r="V116" s="84">
        <f t="shared" si="13"/>
        <v>0</v>
      </c>
      <c r="W116" s="84">
        <f t="shared" si="14"/>
        <v>0</v>
      </c>
      <c r="X116" s="80" t="s">
        <v>451</v>
      </c>
      <c r="Y116" s="83">
        <f t="shared" si="15"/>
        <v>1368</v>
      </c>
      <c r="Z116" s="83">
        <f t="shared" si="16"/>
        <v>1976</v>
      </c>
      <c r="AA116" s="80" t="s">
        <v>451</v>
      </c>
      <c r="AB116" s="83" t="s">
        <v>475</v>
      </c>
      <c r="AC116" s="83" t="s">
        <v>476</v>
      </c>
      <c r="AD116" s="83" t="s">
        <v>477</v>
      </c>
      <c r="AE116" s="80" t="s">
        <v>452</v>
      </c>
    </row>
    <row r="117" spans="1:31" ht="25.5">
      <c r="A117" s="55">
        <v>254</v>
      </c>
      <c r="B117" s="40">
        <f t="shared" ref="B117" si="39">IF(ISNUMBER(A117),
    IF(AND(A117=INT(A117), MOD(A117, 10) = 0), 0,
        IF(AND(A117=INT(A117), LEN(A117)=2), 1,
            IF(AND(A117=INT(A117), LEN(A117)=3), 2,
                LEN(A117) - FIND(".", A117) + 2)
        )
    ),
"")</f>
        <v>2</v>
      </c>
      <c r="C117" s="58" t="s">
        <v>28</v>
      </c>
      <c r="D117" s="41" t="str">
        <f t="shared" ref="D117" si="40">REPT("   ", B117*2) &amp; C117</f>
        <v xml:space="preserve">            First Core Fuel Assembly Fabrication </v>
      </c>
      <c r="E117" s="41" t="s">
        <v>341</v>
      </c>
      <c r="F117" s="41" t="s">
        <v>372</v>
      </c>
      <c r="G117" s="47" t="s">
        <v>355</v>
      </c>
      <c r="H117" s="68"/>
      <c r="I117" s="68">
        <v>10000</v>
      </c>
      <c r="J117" s="51" t="s">
        <v>174</v>
      </c>
      <c r="K117" s="61" t="s">
        <v>371</v>
      </c>
      <c r="L117" s="51"/>
      <c r="M117" s="51"/>
      <c r="N117" s="51"/>
      <c r="O117" s="68">
        <v>2009</v>
      </c>
      <c r="P117" s="51" t="s">
        <v>73</v>
      </c>
      <c r="Q117" s="87"/>
      <c r="R117" s="87"/>
      <c r="S117" s="51"/>
      <c r="T117" s="51"/>
      <c r="U117" s="80" t="s">
        <v>467</v>
      </c>
      <c r="V117" s="84">
        <f t="shared" si="13"/>
        <v>0</v>
      </c>
      <c r="W117" s="84">
        <f t="shared" si="14"/>
        <v>0</v>
      </c>
      <c r="X117" s="80" t="s">
        <v>451</v>
      </c>
      <c r="Y117" s="83">
        <f t="shared" si="15"/>
        <v>9000</v>
      </c>
      <c r="Z117" s="83">
        <f t="shared" si="16"/>
        <v>13000</v>
      </c>
      <c r="AA117" s="80" t="s">
        <v>451</v>
      </c>
      <c r="AB117" s="83" t="s">
        <v>475</v>
      </c>
      <c r="AC117" s="83" t="s">
        <v>476</v>
      </c>
      <c r="AD117" s="83" t="s">
        <v>477</v>
      </c>
      <c r="AE117" s="80" t="s">
        <v>452</v>
      </c>
    </row>
    <row r="118" spans="1:31" ht="30" customHeight="1">
      <c r="A118" s="39">
        <v>26</v>
      </c>
      <c r="B118" s="40">
        <f t="shared" si="37"/>
        <v>1</v>
      </c>
      <c r="C118" s="58" t="s">
        <v>140</v>
      </c>
      <c r="D118" s="41" t="str">
        <f t="shared" si="38"/>
        <v xml:space="preserve">      Miscellaneous Equipment (Cranes)</v>
      </c>
      <c r="E118" s="41" t="s">
        <v>341</v>
      </c>
      <c r="F118" s="41"/>
      <c r="G118" s="41"/>
      <c r="H118" s="63">
        <v>1000000</v>
      </c>
      <c r="I118" s="68"/>
      <c r="J118" s="51"/>
      <c r="K118" s="61"/>
      <c r="L118" s="51"/>
      <c r="M118" s="51"/>
      <c r="N118" s="51"/>
      <c r="O118" s="68">
        <v>2021</v>
      </c>
      <c r="P118" s="51" t="s">
        <v>74</v>
      </c>
      <c r="Q118" s="61" t="s">
        <v>374</v>
      </c>
      <c r="R118" s="61" t="s">
        <v>375</v>
      </c>
      <c r="S118" s="51"/>
      <c r="T118" s="51"/>
      <c r="U118" s="80" t="s">
        <v>467</v>
      </c>
      <c r="V118" s="84">
        <f t="shared" si="13"/>
        <v>900000</v>
      </c>
      <c r="W118" s="84">
        <f t="shared" si="14"/>
        <v>1500000</v>
      </c>
      <c r="X118" s="80" t="s">
        <v>451</v>
      </c>
      <c r="Y118" s="83">
        <f t="shared" si="15"/>
        <v>0</v>
      </c>
      <c r="Z118" s="83">
        <f t="shared" si="16"/>
        <v>0</v>
      </c>
      <c r="AA118" s="80" t="s">
        <v>451</v>
      </c>
      <c r="AB118" s="83" t="s">
        <v>475</v>
      </c>
      <c r="AC118" s="83" t="s">
        <v>476</v>
      </c>
      <c r="AD118" s="83" t="s">
        <v>477</v>
      </c>
      <c r="AE118" s="80" t="s">
        <v>452</v>
      </c>
    </row>
    <row r="119" spans="1:31">
      <c r="A119" s="52">
        <v>30</v>
      </c>
      <c r="B119" s="40">
        <f>IF(ISNUMBER(A119),
    IF(AND(A119=INT(A119), MOD(A119, 10) = 0), 0,
        IF(AND(A119=INT(A119), LEN(A119)=2), 1,
            IF(AND(A119=INT(A119), LEN(A119)=3), 2,
                LEN(A119) - FIND(".", A119) + 2)
        )
    ),
"")</f>
        <v>0</v>
      </c>
      <c r="C119" s="58" t="s">
        <v>29</v>
      </c>
      <c r="D119" s="41" t="str">
        <f t="shared" si="38"/>
        <v>Capitalized Indirect Services Cost</v>
      </c>
      <c r="E119" s="41"/>
      <c r="F119" s="41"/>
      <c r="G119" s="41"/>
      <c r="H119" s="71"/>
      <c r="I119" s="53"/>
      <c r="J119" s="52"/>
      <c r="K119" s="52"/>
      <c r="L119" s="52"/>
      <c r="M119" s="52"/>
      <c r="N119" s="52"/>
      <c r="O119" s="71"/>
      <c r="P119" s="52"/>
      <c r="Q119" s="52"/>
      <c r="R119" s="52"/>
      <c r="S119" s="52"/>
      <c r="T119" s="52"/>
      <c r="U119" s="80"/>
      <c r="V119" s="84"/>
      <c r="W119" s="84"/>
      <c r="X119" s="80"/>
      <c r="Y119" s="83"/>
      <c r="Z119" s="83"/>
      <c r="AA119" s="80"/>
      <c r="AB119" s="83"/>
      <c r="AC119" s="83"/>
      <c r="AD119" s="83"/>
      <c r="AE119" s="80"/>
    </row>
    <row r="120" spans="1:31" ht="28.9" customHeight="1">
      <c r="A120" s="52">
        <v>31</v>
      </c>
      <c r="B120" s="40">
        <v>1</v>
      </c>
      <c r="C120" s="58" t="s">
        <v>376</v>
      </c>
      <c r="D120" s="41" t="str">
        <f t="shared" si="38"/>
        <v xml:space="preserve">      Factory &amp; field indirect costs</v>
      </c>
      <c r="E120" s="41"/>
      <c r="F120" s="41"/>
      <c r="G120" s="41"/>
      <c r="H120" s="71"/>
      <c r="I120" s="72"/>
      <c r="J120" s="51"/>
      <c r="K120" s="61"/>
      <c r="L120" s="52"/>
      <c r="M120" s="52"/>
      <c r="N120" s="52"/>
      <c r="O120" s="68"/>
      <c r="P120" s="51"/>
      <c r="Q120" s="52"/>
      <c r="R120" s="52"/>
      <c r="S120" s="52"/>
      <c r="T120" s="52"/>
      <c r="U120" s="80"/>
      <c r="V120" s="84"/>
      <c r="W120" s="84"/>
      <c r="X120" s="80"/>
      <c r="Y120" s="83"/>
      <c r="Z120" s="83"/>
      <c r="AA120" s="80"/>
      <c r="AB120" s="83"/>
      <c r="AC120" s="83"/>
      <c r="AD120" s="83"/>
      <c r="AE120" s="80"/>
    </row>
    <row r="121" spans="1:31" ht="25.5">
      <c r="A121" s="52">
        <v>32</v>
      </c>
      <c r="B121" s="40">
        <v>1</v>
      </c>
      <c r="C121" s="58" t="s">
        <v>377</v>
      </c>
      <c r="D121" s="41" t="str">
        <f t="shared" si="38"/>
        <v xml:space="preserve">      Factory and construction supervision</v>
      </c>
      <c r="E121" s="41"/>
      <c r="F121" s="41"/>
      <c r="G121" s="41"/>
      <c r="H121" s="71"/>
      <c r="I121" s="53"/>
      <c r="J121" s="52"/>
      <c r="K121" s="52"/>
      <c r="L121" s="52"/>
      <c r="M121" s="52"/>
      <c r="N121" s="52"/>
      <c r="O121" s="68"/>
      <c r="P121" s="51"/>
      <c r="Q121" s="52"/>
      <c r="R121" s="52"/>
      <c r="S121" s="52"/>
      <c r="T121" s="52"/>
      <c r="U121" s="80"/>
      <c r="V121" s="84"/>
      <c r="W121" s="84"/>
      <c r="X121" s="80"/>
      <c r="Y121" s="83"/>
      <c r="Z121" s="83"/>
      <c r="AA121" s="80"/>
      <c r="AB121" s="83"/>
      <c r="AC121" s="83"/>
      <c r="AD121" s="83"/>
      <c r="AE121" s="80"/>
    </row>
    <row r="122" spans="1:31">
      <c r="A122" s="39">
        <v>33</v>
      </c>
      <c r="B122" s="40">
        <f t="shared" si="37"/>
        <v>1</v>
      </c>
      <c r="C122" s="58" t="s">
        <v>31</v>
      </c>
      <c r="D122" s="41" t="str">
        <f t="shared" si="38"/>
        <v xml:space="preserve">      Startup Costs</v>
      </c>
      <c r="E122" s="41" t="s">
        <v>341</v>
      </c>
      <c r="F122" s="41"/>
      <c r="G122" s="41"/>
      <c r="H122" s="45">
        <f>MARVEL_Cost!C58</f>
        <v>2407166.4000000004</v>
      </c>
      <c r="I122" s="46"/>
      <c r="J122" s="48"/>
      <c r="K122" s="54"/>
      <c r="L122" s="48"/>
      <c r="M122" s="48"/>
      <c r="N122" s="48"/>
      <c r="O122" s="68">
        <v>2024</v>
      </c>
      <c r="P122" s="73" t="s">
        <v>85</v>
      </c>
      <c r="Q122" s="88" t="s">
        <v>364</v>
      </c>
      <c r="R122" s="48"/>
      <c r="S122" s="48"/>
      <c r="T122" s="48"/>
      <c r="U122" s="80" t="s">
        <v>471</v>
      </c>
      <c r="V122" s="84">
        <f t="shared" si="13"/>
        <v>2166449.7600000002</v>
      </c>
      <c r="W122" s="84">
        <f t="shared" si="14"/>
        <v>3610749.6000000006</v>
      </c>
      <c r="X122" s="80" t="s">
        <v>451</v>
      </c>
      <c r="Y122" s="83">
        <f t="shared" si="15"/>
        <v>0</v>
      </c>
      <c r="Z122" s="83">
        <f t="shared" si="16"/>
        <v>0</v>
      </c>
      <c r="AA122" s="80" t="s">
        <v>451</v>
      </c>
      <c r="AB122" s="83" t="s">
        <v>475</v>
      </c>
      <c r="AC122" s="83" t="s">
        <v>476</v>
      </c>
      <c r="AD122" s="83" t="s">
        <v>477</v>
      </c>
      <c r="AE122" s="80" t="s">
        <v>452</v>
      </c>
    </row>
    <row r="123" spans="1:31" ht="30" customHeight="1">
      <c r="A123" s="39">
        <v>34</v>
      </c>
      <c r="B123" s="40">
        <f t="shared" si="37"/>
        <v>1</v>
      </c>
      <c r="C123" s="58" t="s">
        <v>32</v>
      </c>
      <c r="D123" s="41" t="str">
        <f t="shared" si="38"/>
        <v xml:space="preserve">      Shipping and Transportation Costs</v>
      </c>
      <c r="E123" s="41" t="s">
        <v>341</v>
      </c>
      <c r="F123" s="41"/>
      <c r="G123" s="41"/>
      <c r="H123" s="45">
        <f>0.5*MARVEL_Cost!C62</f>
        <v>832641.39999999991</v>
      </c>
      <c r="I123" s="46"/>
      <c r="J123" s="48"/>
      <c r="K123" s="54"/>
      <c r="L123" s="48"/>
      <c r="M123" s="48"/>
      <c r="N123" s="48"/>
      <c r="O123" s="68">
        <v>2024</v>
      </c>
      <c r="P123" s="73" t="s">
        <v>85</v>
      </c>
      <c r="Q123" s="88"/>
      <c r="R123" s="48"/>
      <c r="S123" s="48"/>
      <c r="T123" s="48"/>
      <c r="U123" s="80" t="s">
        <v>471</v>
      </c>
      <c r="V123" s="84">
        <f t="shared" si="13"/>
        <v>749377.25999999989</v>
      </c>
      <c r="W123" s="84">
        <f t="shared" si="14"/>
        <v>1248962.0999999999</v>
      </c>
      <c r="X123" s="80" t="s">
        <v>451</v>
      </c>
      <c r="Y123" s="83">
        <f t="shared" si="15"/>
        <v>0</v>
      </c>
      <c r="Z123" s="83">
        <f t="shared" si="16"/>
        <v>0</v>
      </c>
      <c r="AA123" s="80" t="s">
        <v>451</v>
      </c>
      <c r="AB123" s="83" t="s">
        <v>475</v>
      </c>
      <c r="AC123" s="83" t="s">
        <v>476</v>
      </c>
      <c r="AD123" s="83" t="s">
        <v>477</v>
      </c>
      <c r="AE123" s="80" t="s">
        <v>452</v>
      </c>
    </row>
    <row r="124" spans="1:31">
      <c r="A124" s="39">
        <v>35</v>
      </c>
      <c r="B124" s="40">
        <f t="shared" si="37"/>
        <v>1</v>
      </c>
      <c r="C124" s="58" t="s">
        <v>33</v>
      </c>
      <c r="D124" s="41" t="str">
        <f t="shared" si="38"/>
        <v xml:space="preserve">      Engineering Services</v>
      </c>
      <c r="E124" s="41" t="s">
        <v>341</v>
      </c>
      <c r="F124" s="41"/>
      <c r="G124" s="41"/>
      <c r="H124" s="45">
        <f>MARVEL_Cost!C65</f>
        <v>620313.58773783164</v>
      </c>
      <c r="I124" s="63"/>
      <c r="J124" s="51"/>
      <c r="K124" s="61"/>
      <c r="L124" s="51"/>
      <c r="M124" s="51"/>
      <c r="N124" s="51"/>
      <c r="O124" s="68">
        <v>2024</v>
      </c>
      <c r="P124" s="51" t="s">
        <v>72</v>
      </c>
      <c r="Q124" s="88"/>
      <c r="R124" s="51"/>
      <c r="S124" s="51"/>
      <c r="T124" s="51"/>
      <c r="U124" s="80" t="s">
        <v>471</v>
      </c>
      <c r="V124" s="84">
        <f t="shared" si="13"/>
        <v>558282.22896404844</v>
      </c>
      <c r="W124" s="84">
        <f t="shared" si="14"/>
        <v>930470.3816067474</v>
      </c>
      <c r="X124" s="80" t="s">
        <v>451</v>
      </c>
      <c r="Y124" s="83">
        <f t="shared" si="15"/>
        <v>0</v>
      </c>
      <c r="Z124" s="83">
        <f t="shared" si="16"/>
        <v>0</v>
      </c>
      <c r="AA124" s="80" t="s">
        <v>451</v>
      </c>
      <c r="AB124" s="83" t="s">
        <v>475</v>
      </c>
      <c r="AC124" s="83" t="s">
        <v>476</v>
      </c>
      <c r="AD124" s="83" t="s">
        <v>477</v>
      </c>
      <c r="AE124" s="80" t="s">
        <v>452</v>
      </c>
    </row>
    <row r="125" spans="1:31">
      <c r="A125" s="39">
        <v>36</v>
      </c>
      <c r="B125" s="40">
        <f t="shared" si="37"/>
        <v>1</v>
      </c>
      <c r="C125" s="58" t="s">
        <v>230</v>
      </c>
      <c r="D125" s="41" t="str">
        <f t="shared" si="38"/>
        <v xml:space="preserve">      PM/CM Services</v>
      </c>
      <c r="E125" s="41" t="s">
        <v>341</v>
      </c>
      <c r="F125" s="41"/>
      <c r="G125" s="41"/>
      <c r="H125" s="45">
        <f>MARVEL_Cost!C68</f>
        <v>416958.9359999997</v>
      </c>
      <c r="I125" s="63"/>
      <c r="J125" s="51"/>
      <c r="K125" s="61"/>
      <c r="L125" s="51"/>
      <c r="M125" s="51"/>
      <c r="N125" s="51"/>
      <c r="O125" s="68">
        <v>2024</v>
      </c>
      <c r="P125" s="51" t="s">
        <v>72</v>
      </c>
      <c r="Q125" s="88"/>
      <c r="R125" s="51"/>
      <c r="S125" s="51"/>
      <c r="T125" s="51"/>
      <c r="U125" s="80" t="s">
        <v>471</v>
      </c>
      <c r="V125" s="84">
        <f t="shared" si="13"/>
        <v>375263.04239999974</v>
      </c>
      <c r="W125" s="84">
        <f t="shared" si="14"/>
        <v>625438.40399999951</v>
      </c>
      <c r="X125" s="80" t="s">
        <v>451</v>
      </c>
      <c r="Y125" s="83">
        <f t="shared" si="15"/>
        <v>0</v>
      </c>
      <c r="Z125" s="83">
        <f t="shared" si="16"/>
        <v>0</v>
      </c>
      <c r="AA125" s="80" t="s">
        <v>451</v>
      </c>
      <c r="AB125" s="83" t="s">
        <v>475</v>
      </c>
      <c r="AC125" s="83" t="s">
        <v>476</v>
      </c>
      <c r="AD125" s="83" t="s">
        <v>477</v>
      </c>
      <c r="AE125" s="80" t="s">
        <v>452</v>
      </c>
    </row>
    <row r="126" spans="1:31">
      <c r="A126" s="39">
        <v>40</v>
      </c>
      <c r="B126" s="40">
        <f t="shared" si="37"/>
        <v>0</v>
      </c>
      <c r="C126" s="58" t="s">
        <v>378</v>
      </c>
      <c r="D126" s="41" t="str">
        <f t="shared" si="38"/>
        <v>Capitalized training costs</v>
      </c>
      <c r="E126" s="41"/>
      <c r="F126" s="41"/>
      <c r="G126" s="41"/>
      <c r="H126" s="45"/>
      <c r="I126" s="63"/>
      <c r="J126" s="51"/>
      <c r="K126" s="61"/>
      <c r="L126" s="51"/>
      <c r="M126" s="51"/>
      <c r="N126" s="51"/>
      <c r="O126" s="68"/>
      <c r="P126" s="51"/>
      <c r="Q126" s="52"/>
      <c r="R126" s="51"/>
      <c r="S126" s="51"/>
      <c r="T126" s="51"/>
      <c r="U126" s="80"/>
      <c r="V126" s="84"/>
      <c r="W126" s="84"/>
      <c r="X126" s="80"/>
      <c r="Y126" s="83"/>
      <c r="Z126" s="83"/>
      <c r="AA126" s="80"/>
      <c r="AB126" s="83"/>
      <c r="AC126" s="83"/>
      <c r="AD126" s="83"/>
      <c r="AE126" s="80"/>
    </row>
    <row r="127" spans="1:31">
      <c r="A127" s="39">
        <v>41</v>
      </c>
      <c r="B127" s="40">
        <f t="shared" si="37"/>
        <v>1</v>
      </c>
      <c r="C127" s="58" t="s">
        <v>379</v>
      </c>
      <c r="D127" s="41" t="str">
        <f t="shared" si="38"/>
        <v xml:space="preserve">      staff recruitment and training</v>
      </c>
      <c r="E127" s="41" t="s">
        <v>341</v>
      </c>
      <c r="F127" s="41"/>
      <c r="G127" s="41"/>
      <c r="H127" s="45">
        <v>300000</v>
      </c>
      <c r="I127" s="63"/>
      <c r="J127" s="51"/>
      <c r="K127" s="61"/>
      <c r="L127" s="51"/>
      <c r="M127" s="51"/>
      <c r="N127" s="51"/>
      <c r="O127" s="68">
        <v>2024</v>
      </c>
      <c r="P127" s="51" t="s">
        <v>72</v>
      </c>
      <c r="Q127" s="44"/>
      <c r="R127" s="51" t="s">
        <v>454</v>
      </c>
      <c r="S127" s="51" t="s">
        <v>455</v>
      </c>
      <c r="T127" s="51"/>
      <c r="U127" s="80" t="s">
        <v>468</v>
      </c>
      <c r="V127" s="84">
        <f t="shared" si="13"/>
        <v>270000</v>
      </c>
      <c r="W127" s="84">
        <f t="shared" si="14"/>
        <v>450000</v>
      </c>
      <c r="X127" s="80" t="s">
        <v>451</v>
      </c>
      <c r="Y127" s="83">
        <f t="shared" si="15"/>
        <v>0</v>
      </c>
      <c r="Z127" s="83">
        <f t="shared" si="16"/>
        <v>0</v>
      </c>
      <c r="AA127" s="80" t="s">
        <v>451</v>
      </c>
      <c r="AB127" s="83" t="s">
        <v>475</v>
      </c>
      <c r="AC127" s="83" t="s">
        <v>476</v>
      </c>
      <c r="AD127" s="83" t="s">
        <v>477</v>
      </c>
      <c r="AE127" s="80" t="s">
        <v>452</v>
      </c>
    </row>
    <row r="128" spans="1:31">
      <c r="A128" s="52">
        <v>60</v>
      </c>
      <c r="B128" s="40">
        <f t="shared" si="37"/>
        <v>0</v>
      </c>
      <c r="C128" s="58" t="s">
        <v>34</v>
      </c>
      <c r="D128" s="41" t="str">
        <f t="shared" si="38"/>
        <v xml:space="preserve">Capitalized Financial Costs </v>
      </c>
      <c r="E128" s="41"/>
      <c r="F128" s="41"/>
      <c r="G128" s="41"/>
      <c r="H128" s="71"/>
      <c r="I128" s="53"/>
      <c r="J128" s="52"/>
      <c r="K128" s="52"/>
      <c r="L128" s="52"/>
      <c r="M128" s="52"/>
      <c r="N128" s="52"/>
      <c r="O128" s="71"/>
      <c r="P128" s="52"/>
      <c r="Q128" s="52"/>
      <c r="R128" s="52"/>
      <c r="S128" s="52"/>
      <c r="T128" s="52"/>
      <c r="U128" s="80"/>
      <c r="V128" s="84"/>
      <c r="W128" s="84"/>
      <c r="X128" s="80"/>
      <c r="Y128" s="83"/>
      <c r="Z128" s="83"/>
      <c r="AA128" s="80"/>
      <c r="AB128" s="83"/>
      <c r="AC128" s="83"/>
      <c r="AD128" s="83"/>
      <c r="AE128" s="80"/>
    </row>
    <row r="129" spans="1:31">
      <c r="A129" s="39">
        <v>62</v>
      </c>
      <c r="B129" s="40">
        <f t="shared" si="37"/>
        <v>1</v>
      </c>
      <c r="C129" s="58" t="s">
        <v>35</v>
      </c>
      <c r="D129" s="41" t="str">
        <f t="shared" si="38"/>
        <v xml:space="preserve">      Interest</v>
      </c>
      <c r="E129" s="41"/>
      <c r="F129" s="41"/>
      <c r="G129" s="41"/>
      <c r="H129" s="45"/>
      <c r="I129" s="63"/>
      <c r="J129" s="51"/>
      <c r="K129" s="61"/>
      <c r="L129" s="51"/>
      <c r="M129" s="51"/>
      <c r="N129" s="51"/>
      <c r="O129" s="68"/>
      <c r="P129" s="51"/>
      <c r="Q129" s="61"/>
      <c r="R129" s="51"/>
      <c r="S129" s="51"/>
      <c r="T129" s="51"/>
      <c r="U129" s="80"/>
      <c r="V129" s="84"/>
      <c r="W129" s="84"/>
      <c r="X129" s="80"/>
      <c r="Y129" s="83"/>
      <c r="Z129" s="83"/>
      <c r="AA129" s="80"/>
      <c r="AB129" s="83"/>
      <c r="AC129" s="83"/>
      <c r="AD129" s="83"/>
      <c r="AE129" s="80"/>
    </row>
    <row r="130" spans="1:31">
      <c r="A130" s="39">
        <v>70</v>
      </c>
      <c r="B130" s="40">
        <f t="shared" si="37"/>
        <v>0</v>
      </c>
      <c r="C130" s="74" t="s">
        <v>36</v>
      </c>
      <c r="D130" s="41" t="str">
        <f t="shared" si="38"/>
        <v xml:space="preserve">Annualized O&amp;M Cost </v>
      </c>
      <c r="E130" s="41"/>
      <c r="F130" s="41"/>
      <c r="G130" s="41"/>
      <c r="H130" s="42"/>
      <c r="I130" s="42"/>
      <c r="J130" s="40"/>
      <c r="K130" s="43"/>
      <c r="L130" s="40"/>
      <c r="M130" s="40"/>
      <c r="N130" s="40"/>
      <c r="O130" s="42"/>
      <c r="P130" s="40"/>
      <c r="Q130" s="43"/>
      <c r="R130" s="40"/>
      <c r="S130" s="40"/>
      <c r="T130" s="40"/>
      <c r="U130" s="80"/>
      <c r="V130" s="84"/>
      <c r="W130" s="84"/>
      <c r="X130" s="80"/>
      <c r="Y130" s="83"/>
      <c r="Z130" s="83"/>
      <c r="AA130" s="80"/>
      <c r="AB130" s="83"/>
      <c r="AC130" s="83"/>
      <c r="AD130" s="83"/>
      <c r="AE130" s="80"/>
    </row>
    <row r="131" spans="1:31">
      <c r="A131" s="39">
        <v>71</v>
      </c>
      <c r="B131" s="40">
        <f t="shared" si="37"/>
        <v>1</v>
      </c>
      <c r="C131" s="58" t="s">
        <v>37</v>
      </c>
      <c r="D131" s="41" t="str">
        <f t="shared" si="38"/>
        <v xml:space="preserve">      O&amp;M Staff</v>
      </c>
      <c r="E131" s="41"/>
      <c r="F131" s="41"/>
      <c r="G131" s="41"/>
      <c r="H131" s="45"/>
      <c r="I131" s="63"/>
      <c r="J131" s="51"/>
      <c r="K131" s="61"/>
      <c r="L131" s="51"/>
      <c r="M131" s="51"/>
      <c r="N131" s="51"/>
      <c r="O131" s="68"/>
      <c r="P131" s="51"/>
      <c r="Q131" s="61"/>
      <c r="R131" s="51"/>
      <c r="S131" s="51"/>
      <c r="T131" s="51"/>
      <c r="U131" s="80"/>
      <c r="V131" s="84"/>
      <c r="W131" s="84"/>
      <c r="X131" s="80"/>
      <c r="Y131" s="83"/>
      <c r="Z131" s="83"/>
      <c r="AA131" s="80"/>
      <c r="AB131" s="83"/>
      <c r="AC131" s="83"/>
      <c r="AD131" s="83"/>
      <c r="AE131" s="80"/>
    </row>
    <row r="132" spans="1:31" ht="70.900000000000006" customHeight="1">
      <c r="A132" s="55">
        <v>711</v>
      </c>
      <c r="B132" s="40">
        <f t="shared" si="37"/>
        <v>2</v>
      </c>
      <c r="C132" s="58" t="s">
        <v>38</v>
      </c>
      <c r="D132" s="41" t="str">
        <f t="shared" si="38"/>
        <v xml:space="preserve">            Operators </v>
      </c>
      <c r="E132" s="41" t="s">
        <v>342</v>
      </c>
      <c r="F132" s="41"/>
      <c r="G132" s="41"/>
      <c r="H132" s="45"/>
      <c r="I132" s="63">
        <v>178500</v>
      </c>
      <c r="J132" s="51" t="s">
        <v>383</v>
      </c>
      <c r="K132" s="61" t="s">
        <v>384</v>
      </c>
      <c r="L132" s="51"/>
      <c r="M132" s="51"/>
      <c r="N132" s="51">
        <v>1</v>
      </c>
      <c r="O132" s="68">
        <v>2024</v>
      </c>
      <c r="P132" s="51" t="s">
        <v>72</v>
      </c>
      <c r="Q132" s="61"/>
      <c r="R132" s="61" t="s">
        <v>385</v>
      </c>
      <c r="S132" s="51"/>
      <c r="T132" s="51"/>
      <c r="U132" s="80" t="s">
        <v>468</v>
      </c>
      <c r="V132" s="84">
        <f t="shared" ref="V132:V141" si="41">0.9*$H132</f>
        <v>0</v>
      </c>
      <c r="W132" s="84">
        <f t="shared" ref="W132:W141" si="42">1.5*H132</f>
        <v>0</v>
      </c>
      <c r="X132" s="80" t="s">
        <v>451</v>
      </c>
      <c r="Y132" s="83">
        <f t="shared" ref="Y132:Y141" si="43">0.9*I132</f>
        <v>160650</v>
      </c>
      <c r="Z132" s="83">
        <f t="shared" ref="Z132:Z141" si="44">1.3*I132</f>
        <v>232050</v>
      </c>
      <c r="AA132" s="80" t="s">
        <v>451</v>
      </c>
      <c r="AB132" s="83" t="s">
        <v>475</v>
      </c>
      <c r="AC132" s="83" t="s">
        <v>476</v>
      </c>
      <c r="AD132" s="83" t="s">
        <v>477</v>
      </c>
      <c r="AE132" s="80" t="s">
        <v>452</v>
      </c>
    </row>
    <row r="133" spans="1:31" ht="30" customHeight="1">
      <c r="A133" s="55">
        <v>712</v>
      </c>
      <c r="B133" s="40">
        <f t="shared" si="37"/>
        <v>2</v>
      </c>
      <c r="C133" s="58" t="s">
        <v>39</v>
      </c>
      <c r="D133" s="41" t="str">
        <f t="shared" si="38"/>
        <v xml:space="preserve">            Remote Monitoring Technicians </v>
      </c>
      <c r="E133" s="41" t="s">
        <v>342</v>
      </c>
      <c r="F133" s="41" t="s">
        <v>388</v>
      </c>
      <c r="G133" s="41" t="s">
        <v>389</v>
      </c>
      <c r="H133" s="45"/>
      <c r="I133" s="63">
        <v>178500</v>
      </c>
      <c r="J133" s="51" t="s">
        <v>383</v>
      </c>
      <c r="K133" s="61" t="s">
        <v>387</v>
      </c>
      <c r="L133" s="51"/>
      <c r="M133" s="51"/>
      <c r="N133" s="51">
        <v>1</v>
      </c>
      <c r="O133" s="68">
        <v>2024</v>
      </c>
      <c r="P133" s="51" t="s">
        <v>72</v>
      </c>
      <c r="Q133" s="61"/>
      <c r="R133" s="61" t="s">
        <v>385</v>
      </c>
      <c r="S133" s="51"/>
      <c r="T133" s="51"/>
      <c r="U133" s="80" t="s">
        <v>468</v>
      </c>
      <c r="V133" s="84">
        <f t="shared" si="41"/>
        <v>0</v>
      </c>
      <c r="W133" s="84">
        <f t="shared" si="42"/>
        <v>0</v>
      </c>
      <c r="X133" s="80" t="s">
        <v>451</v>
      </c>
      <c r="Y133" s="83">
        <f t="shared" si="43"/>
        <v>160650</v>
      </c>
      <c r="Z133" s="83">
        <f t="shared" si="44"/>
        <v>232050</v>
      </c>
      <c r="AA133" s="80" t="s">
        <v>451</v>
      </c>
      <c r="AB133" s="83" t="s">
        <v>475</v>
      </c>
      <c r="AC133" s="83" t="s">
        <v>476</v>
      </c>
      <c r="AD133" s="83" t="s">
        <v>477</v>
      </c>
      <c r="AE133" s="80" t="s">
        <v>452</v>
      </c>
    </row>
    <row r="134" spans="1:31" ht="89.25">
      <c r="A134" s="55">
        <v>713</v>
      </c>
      <c r="B134" s="40">
        <f t="shared" si="37"/>
        <v>2</v>
      </c>
      <c r="C134" s="58" t="s">
        <v>40</v>
      </c>
      <c r="D134" s="41" t="str">
        <f t="shared" si="38"/>
        <v xml:space="preserve">            Security Staff </v>
      </c>
      <c r="E134" s="41" t="s">
        <v>342</v>
      </c>
      <c r="F134" s="41"/>
      <c r="G134" s="41"/>
      <c r="H134" s="45"/>
      <c r="I134" s="63">
        <v>178500</v>
      </c>
      <c r="J134" s="51" t="s">
        <v>383</v>
      </c>
      <c r="K134" s="61" t="s">
        <v>390</v>
      </c>
      <c r="L134" s="51"/>
      <c r="M134" s="51"/>
      <c r="N134" s="51">
        <v>1</v>
      </c>
      <c r="O134" s="68">
        <v>2024</v>
      </c>
      <c r="P134" s="51" t="s">
        <v>72</v>
      </c>
      <c r="Q134" s="61"/>
      <c r="R134" s="61" t="s">
        <v>385</v>
      </c>
      <c r="S134" s="51"/>
      <c r="T134" s="51"/>
      <c r="U134" s="80" t="s">
        <v>468</v>
      </c>
      <c r="V134" s="84">
        <f t="shared" si="41"/>
        <v>0</v>
      </c>
      <c r="W134" s="84">
        <f t="shared" si="42"/>
        <v>0</v>
      </c>
      <c r="X134" s="80" t="s">
        <v>451</v>
      </c>
      <c r="Y134" s="83">
        <f t="shared" si="43"/>
        <v>160650</v>
      </c>
      <c r="Z134" s="83">
        <f t="shared" si="44"/>
        <v>232050</v>
      </c>
      <c r="AA134" s="80" t="s">
        <v>451</v>
      </c>
      <c r="AB134" s="83" t="s">
        <v>475</v>
      </c>
      <c r="AC134" s="83" t="s">
        <v>476</v>
      </c>
      <c r="AD134" s="83" t="s">
        <v>477</v>
      </c>
      <c r="AE134" s="80" t="s">
        <v>452</v>
      </c>
    </row>
    <row r="135" spans="1:31">
      <c r="A135" s="39">
        <v>72</v>
      </c>
      <c r="B135" s="40">
        <f t="shared" si="37"/>
        <v>1</v>
      </c>
      <c r="C135" s="58" t="s">
        <v>434</v>
      </c>
      <c r="D135" s="41" t="str">
        <f t="shared" si="38"/>
        <v xml:space="preserve">      Variable Non-Fuel Costs</v>
      </c>
      <c r="E135" s="41"/>
      <c r="F135" s="41"/>
      <c r="G135" s="41"/>
      <c r="H135" s="45"/>
      <c r="I135" s="63"/>
      <c r="J135" s="51"/>
      <c r="K135" s="61"/>
      <c r="L135" s="51"/>
      <c r="M135" s="51"/>
      <c r="N135" s="51"/>
      <c r="O135" s="68"/>
      <c r="P135" s="51"/>
      <c r="Q135" s="61"/>
      <c r="R135" s="61"/>
      <c r="S135" s="51"/>
      <c r="T135" s="51"/>
      <c r="U135" s="80"/>
      <c r="V135" s="84"/>
      <c r="W135" s="84"/>
      <c r="X135" s="80"/>
      <c r="Y135" s="83"/>
      <c r="Z135" s="83"/>
      <c r="AA135" s="80" t="s">
        <v>470</v>
      </c>
      <c r="AB135" s="83" t="s">
        <v>470</v>
      </c>
      <c r="AC135" s="83" t="s">
        <v>470</v>
      </c>
      <c r="AD135" s="83" t="s">
        <v>470</v>
      </c>
      <c r="AE135" s="80" t="s">
        <v>470</v>
      </c>
    </row>
    <row r="136" spans="1:31">
      <c r="A136" s="39">
        <v>75</v>
      </c>
      <c r="B136" s="40">
        <f t="shared" si="37"/>
        <v>1</v>
      </c>
      <c r="C136" s="58" t="s">
        <v>41</v>
      </c>
      <c r="D136" s="41" t="str">
        <f t="shared" si="38"/>
        <v xml:space="preserve">      Capital Plant Expenditures</v>
      </c>
      <c r="E136" s="41"/>
      <c r="F136" s="41"/>
      <c r="G136" s="41"/>
      <c r="H136" s="45"/>
      <c r="I136" s="63"/>
      <c r="J136" s="51"/>
      <c r="K136" s="61"/>
      <c r="L136" s="51"/>
      <c r="M136" s="51"/>
      <c r="N136" s="51"/>
      <c r="O136" s="68"/>
      <c r="P136" s="51"/>
      <c r="Q136" s="61"/>
      <c r="R136" s="61"/>
      <c r="S136" s="51"/>
      <c r="T136" s="51"/>
      <c r="U136" s="80"/>
      <c r="V136" s="84"/>
      <c r="W136" s="84"/>
      <c r="X136" s="80"/>
      <c r="Y136" s="83"/>
      <c r="Z136" s="83"/>
      <c r="AA136" s="80"/>
      <c r="AB136" s="83"/>
      <c r="AC136" s="83"/>
      <c r="AD136" s="83"/>
      <c r="AE136" s="80"/>
    </row>
    <row r="137" spans="1:31" ht="30" customHeight="1">
      <c r="A137" s="39">
        <v>78</v>
      </c>
      <c r="B137" s="40">
        <f t="shared" ref="B137" si="45">IF(ISNUMBER(A137),
    IF(AND(A137=INT(A137), MOD(A137, 10) = 0), 0,
        IF(AND(A137=INT(A137), LEN(A137)=2), 1,
            IF(AND(A137=INT(A137), LEN(A137)=3), 2,
                LEN(A137) - FIND(".", A137) + 2)
        )
    ),
"")</f>
        <v>1</v>
      </c>
      <c r="C137" s="58" t="s">
        <v>42</v>
      </c>
      <c r="D137" s="41" t="str">
        <f t="shared" ref="D137" si="46">REPT("   ", B137*2) &amp; C137</f>
        <v xml:space="preserve">      Annualized Decommissioning Cost</v>
      </c>
      <c r="E137" s="41"/>
      <c r="F137" s="41"/>
      <c r="G137" s="41"/>
      <c r="H137" s="45"/>
      <c r="I137" s="75"/>
      <c r="J137" s="51"/>
      <c r="K137" s="47"/>
      <c r="L137" s="51"/>
      <c r="M137" s="51"/>
      <c r="N137" s="51"/>
      <c r="O137" s="68"/>
      <c r="P137" s="76"/>
      <c r="Q137" s="61"/>
      <c r="R137" s="61"/>
      <c r="S137" s="51"/>
      <c r="T137" s="51"/>
      <c r="U137" s="80"/>
      <c r="V137" s="84"/>
      <c r="W137" s="84"/>
      <c r="X137" s="80"/>
      <c r="Y137" s="83"/>
      <c r="Z137" s="83"/>
      <c r="AA137" s="80"/>
      <c r="AB137" s="83"/>
      <c r="AC137" s="83"/>
      <c r="AD137" s="83"/>
      <c r="AE137" s="80"/>
    </row>
    <row r="138" spans="1:31">
      <c r="A138" s="39">
        <v>80</v>
      </c>
      <c r="B138" s="40">
        <f t="shared" si="37"/>
        <v>0</v>
      </c>
      <c r="C138" s="74" t="s">
        <v>43</v>
      </c>
      <c r="D138" s="41" t="str">
        <f t="shared" si="38"/>
        <v>Annualized Fuel Cost</v>
      </c>
      <c r="E138" s="41"/>
      <c r="F138" s="41"/>
      <c r="G138" s="41"/>
      <c r="H138" s="42"/>
      <c r="I138" s="42"/>
      <c r="J138" s="40"/>
      <c r="K138" s="43"/>
      <c r="L138" s="40"/>
      <c r="M138" s="40"/>
      <c r="N138" s="40"/>
      <c r="O138" s="42"/>
      <c r="P138" s="40"/>
      <c r="Q138" s="43"/>
      <c r="R138" s="40"/>
      <c r="S138" s="40"/>
      <c r="T138" s="40"/>
      <c r="U138" s="80"/>
      <c r="V138" s="84"/>
      <c r="W138" s="84"/>
      <c r="X138" s="80"/>
      <c r="Y138" s="83"/>
      <c r="Z138" s="83"/>
      <c r="AA138" s="80"/>
      <c r="AB138" s="83"/>
      <c r="AC138" s="83"/>
      <c r="AD138" s="83"/>
      <c r="AE138" s="80"/>
    </row>
    <row r="139" spans="1:31" ht="89.25">
      <c r="A139" s="39">
        <v>81</v>
      </c>
      <c r="B139" s="40">
        <f t="shared" si="37"/>
        <v>1</v>
      </c>
      <c r="C139" s="58" t="s">
        <v>44</v>
      </c>
      <c r="D139" s="41" t="str">
        <f t="shared" si="38"/>
        <v xml:space="preserve">      Refueling Operations</v>
      </c>
      <c r="E139" s="41" t="s">
        <v>342</v>
      </c>
      <c r="F139" s="41"/>
      <c r="G139" s="41"/>
      <c r="H139" s="45"/>
      <c r="I139" s="63">
        <v>178500</v>
      </c>
      <c r="J139" s="51" t="s">
        <v>383</v>
      </c>
      <c r="K139" s="61" t="s">
        <v>384</v>
      </c>
      <c r="L139" s="51"/>
      <c r="M139" s="51"/>
      <c r="N139" s="51">
        <v>1</v>
      </c>
      <c r="O139" s="68">
        <v>2024</v>
      </c>
      <c r="P139" s="76" t="s">
        <v>72</v>
      </c>
      <c r="Q139" s="61"/>
      <c r="R139" s="61" t="s">
        <v>385</v>
      </c>
      <c r="S139" s="51"/>
      <c r="T139" s="51"/>
      <c r="U139" s="80" t="s">
        <v>468</v>
      </c>
      <c r="V139" s="84">
        <f t="shared" si="41"/>
        <v>0</v>
      </c>
      <c r="W139" s="84">
        <f t="shared" si="42"/>
        <v>0</v>
      </c>
      <c r="X139" s="80" t="s">
        <v>451</v>
      </c>
      <c r="Y139" s="83">
        <f t="shared" si="43"/>
        <v>160650</v>
      </c>
      <c r="Z139" s="83">
        <f t="shared" si="44"/>
        <v>232050</v>
      </c>
      <c r="AA139" s="80" t="s">
        <v>451</v>
      </c>
      <c r="AB139" s="83" t="s">
        <v>475</v>
      </c>
      <c r="AC139" s="83" t="s">
        <v>476</v>
      </c>
      <c r="AD139" s="83" t="s">
        <v>477</v>
      </c>
      <c r="AE139" s="80" t="s">
        <v>452</v>
      </c>
    </row>
    <row r="140" spans="1:31">
      <c r="A140" s="39">
        <v>82</v>
      </c>
      <c r="B140" s="40">
        <f t="shared" si="37"/>
        <v>1</v>
      </c>
      <c r="C140" s="58" t="s">
        <v>45</v>
      </c>
      <c r="D140" s="41" t="str">
        <f t="shared" si="38"/>
        <v xml:space="preserve">      Additional Nuclear Fuel</v>
      </c>
      <c r="E140" s="41"/>
      <c r="F140" s="41"/>
      <c r="G140" s="41"/>
      <c r="H140" s="45"/>
      <c r="I140" s="63"/>
      <c r="J140" s="51"/>
      <c r="K140" s="61"/>
      <c r="L140" s="51"/>
      <c r="M140" s="51"/>
      <c r="N140" s="51"/>
      <c r="O140" s="68"/>
      <c r="P140" s="51"/>
      <c r="Q140" s="61"/>
      <c r="R140" s="51"/>
      <c r="S140" s="51"/>
      <c r="T140" s="51"/>
      <c r="U140" s="80"/>
      <c r="V140" s="84"/>
      <c r="W140" s="84"/>
      <c r="X140" s="80"/>
      <c r="Y140" s="83"/>
      <c r="Z140" s="83"/>
      <c r="AA140" s="80"/>
      <c r="AB140" s="83"/>
      <c r="AC140" s="83"/>
      <c r="AD140" s="83"/>
      <c r="AE140" s="80"/>
    </row>
    <row r="141" spans="1:31" ht="25.5">
      <c r="A141" s="39">
        <v>83</v>
      </c>
      <c r="B141" s="40">
        <f t="shared" si="37"/>
        <v>1</v>
      </c>
      <c r="C141" s="58" t="s">
        <v>46</v>
      </c>
      <c r="D141" s="41" t="str">
        <f t="shared" si="38"/>
        <v xml:space="preserve">      Spent Fuel Management</v>
      </c>
      <c r="E141" s="41" t="s">
        <v>341</v>
      </c>
      <c r="F141" s="41"/>
      <c r="G141" s="41"/>
      <c r="H141" s="45"/>
      <c r="I141" s="63">
        <v>1</v>
      </c>
      <c r="J141" s="51" t="s">
        <v>396</v>
      </c>
      <c r="K141" s="61" t="s">
        <v>397</v>
      </c>
      <c r="L141" s="51"/>
      <c r="M141" s="51"/>
      <c r="N141" s="51">
        <v>1</v>
      </c>
      <c r="O141" s="68">
        <v>2024</v>
      </c>
      <c r="P141" s="51" t="s">
        <v>77</v>
      </c>
      <c r="Q141" s="61"/>
      <c r="R141" s="51"/>
      <c r="S141" s="51"/>
      <c r="T141" s="51"/>
      <c r="U141" s="80" t="s">
        <v>468</v>
      </c>
      <c r="V141" s="84">
        <f t="shared" si="41"/>
        <v>0</v>
      </c>
      <c r="W141" s="84">
        <f t="shared" si="42"/>
        <v>0</v>
      </c>
      <c r="X141" s="80" t="s">
        <v>451</v>
      </c>
      <c r="Y141" s="83">
        <f t="shared" si="43"/>
        <v>0.9</v>
      </c>
      <c r="Z141" s="83">
        <f t="shared" si="44"/>
        <v>1.3</v>
      </c>
      <c r="AA141" s="80" t="s">
        <v>451</v>
      </c>
      <c r="AB141" s="83" t="s">
        <v>475</v>
      </c>
      <c r="AC141" s="83" t="s">
        <v>476</v>
      </c>
      <c r="AD141" s="83" t="s">
        <v>477</v>
      </c>
      <c r="AE141" s="80" t="s">
        <v>452</v>
      </c>
    </row>
  </sheetData>
  <autoFilter ref="A1:Z141" xr:uid="{F5330BDA-7164-B946-A942-FFAE4F744BBA}"/>
  <mergeCells count="43">
    <mergeCell ref="Q122:Q125"/>
    <mergeCell ref="Q39:Q41"/>
    <mergeCell ref="Q45:Q47"/>
    <mergeCell ref="Q49:Q51"/>
    <mergeCell ref="Q113:Q117"/>
    <mergeCell ref="Q106:Q111"/>
    <mergeCell ref="Q20:Q22"/>
    <mergeCell ref="Q24:Q26"/>
    <mergeCell ref="Q30:Q32"/>
    <mergeCell ref="Q34:Q36"/>
    <mergeCell ref="R113:R117"/>
    <mergeCell ref="R84:R85"/>
    <mergeCell ref="R106:R111"/>
    <mergeCell ref="R39:R41"/>
    <mergeCell ref="R3:R4"/>
    <mergeCell ref="S3:S4"/>
    <mergeCell ref="R5:R6"/>
    <mergeCell ref="S5:S6"/>
    <mergeCell ref="S20:S22"/>
    <mergeCell ref="S24:S26"/>
    <mergeCell ref="S30:S32"/>
    <mergeCell ref="S34:S36"/>
    <mergeCell ref="S39:S41"/>
    <mergeCell ref="R20:R22"/>
    <mergeCell ref="R24:R26"/>
    <mergeCell ref="R30:R32"/>
    <mergeCell ref="R34:R36"/>
    <mergeCell ref="Q15:Q17"/>
    <mergeCell ref="Q11:Q13"/>
    <mergeCell ref="R11:R13"/>
    <mergeCell ref="S11:S13"/>
    <mergeCell ref="R15:R17"/>
    <mergeCell ref="S15:S17"/>
    <mergeCell ref="T84:T85"/>
    <mergeCell ref="R45:R47"/>
    <mergeCell ref="R49:R51"/>
    <mergeCell ref="S45:S47"/>
    <mergeCell ref="S49:S51"/>
    <mergeCell ref="S73:S79"/>
    <mergeCell ref="R64:R68"/>
    <mergeCell ref="S64:S68"/>
    <mergeCell ref="R56:R61"/>
    <mergeCell ref="S84:S85"/>
  </mergeCells>
  <conditionalFormatting sqref="A84:F86 A87:T87 S89:T92 A95:Q96 S95:T96 A106:B111 S106:T111 A112:T112 L113:T113 L114:P114 S114:T118 I115:P115 A118:R118 R122:T127 A128:T131 A132:H133 A134:J135">
    <cfRule type="expression" dxfId="99" priority="228">
      <formula>$B84&lt;2</formula>
    </cfRule>
    <cfRule type="expression" dxfId="98" priority="227">
      <formula>$B84=2</formula>
    </cfRule>
    <cfRule type="expression" dxfId="97" priority="226">
      <formula>$B84=3</formula>
    </cfRule>
  </conditionalFormatting>
  <conditionalFormatting sqref="A69:K69 S89:T92 A95:Q96 S95:T96 A134:J135">
    <cfRule type="expression" dxfId="96" priority="22">
      <formula>$B69=0</formula>
    </cfRule>
  </conditionalFormatting>
  <conditionalFormatting sqref="A120:P127">
    <cfRule type="expression" dxfId="95" priority="123">
      <formula>$B120=2</formula>
    </cfRule>
    <cfRule type="expression" dxfId="94" priority="122">
      <formula>$B120=3</formula>
    </cfRule>
    <cfRule type="expression" dxfId="93" priority="125">
      <formula>$B120=0</formula>
    </cfRule>
    <cfRule type="expression" dxfId="92" priority="124">
      <formula>$B120&lt;2</formula>
    </cfRule>
  </conditionalFormatting>
  <conditionalFormatting sqref="A83:S83">
    <cfRule type="expression" dxfId="91" priority="233">
      <formula>$B83=0</formula>
    </cfRule>
    <cfRule type="expression" dxfId="90" priority="231">
      <formula>$B83=2</formula>
    </cfRule>
    <cfRule type="expression" dxfId="89" priority="230">
      <formula>$B83=3</formula>
    </cfRule>
    <cfRule type="expression" dxfId="88" priority="232">
      <formula>$B83&lt;2</formula>
    </cfRule>
  </conditionalFormatting>
  <conditionalFormatting sqref="A62:T82">
    <cfRule type="expression" dxfId="87" priority="14">
      <formula>$B62=2</formula>
    </cfRule>
    <cfRule type="expression" dxfId="86" priority="15">
      <formula>$B62&lt;2</formula>
    </cfRule>
    <cfRule type="expression" dxfId="85" priority="13">
      <formula>$B62=3</formula>
    </cfRule>
  </conditionalFormatting>
  <conditionalFormatting sqref="A71:T71">
    <cfRule type="expression" dxfId="84" priority="72">
      <formula>$B71=0</formula>
    </cfRule>
  </conditionalFormatting>
  <conditionalFormatting sqref="A87:T87 A97:T105 A112:T112 L113:T113 L114:P114 I115:P115 A118:R118 A128:T131 A132:H133 A84:F86 A106:B111 S106:T111 S114:T118 R122:T127">
    <cfRule type="expression" dxfId="83" priority="229">
      <formula>$B84=0</formula>
    </cfRule>
  </conditionalFormatting>
  <conditionalFormatting sqref="A93:T94 A97:T105">
    <cfRule type="expression" dxfId="82" priority="60">
      <formula>$B93=3</formula>
    </cfRule>
    <cfRule type="expression" dxfId="81" priority="61">
      <formula>$B93=2</formula>
    </cfRule>
    <cfRule type="expression" dxfId="80" priority="62">
      <formula>$B93&lt;2</formula>
    </cfRule>
  </conditionalFormatting>
  <conditionalFormatting sqref="A93:T94">
    <cfRule type="expression" dxfId="79" priority="197">
      <formula>$B93=0</formula>
    </cfRule>
  </conditionalFormatting>
  <conditionalFormatting sqref="A119:T119">
    <cfRule type="expression" dxfId="78" priority="161">
      <formula>$B119=0</formula>
    </cfRule>
    <cfRule type="expression" dxfId="77" priority="158">
      <formula>$B119=3</formula>
    </cfRule>
    <cfRule type="expression" dxfId="76" priority="159">
      <formula>$B119=2</formula>
    </cfRule>
    <cfRule type="expression" dxfId="75" priority="160">
      <formula>$B119&lt;2</formula>
    </cfRule>
  </conditionalFormatting>
  <conditionalFormatting sqref="A138:T141">
    <cfRule type="expression" dxfId="74" priority="91">
      <formula>$B138=2</formula>
    </cfRule>
    <cfRule type="expression" dxfId="73" priority="90">
      <formula>$B138=3</formula>
    </cfRule>
    <cfRule type="expression" dxfId="72" priority="92">
      <formula>$B138&lt;2</formula>
    </cfRule>
    <cfRule type="expression" dxfId="71" priority="93">
      <formula>$B138=0</formula>
    </cfRule>
  </conditionalFormatting>
  <conditionalFormatting sqref="A1:AE141">
    <cfRule type="expression" dxfId="70" priority="175">
      <formula>$B1=2</formula>
    </cfRule>
    <cfRule type="expression" dxfId="69" priority="176">
      <formula>$B1&lt;2</formula>
    </cfRule>
    <cfRule type="expression" dxfId="68" priority="174">
      <formula>$B1=3</formula>
    </cfRule>
    <cfRule type="expression" dxfId="67" priority="177">
      <formula>$B1=0</formula>
    </cfRule>
  </conditionalFormatting>
  <conditionalFormatting sqref="C106:R106 C107:P111">
    <cfRule type="expression" dxfId="66" priority="52">
      <formula>$B106=0</formula>
    </cfRule>
    <cfRule type="expression" dxfId="65" priority="51">
      <formula>$B106&lt;2</formula>
    </cfRule>
    <cfRule type="expression" dxfId="64" priority="50">
      <formula>$B106=2</formula>
    </cfRule>
    <cfRule type="expression" dxfId="63" priority="49">
      <formula>$B106=3</formula>
    </cfRule>
  </conditionalFormatting>
  <conditionalFormatting sqref="D69">
    <cfRule type="colorScale" priority="27">
      <colorScale>
        <cfvo type="min"/>
        <cfvo type="max"/>
        <color rgb="FFFF7128"/>
        <color rgb="FFFFEF9C"/>
      </colorScale>
    </cfRule>
  </conditionalFormatting>
  <conditionalFormatting sqref="D71">
    <cfRule type="colorScale" priority="73">
      <colorScale>
        <cfvo type="min"/>
        <cfvo type="max"/>
        <color rgb="FFFF7128"/>
        <color rgb="FFFFEF9C"/>
      </colorScale>
    </cfRule>
  </conditionalFormatting>
  <conditionalFormatting sqref="D106:D111">
    <cfRule type="colorScale" priority="53">
      <colorScale>
        <cfvo type="min"/>
        <cfvo type="max"/>
        <color rgb="FFFF7128"/>
        <color rgb="FFFFEF9C"/>
      </colorScale>
    </cfRule>
  </conditionalFormatting>
  <conditionalFormatting sqref="D112:D141 D2:D68 D70 D72:D105">
    <cfRule type="colorScale" priority="491">
      <colorScale>
        <cfvo type="min"/>
        <cfvo type="max"/>
        <color rgb="FFFF7128"/>
        <color rgb="FFFFEF9C"/>
      </colorScale>
    </cfRule>
  </conditionalFormatting>
  <conditionalFormatting sqref="E106:O111">
    <cfRule type="expression" dxfId="62" priority="48">
      <formula>_xlfn.ISFORMULA(E106)</formula>
    </cfRule>
  </conditionalFormatting>
  <conditionalFormatting sqref="G84:G85">
    <cfRule type="expression" dxfId="61" priority="224">
      <formula>$B84&lt;2</formula>
    </cfRule>
    <cfRule type="expression" dxfId="60" priority="223">
      <formula>$B84=2</formula>
    </cfRule>
    <cfRule type="expression" dxfId="59" priority="222">
      <formula>$B84=3</formula>
    </cfRule>
    <cfRule type="expression" dxfId="58" priority="225">
      <formula>$B84=0</formula>
    </cfRule>
  </conditionalFormatting>
  <conditionalFormatting sqref="H5">
    <cfRule type="expression" dxfId="57" priority="28">
      <formula>$B5=3</formula>
    </cfRule>
    <cfRule type="expression" dxfId="56" priority="31">
      <formula>$B5=0</formula>
    </cfRule>
    <cfRule type="expression" dxfId="55" priority="30">
      <formula>$B5&lt;2</formula>
    </cfRule>
    <cfRule type="expression" dxfId="54" priority="29">
      <formula>$B5=2</formula>
    </cfRule>
  </conditionalFormatting>
  <conditionalFormatting sqref="H59:J61">
    <cfRule type="expression" dxfId="53" priority="79">
      <formula>_xlfn.ISFORMULA(H59)</formula>
    </cfRule>
    <cfRule type="expression" dxfId="52" priority="83">
      <formula>$B59=0</formula>
    </cfRule>
  </conditionalFormatting>
  <conditionalFormatting sqref="H1:O1048576">
    <cfRule type="expression" dxfId="51" priority="89">
      <formula>_xlfn.ISFORMULA(H1)</formula>
    </cfRule>
  </conditionalFormatting>
  <conditionalFormatting sqref="H56:O58">
    <cfRule type="expression" dxfId="50" priority="84">
      <formula>_xlfn.ISFORMULA(H56)</formula>
    </cfRule>
  </conditionalFormatting>
  <conditionalFormatting sqref="H57:Q61">
    <cfRule type="expression" dxfId="49" priority="75">
      <formula>$B57=3</formula>
    </cfRule>
    <cfRule type="expression" dxfId="48" priority="76">
      <formula>$B57=2</formula>
    </cfRule>
    <cfRule type="expression" dxfId="47" priority="77">
      <formula>$B57&lt;2</formula>
    </cfRule>
  </conditionalFormatting>
  <conditionalFormatting sqref="H56:T56 H57:Q58 S57:T61">
    <cfRule type="expression" dxfId="46" priority="88">
      <formula>$B56=0</formula>
    </cfRule>
  </conditionalFormatting>
  <conditionalFormatting sqref="H56:T56 S57:T61">
    <cfRule type="expression" dxfId="45" priority="87">
      <formula>$B56&lt;2</formula>
    </cfRule>
    <cfRule type="expression" dxfId="44" priority="85">
      <formula>$B56=3</formula>
    </cfRule>
    <cfRule type="expression" dxfId="43" priority="86">
      <formula>$B56=2</formula>
    </cfRule>
  </conditionalFormatting>
  <conditionalFormatting sqref="I69">
    <cfRule type="expression" dxfId="42" priority="21">
      <formula>_xlfn.ISFORMULA(I69)</formula>
    </cfRule>
  </conditionalFormatting>
  <conditionalFormatting sqref="I132:J133">
    <cfRule type="expression" dxfId="41" priority="108">
      <formula>$B133&lt;2</formula>
    </cfRule>
    <cfRule type="expression" dxfId="40" priority="106">
      <formula>$B133=3</formula>
    </cfRule>
    <cfRule type="expression" dxfId="39" priority="107">
      <formula>$B133=2</formula>
    </cfRule>
    <cfRule type="expression" dxfId="38" priority="109">
      <formula>$B133=0</formula>
    </cfRule>
  </conditionalFormatting>
  <conditionalFormatting sqref="I113:K114">
    <cfRule type="expression" dxfId="37" priority="189">
      <formula>$B113=0</formula>
    </cfRule>
    <cfRule type="expression" dxfId="36" priority="186">
      <formula>$B113=3</formula>
    </cfRule>
    <cfRule type="expression" dxfId="35" priority="187">
      <formula>$B113=2</formula>
    </cfRule>
    <cfRule type="expression" dxfId="34" priority="188">
      <formula>$B113&lt;2</formula>
    </cfRule>
  </conditionalFormatting>
  <conditionalFormatting sqref="J88">
    <cfRule type="expression" dxfId="33" priority="428">
      <formula>#REF!=3</formula>
    </cfRule>
    <cfRule type="expression" dxfId="32" priority="427">
      <formula>#REF!=0</formula>
    </cfRule>
    <cfRule type="expression" dxfId="31" priority="426">
      <formula>#REF!&lt;2</formula>
    </cfRule>
    <cfRule type="expression" dxfId="30" priority="425">
      <formula>#REF!=2</formula>
    </cfRule>
    <cfRule type="expression" dxfId="29" priority="35">
      <formula>$B88=0</formula>
    </cfRule>
  </conditionalFormatting>
  <conditionalFormatting sqref="J88:T88">
    <cfRule type="expression" dxfId="28" priority="33">
      <formula>$B88=2</formula>
    </cfRule>
    <cfRule type="expression" dxfId="27" priority="34">
      <formula>$B88&lt;2</formula>
    </cfRule>
    <cfRule type="expression" dxfId="26" priority="32">
      <formula>$B88=3</formula>
    </cfRule>
  </conditionalFormatting>
  <conditionalFormatting sqref="L69">
    <cfRule type="expression" dxfId="25" priority="16">
      <formula>_xlfn.ISFORMULA(L69)</formula>
    </cfRule>
  </conditionalFormatting>
  <conditionalFormatting sqref="L69:T69">
    <cfRule type="expression" dxfId="24" priority="17">
      <formula>$B69=0</formula>
    </cfRule>
  </conditionalFormatting>
  <conditionalFormatting sqref="O59:O61">
    <cfRule type="expression" dxfId="23" priority="74">
      <formula>_xlfn.ISFORMULA(O59)</formula>
    </cfRule>
  </conditionalFormatting>
  <conditionalFormatting sqref="O95:O96 E71:O71">
    <cfRule type="expression" dxfId="22" priority="68">
      <formula>_xlfn.ISFORMULA(E71)</formula>
    </cfRule>
  </conditionalFormatting>
  <conditionalFormatting sqref="O119">
    <cfRule type="expression" dxfId="21" priority="245">
      <formula>$B120&lt;2</formula>
    </cfRule>
    <cfRule type="expression" dxfId="20" priority="243">
      <formula>$B120=3</formula>
    </cfRule>
    <cfRule type="expression" dxfId="19" priority="244">
      <formula>$B120=2</formula>
    </cfRule>
    <cfRule type="expression" dxfId="18" priority="246">
      <formula>$B120=0</formula>
    </cfRule>
  </conditionalFormatting>
  <conditionalFormatting sqref="O59:Q61">
    <cfRule type="expression" dxfId="17" priority="78">
      <formula>$B59=0</formula>
    </cfRule>
  </conditionalFormatting>
  <conditionalFormatting sqref="Q122">
    <cfRule type="expression" dxfId="16" priority="170">
      <formula>$B122=3</formula>
    </cfRule>
    <cfRule type="expression" dxfId="15" priority="173">
      <formula>$B122=0</formula>
    </cfRule>
    <cfRule type="expression" dxfId="14" priority="172">
      <formula>$B122&lt;2</formula>
    </cfRule>
    <cfRule type="expression" dxfId="13" priority="171">
      <formula>$B122=2</formula>
    </cfRule>
  </conditionalFormatting>
  <conditionalFormatting sqref="Q126:Q127">
    <cfRule type="expression" dxfId="12" priority="169">
      <formula>$B126=0</formula>
    </cfRule>
    <cfRule type="expression" dxfId="11" priority="168">
      <formula>$B126&lt;2</formula>
    </cfRule>
    <cfRule type="expression" dxfId="10" priority="167">
      <formula>$B126=2</formula>
    </cfRule>
    <cfRule type="expression" dxfId="9" priority="166">
      <formula>$B126=3</formula>
    </cfRule>
  </conditionalFormatting>
  <conditionalFormatting sqref="Q75:T76">
    <cfRule type="expression" dxfId="8" priority="67">
      <formula>$B75=0</formula>
    </cfRule>
  </conditionalFormatting>
  <conditionalFormatting sqref="Q120:T121">
    <cfRule type="expression" dxfId="7" priority="133">
      <formula>$B120=0</formula>
    </cfRule>
    <cfRule type="expression" dxfId="6" priority="130">
      <formula>$B120=3</formula>
    </cfRule>
    <cfRule type="expression" dxfId="5" priority="131">
      <formula>$B120=2</formula>
    </cfRule>
    <cfRule type="expression" dxfId="4" priority="132">
      <formula>$B120&lt;2</formula>
    </cfRule>
  </conditionalFormatting>
  <conditionalFormatting sqref="S84">
    <cfRule type="expression" dxfId="3" priority="251">
      <formula>$B83=3</formula>
    </cfRule>
    <cfRule type="expression" dxfId="2" priority="252">
      <formula>$B83=2</formula>
    </cfRule>
    <cfRule type="expression" dxfId="1" priority="253">
      <formula>$B83&lt;2</formula>
    </cfRule>
    <cfRule type="expression" dxfId="0" priority="254">
      <formula>$B83=0</formula>
    </cfRule>
  </conditionalFormatting>
  <dataValidations count="14">
    <dataValidation type="whole" allowBlank="1" showInputMessage="1" showErrorMessage="1" sqref="O142:P149 O2:O119 O121:O141" xr:uid="{7C199008-9AB6-6549-A861-AD474C13E949}">
      <formula1>1950</formula1>
      <formula2>2025</formula2>
    </dataValidation>
    <dataValidation type="decimal" operator="greaterThan" allowBlank="1" showInputMessage="1" showErrorMessage="1" sqref="I2:I9 I11:I41 I45:I47 I49:I51 I72 L73:L81 I77:I82 H101:H102 H105:H112 I55:I67 L59:L71 L1:L55 H2:H98 I84:I117 L83:L1048576 H116:H141 I119:I141" xr:uid="{66ABF627-CC97-3E44-B6AC-09E441BED0CD}">
      <formula1>0</formula1>
    </dataValidation>
    <dataValidation type="list" allowBlank="1" showInputMessage="1" showErrorMessage="1" sqref="K316:K326"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42:J1048576" xr:uid="{EEDF1E2A-32DC-6242-8EBD-BD01BBD19C77}">
      <formula1>"$/acres, $/MWe, $/m^3, $/MWt"</formula1>
    </dataValidation>
    <dataValidation type="whole" allowBlank="1" showInputMessage="1" showErrorMessage="1" sqref="N142:N295" xr:uid="{6D536505-A5B6-E145-A4B9-9C3C8E6B8527}">
      <formula1>0</formula1>
      <formula2>2</formula2>
    </dataValidation>
    <dataValidation type="decimal" allowBlank="1" showInputMessage="1" showErrorMessage="1" sqref="N2:N68 N70:N105 N112:N141" xr:uid="{1C0096F5-23AB-5A48-8F14-E27BC72A38A6}">
      <formula1>0</formula1>
      <formula2>2</formula2>
    </dataValidation>
    <dataValidation type="list" allowBlank="1" showInputMessage="1" showErrorMessage="1" sqref="M105 M2:M68 M70:M102 M112:M141" xr:uid="{127B7473-9D01-354E-A3BD-12180E660A5C}">
      <formula1>"acres, MWe, m^3, MWt, Kg, Drums, kW, $, m^2, kg/s"</formula1>
    </dataValidation>
    <dataValidation type="list" allowBlank="1" showInputMessage="1" showErrorMessage="1" sqref="J2:J68 J70:J105 J112:J141" xr:uid="{0FCCEC2F-487A-5A42-9C52-ED538456C753}">
      <formula1>"$/MWeHour,$/FTE, $/acres, $/MWe, $/m^3, $/MWt, $/Kg, $/Drum, $/(kg.sec), $/SWU, unitless, $/kWe"</formula1>
    </dataValidation>
    <dataValidation type="list" allowBlank="1" showInputMessage="1" showErrorMessage="1" sqref="M103:M104" xr:uid="{3DD8CB7E-F66A-4C30-8943-BB08D88ABA07}">
      <formula1>"acres, MWe, m^3, MWt, Kg, Drums, kW, $, m^2, kg/s, kWe"</formula1>
    </dataValidation>
    <dataValidation type="list" allowBlank="1" showInputMessage="1" showErrorMessage="1" sqref="J106:J111 J69" xr:uid="{C16DBC1B-3C9C-41C9-938B-EDB37E52B5AE}">
      <formula1>"$/MWeHour,$/FTE, $/acres, $/MWe, $/m^3, $/MWt, $/Kg, $/Drum, $/(kg.sec), $/SWU, unitless"</formula1>
    </dataValidation>
    <dataValidation type="list" allowBlank="1" showInputMessage="1" showErrorMessage="1" sqref="M106:M111 M69" xr:uid="{D3B885B1-E20F-47DA-80AD-4B608DA1A8DB}">
      <formula1>"acres, MWe, m^3, MWt, Kg, Drums, kW, $"</formula1>
    </dataValidation>
    <dataValidation type="decimal" allowBlank="1" showInputMessage="1" showErrorMessage="1" sqref="N106:N111 N69" xr:uid="{68CE29B1-8A74-4C55-81EE-3E98A1DF9596}">
      <formula1>0</formula1>
      <formula2>1</formula2>
    </dataValidation>
    <dataValidation type="list" allowBlank="1" showInputMessage="1" showErrorMessage="1" sqref="E2:E141" xr:uid="{E571E7A1-C2F9-2E4D-99A9-8FA0C5D45C39}">
      <formula1>"standard, nonstandard"</formula1>
    </dataValidation>
    <dataValidation type="list" allowBlank="1" showInputMessage="1" showErrorMessage="1" sqref="P2:P141" xr:uid="{17DDFD40-D97D-B64B-BD3B-AEAF52F6302C}">
      <formula1>"NA, General, Labor, Material, Equipment,Lab and Mat and Equip, 'Lab and Equip"</formula1>
    </dataValidation>
  </dataValidations>
  <hyperlinks>
    <hyperlink ref="S3" r:id="rId1" xr:uid="{BA0D9C81-F547-414C-A28F-25DA56C7D1AB}"/>
    <hyperlink ref="S42" r:id="rId2" display="https://inldigitallibrary.inl.gov/sites/sti/sti/Sort_129862.pdf_x000a__x000a_" xr:uid="{0C5690C1-ED1C-8647-B6EB-55013768C9A4}"/>
    <hyperlink ref="S84" r:id="rId3" display="https://www.sciencedirect.com/science/article/pii/S1290072903000218" xr:uid="{FB986645-DAA7-E546-AB13-44635CD5B6AC}"/>
    <hyperlink ref="S98" r:id="rId4" xr:uid="{22457633-A12F-48B5-9254-21F42C65D36E}"/>
    <hyperlink ref="S103" r:id="rId5" xr:uid="{9733E874-F01F-4A23-AD17-429EACFE0390}"/>
    <hyperlink ref="S104" r:id="rId6" xr:uid="{9C11E421-3DD6-4772-9616-7E50D5AE12D8}"/>
    <hyperlink ref="S99" r:id="rId7" xr:uid="{393EA17C-0C00-46CE-9606-5006E4E9652C}"/>
  </hyperlinks>
  <pageMargins left="0.7" right="0.7" top="0.75" bottom="0.75" header="0.3" footer="0.3"/>
  <pageSetup orientation="portrait" r:id="rId8"/>
  <legacy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71" zoomScale="183" workbookViewId="0">
      <selection activeCell="A29" sqref="A29"/>
    </sheetView>
  </sheetViews>
  <sheetFormatPr defaultColWidth="11.5703125" defaultRowHeight="15"/>
  <cols>
    <col min="1" max="1" width="11.7109375" style="32" customWidth="1"/>
    <col min="2" max="2" width="35.7109375" style="17" customWidth="1"/>
    <col min="3" max="3" width="20.7109375" style="18" customWidth="1"/>
    <col min="5" max="5" width="12.7109375" bestFit="1" customWidth="1"/>
  </cols>
  <sheetData>
    <row r="1" spans="1:5" ht="15" customHeight="1">
      <c r="A1" s="95" t="s">
        <v>189</v>
      </c>
      <c r="B1" s="96" t="s">
        <v>1</v>
      </c>
      <c r="C1" s="97" t="s">
        <v>318</v>
      </c>
    </row>
    <row r="2" spans="1:5">
      <c r="A2" s="95"/>
      <c r="B2" s="96"/>
      <c r="C2" s="98"/>
    </row>
    <row r="3" spans="1:5">
      <c r="A3" s="30">
        <v>10</v>
      </c>
      <c r="B3" s="14" t="s">
        <v>2</v>
      </c>
      <c r="C3" s="15">
        <f>C4</f>
        <v>5210451</v>
      </c>
    </row>
    <row r="4" spans="1:5">
      <c r="A4" s="31">
        <v>15</v>
      </c>
      <c r="B4" s="12" t="s">
        <v>5</v>
      </c>
      <c r="C4" s="13">
        <v>5210451</v>
      </c>
      <c r="E4" s="13"/>
    </row>
    <row r="5" spans="1:5">
      <c r="A5" s="30">
        <v>20</v>
      </c>
      <c r="B5" s="14" t="s">
        <v>6</v>
      </c>
      <c r="C5" s="15">
        <f>C6+C13+C45+C48+C52+C54</f>
        <v>30295715.421999998</v>
      </c>
    </row>
    <row r="6" spans="1:5">
      <c r="A6" s="31">
        <v>21</v>
      </c>
      <c r="B6" s="12" t="s">
        <v>7</v>
      </c>
      <c r="C6" s="13">
        <f>C7+C8+C9+C10</f>
        <v>2799006.7319999975</v>
      </c>
    </row>
    <row r="7" spans="1:5">
      <c r="A7" s="31">
        <v>211</v>
      </c>
      <c r="B7" s="12" t="s">
        <v>191</v>
      </c>
      <c r="C7" s="13"/>
    </row>
    <row r="8" spans="1:5">
      <c r="A8" s="31">
        <v>212</v>
      </c>
      <c r="B8" s="12" t="s">
        <v>8</v>
      </c>
      <c r="C8" s="13">
        <v>2573469.8719999976</v>
      </c>
    </row>
    <row r="9" spans="1:5">
      <c r="A9" s="31">
        <v>213</v>
      </c>
      <c r="B9" s="12" t="s">
        <v>122</v>
      </c>
      <c r="C9" s="13"/>
    </row>
    <row r="10" spans="1:5">
      <c r="A10" s="31">
        <v>214</v>
      </c>
      <c r="B10" s="12" t="s">
        <v>9</v>
      </c>
      <c r="C10" s="13">
        <f>SUM(C11:C11)</f>
        <v>225536.86</v>
      </c>
    </row>
    <row r="11" spans="1:5" ht="30">
      <c r="A11" s="31">
        <v>214.7</v>
      </c>
      <c r="B11" s="12" t="s">
        <v>192</v>
      </c>
      <c r="C11" s="13">
        <v>225536.86</v>
      </c>
      <c r="E11" s="34"/>
    </row>
    <row r="12" spans="1:5">
      <c r="A12" s="31">
        <v>217</v>
      </c>
      <c r="B12" s="12" t="s">
        <v>193</v>
      </c>
      <c r="C12" s="13"/>
    </row>
    <row r="13" spans="1:5">
      <c r="A13" s="31">
        <v>22</v>
      </c>
      <c r="B13" s="12" t="s">
        <v>10</v>
      </c>
      <c r="C13" s="13">
        <f>C14+C32+C41+C42+C43+C44</f>
        <v>17586712.57</v>
      </c>
    </row>
    <row r="14" spans="1:5">
      <c r="A14" s="31">
        <v>221</v>
      </c>
      <c r="B14" s="12" t="s">
        <v>11</v>
      </c>
      <c r="C14" s="13">
        <f>C15+C19+C25</f>
        <v>8937296.5999999996</v>
      </c>
    </row>
    <row r="15" spans="1:5">
      <c r="A15" s="31">
        <v>221.1</v>
      </c>
      <c r="B15" s="12" t="s">
        <v>188</v>
      </c>
      <c r="C15" s="13">
        <f>C16+C17+C18</f>
        <v>2004852</v>
      </c>
    </row>
    <row r="16" spans="1:5">
      <c r="A16" s="31">
        <v>221.11</v>
      </c>
      <c r="B16" s="12" t="s">
        <v>187</v>
      </c>
      <c r="C16" s="13">
        <v>762382.4</v>
      </c>
    </row>
    <row r="17" spans="1:4">
      <c r="A17" s="31">
        <v>221.12</v>
      </c>
      <c r="B17" s="16" t="s">
        <v>194</v>
      </c>
      <c r="C17" s="13">
        <v>1201688.6000000001</v>
      </c>
    </row>
    <row r="18" spans="1:4">
      <c r="A18" s="31">
        <v>221.13</v>
      </c>
      <c r="B18" s="16" t="s">
        <v>195</v>
      </c>
      <c r="C18" s="13">
        <v>40781</v>
      </c>
    </row>
    <row r="19" spans="1:4">
      <c r="A19" s="31">
        <v>221.2</v>
      </c>
      <c r="B19" s="16" t="s">
        <v>196</v>
      </c>
      <c r="C19" s="13">
        <f>C20</f>
        <v>2114223</v>
      </c>
    </row>
    <row r="20" spans="1:4" ht="15.75" thickBot="1">
      <c r="A20" s="31">
        <v>221.21</v>
      </c>
      <c r="B20" s="16" t="s">
        <v>197</v>
      </c>
      <c r="C20" s="13">
        <f>SUM(C21:C23)</f>
        <v>2114223</v>
      </c>
    </row>
    <row r="21" spans="1:4" ht="15.75" thickBot="1">
      <c r="A21" s="10">
        <v>221.21100000000001</v>
      </c>
      <c r="B21" s="11" t="s">
        <v>12</v>
      </c>
      <c r="C21" s="13">
        <v>1391560</v>
      </c>
      <c r="D21" s="8"/>
    </row>
    <row r="22" spans="1:4" ht="15.75" thickBot="1">
      <c r="A22" s="10">
        <v>221.21199999999999</v>
      </c>
      <c r="B22" s="11" t="s">
        <v>133</v>
      </c>
      <c r="C22" s="13">
        <v>322663</v>
      </c>
    </row>
    <row r="23" spans="1:4" ht="15.75" thickBot="1">
      <c r="A23" s="10">
        <v>221.21299999999999</v>
      </c>
      <c r="B23" s="11" t="s">
        <v>181</v>
      </c>
      <c r="C23" s="13">
        <v>400000</v>
      </c>
    </row>
    <row r="24" spans="1:4" ht="15.75" thickBot="1">
      <c r="A24" s="10">
        <v>221.214</v>
      </c>
      <c r="B24" s="11" t="s">
        <v>182</v>
      </c>
    </row>
    <row r="25" spans="1:4">
      <c r="A25" s="31">
        <v>221.3</v>
      </c>
      <c r="B25" s="16" t="s">
        <v>198</v>
      </c>
      <c r="C25" s="13">
        <f>C26+C30+C31</f>
        <v>4818221.5999999996</v>
      </c>
    </row>
    <row r="26" spans="1:4">
      <c r="A26" s="31">
        <v>221.31</v>
      </c>
      <c r="B26" s="16" t="s">
        <v>13</v>
      </c>
      <c r="C26" s="13">
        <v>4170231</v>
      </c>
    </row>
    <row r="27" spans="1:4">
      <c r="A27" s="33">
        <v>221.31100000000001</v>
      </c>
      <c r="B27" s="16" t="s">
        <v>322</v>
      </c>
      <c r="C27" s="13">
        <v>3200000</v>
      </c>
    </row>
    <row r="28" spans="1:4">
      <c r="A28" s="33">
        <v>221.31200000000001</v>
      </c>
      <c r="B28" s="16" t="s">
        <v>324</v>
      </c>
      <c r="C28" s="13">
        <v>850000</v>
      </c>
    </row>
    <row r="29" spans="1:4">
      <c r="A29" s="33">
        <v>221.31299999999999</v>
      </c>
      <c r="B29" s="16" t="s">
        <v>323</v>
      </c>
      <c r="C29" s="13">
        <v>120231</v>
      </c>
    </row>
    <row r="30" spans="1:4">
      <c r="A30" s="31">
        <v>221.32</v>
      </c>
      <c r="B30" s="16" t="s">
        <v>14</v>
      </c>
      <c r="C30" s="13">
        <v>647990.6</v>
      </c>
    </row>
    <row r="31" spans="1:4">
      <c r="A31" s="31">
        <v>221.33</v>
      </c>
      <c r="B31" s="16" t="s">
        <v>199</v>
      </c>
      <c r="C31" s="13">
        <v>0</v>
      </c>
    </row>
    <row r="32" spans="1:4">
      <c r="A32" s="31" t="s">
        <v>200</v>
      </c>
      <c r="B32" s="12" t="s">
        <v>15</v>
      </c>
      <c r="C32" s="13">
        <f>C33+C34+C38+C39+C40</f>
        <v>5908950.5999999996</v>
      </c>
    </row>
    <row r="33" spans="1:3">
      <c r="A33" s="31">
        <v>222.1</v>
      </c>
      <c r="B33" s="12" t="s">
        <v>201</v>
      </c>
      <c r="C33" s="13">
        <v>0</v>
      </c>
    </row>
    <row r="34" spans="1:3">
      <c r="A34" s="31">
        <v>222.2</v>
      </c>
      <c r="B34" s="12" t="s">
        <v>202</v>
      </c>
      <c r="C34" s="13">
        <v>4890230.5999999996</v>
      </c>
    </row>
    <row r="35" spans="1:3" ht="30">
      <c r="A35" s="31">
        <v>222.21</v>
      </c>
      <c r="B35" s="12" t="s">
        <v>319</v>
      </c>
      <c r="C35" s="13">
        <v>1520786</v>
      </c>
    </row>
    <row r="36" spans="1:3" ht="30">
      <c r="A36" s="31">
        <v>222.22</v>
      </c>
      <c r="B36" s="12" t="s">
        <v>320</v>
      </c>
      <c r="C36" s="13">
        <v>3341486</v>
      </c>
    </row>
    <row r="37" spans="1:3" ht="30">
      <c r="A37" s="31">
        <v>222.23</v>
      </c>
      <c r="B37" s="12" t="s">
        <v>321</v>
      </c>
      <c r="C37" s="13">
        <v>27958.6</v>
      </c>
    </row>
    <row r="38" spans="1:3">
      <c r="A38" s="31">
        <v>222.3</v>
      </c>
      <c r="B38" s="12" t="s">
        <v>17</v>
      </c>
      <c r="C38" s="13">
        <v>0</v>
      </c>
    </row>
    <row r="39" spans="1:3">
      <c r="A39" s="31">
        <v>222.4</v>
      </c>
      <c r="B39" s="12" t="s">
        <v>203</v>
      </c>
      <c r="C39" s="13">
        <v>0</v>
      </c>
    </row>
    <row r="40" spans="1:3">
      <c r="A40" s="31">
        <v>222.5</v>
      </c>
      <c r="B40" s="12" t="s">
        <v>204</v>
      </c>
      <c r="C40" s="13">
        <v>1018720</v>
      </c>
    </row>
    <row r="41" spans="1:3" ht="30">
      <c r="A41" s="31" t="s">
        <v>205</v>
      </c>
      <c r="B41" s="12" t="s">
        <v>206</v>
      </c>
      <c r="C41" s="13"/>
    </row>
    <row r="42" spans="1:3">
      <c r="A42" s="31" t="s">
        <v>207</v>
      </c>
      <c r="B42" s="12" t="s">
        <v>208</v>
      </c>
      <c r="C42" s="13">
        <v>456297</v>
      </c>
    </row>
    <row r="43" spans="1:3" ht="30">
      <c r="A43" s="31" t="s">
        <v>209</v>
      </c>
      <c r="B43" s="12" t="s">
        <v>20</v>
      </c>
      <c r="C43" s="13">
        <v>2253208.37</v>
      </c>
    </row>
    <row r="44" spans="1:3">
      <c r="A44" s="31" t="s">
        <v>210</v>
      </c>
      <c r="B44" s="12" t="s">
        <v>211</v>
      </c>
      <c r="C44" s="13">
        <v>30960</v>
      </c>
    </row>
    <row r="45" spans="1:3">
      <c r="A45" s="31">
        <v>23</v>
      </c>
      <c r="B45" s="12" t="s">
        <v>212</v>
      </c>
      <c r="C45" s="13">
        <f>C46</f>
        <v>0</v>
      </c>
    </row>
    <row r="46" spans="1:3">
      <c r="A46" s="31">
        <v>232</v>
      </c>
      <c r="B46" s="12" t="s">
        <v>22</v>
      </c>
      <c r="C46" s="13">
        <f>C47</f>
        <v>0</v>
      </c>
    </row>
    <row r="47" spans="1:3">
      <c r="A47" s="31">
        <v>232.1</v>
      </c>
      <c r="B47" s="12" t="s">
        <v>213</v>
      </c>
      <c r="C47" s="13">
        <v>0</v>
      </c>
    </row>
    <row r="48" spans="1:3">
      <c r="A48" s="31">
        <v>24</v>
      </c>
      <c r="B48" s="12" t="s">
        <v>23</v>
      </c>
      <c r="C48" s="13">
        <f>C49+C50+C51</f>
        <v>73415.62000000001</v>
      </c>
    </row>
    <row r="49" spans="1:3">
      <c r="A49" s="31" t="s">
        <v>214</v>
      </c>
      <c r="B49" s="12" t="s">
        <v>215</v>
      </c>
      <c r="C49" s="13">
        <v>1627.02</v>
      </c>
    </row>
    <row r="50" spans="1:3">
      <c r="A50" s="31" t="s">
        <v>216</v>
      </c>
      <c r="B50" s="12" t="s">
        <v>217</v>
      </c>
      <c r="C50" s="13">
        <v>0</v>
      </c>
    </row>
    <row r="51" spans="1:3">
      <c r="A51" s="31" t="s">
        <v>218</v>
      </c>
      <c r="B51" s="12" t="s">
        <v>219</v>
      </c>
      <c r="C51" s="13">
        <v>71788.600000000006</v>
      </c>
    </row>
    <row r="52" spans="1:3">
      <c r="A52" s="31">
        <v>25</v>
      </c>
      <c r="B52" s="12" t="s">
        <v>24</v>
      </c>
      <c r="C52" s="13">
        <f>C53</f>
        <v>9836580.5</v>
      </c>
    </row>
    <row r="53" spans="1:3">
      <c r="A53" s="31" t="s">
        <v>220</v>
      </c>
      <c r="B53" s="12" t="s">
        <v>28</v>
      </c>
      <c r="C53" s="13">
        <v>9836580.5</v>
      </c>
    </row>
    <row r="54" spans="1:3">
      <c r="A54" s="31">
        <v>26</v>
      </c>
      <c r="B54" s="12" t="s">
        <v>221</v>
      </c>
      <c r="C54" s="13"/>
    </row>
    <row r="55" spans="1:3">
      <c r="A55" s="30">
        <v>30</v>
      </c>
      <c r="B55" s="14" t="s">
        <v>29</v>
      </c>
      <c r="C55" s="15">
        <f>C56+C58+C62+C65+C68</f>
        <v>6442742.523737831</v>
      </c>
    </row>
    <row r="56" spans="1:3">
      <c r="A56" s="31">
        <v>31</v>
      </c>
      <c r="B56" s="12" t="s">
        <v>30</v>
      </c>
      <c r="C56" s="13">
        <f>C57</f>
        <v>1333020.8</v>
      </c>
    </row>
    <row r="57" spans="1:3">
      <c r="A57" s="31">
        <v>317</v>
      </c>
      <c r="B57" s="12" t="s">
        <v>222</v>
      </c>
      <c r="C57" s="13">
        <v>1333020.8</v>
      </c>
    </row>
    <row r="58" spans="1:3">
      <c r="A58" s="31">
        <v>33</v>
      </c>
      <c r="B58" s="12" t="s">
        <v>31</v>
      </c>
      <c r="C58" s="13">
        <f>C59</f>
        <v>2407166.4000000004</v>
      </c>
    </row>
    <row r="59" spans="1:3">
      <c r="A59" s="31">
        <v>331</v>
      </c>
      <c r="B59" s="12" t="s">
        <v>223</v>
      </c>
      <c r="C59" s="13">
        <f>C60+C61</f>
        <v>2407166.4000000004</v>
      </c>
    </row>
    <row r="60" spans="1:3">
      <c r="A60" s="31">
        <v>331.3</v>
      </c>
      <c r="B60" s="12" t="s">
        <v>224</v>
      </c>
      <c r="C60" s="13">
        <v>215000</v>
      </c>
    </row>
    <row r="61" spans="1:3">
      <c r="A61" s="31">
        <v>331.5</v>
      </c>
      <c r="B61" s="12" t="s">
        <v>225</v>
      </c>
      <c r="C61" s="13">
        <v>2192166.4000000004</v>
      </c>
    </row>
    <row r="62" spans="1:3">
      <c r="A62" s="31">
        <v>34</v>
      </c>
      <c r="B62" s="12" t="s">
        <v>32</v>
      </c>
      <c r="C62" s="13">
        <f>C63+C64</f>
        <v>1665282.7999999998</v>
      </c>
    </row>
    <row r="63" spans="1:3">
      <c r="A63" s="31">
        <v>341</v>
      </c>
      <c r="B63" s="12" t="s">
        <v>226</v>
      </c>
      <c r="C63" s="13">
        <v>1635355.7999999998</v>
      </c>
    </row>
    <row r="64" spans="1:3" ht="30">
      <c r="A64" s="31">
        <v>345</v>
      </c>
      <c r="B64" s="12" t="s">
        <v>227</v>
      </c>
      <c r="C64" s="13">
        <v>29927</v>
      </c>
    </row>
    <row r="65" spans="1:3">
      <c r="A65" s="31">
        <v>35</v>
      </c>
      <c r="B65" s="12" t="s">
        <v>33</v>
      </c>
      <c r="C65" s="13">
        <f>C66+C67</f>
        <v>620313.58773783164</v>
      </c>
    </row>
    <row r="66" spans="1:3">
      <c r="A66" s="31">
        <v>351</v>
      </c>
      <c r="B66" s="12" t="s">
        <v>228</v>
      </c>
      <c r="C66" s="13">
        <v>257261.4</v>
      </c>
    </row>
    <row r="67" spans="1:3">
      <c r="A67" s="31">
        <v>352</v>
      </c>
      <c r="B67" s="12" t="s">
        <v>229</v>
      </c>
      <c r="C67" s="13">
        <v>363052.18773783161</v>
      </c>
    </row>
    <row r="68" spans="1:3">
      <c r="A68" s="31">
        <v>36</v>
      </c>
      <c r="B68" s="12" t="s">
        <v>230</v>
      </c>
      <c r="C68" s="13">
        <f>C69+C70</f>
        <v>416958.9359999997</v>
      </c>
    </row>
    <row r="69" spans="1:3">
      <c r="A69" s="31">
        <v>361</v>
      </c>
      <c r="B69" s="12" t="s">
        <v>228</v>
      </c>
      <c r="C69" s="13"/>
    </row>
    <row r="70" spans="1:3">
      <c r="A70" s="31">
        <v>362</v>
      </c>
      <c r="B70" s="12" t="s">
        <v>229</v>
      </c>
      <c r="C70" s="13">
        <v>416958.9359999997</v>
      </c>
    </row>
    <row r="71" spans="1:3">
      <c r="A71" s="30">
        <v>40</v>
      </c>
      <c r="B71" s="14" t="s">
        <v>231</v>
      </c>
      <c r="C71" s="15">
        <f>C72</f>
        <v>4169765</v>
      </c>
    </row>
    <row r="72" spans="1:3">
      <c r="A72" s="31">
        <v>41</v>
      </c>
      <c r="B72" s="12" t="s">
        <v>232</v>
      </c>
      <c r="C72" s="13">
        <v>4169765</v>
      </c>
    </row>
    <row r="73" spans="1:3">
      <c r="A73" s="30">
        <v>50</v>
      </c>
      <c r="B73" s="14" t="s">
        <v>233</v>
      </c>
      <c r="C73" s="15">
        <f>C74</f>
        <v>16408781.6</v>
      </c>
    </row>
    <row r="74" spans="1:3">
      <c r="A74" s="31">
        <v>54</v>
      </c>
      <c r="B74" s="12" t="s">
        <v>234</v>
      </c>
      <c r="C74" s="13">
        <v>16408781.6</v>
      </c>
    </row>
    <row r="75" spans="1:3">
      <c r="A75" s="30">
        <v>60</v>
      </c>
      <c r="B75" s="14" t="s">
        <v>34</v>
      </c>
      <c r="C75" s="15">
        <f>C76</f>
        <v>6160606</v>
      </c>
    </row>
    <row r="76" spans="1:3">
      <c r="A76" s="31">
        <v>61</v>
      </c>
      <c r="B76" s="12" t="s">
        <v>235</v>
      </c>
      <c r="C76" s="13">
        <v>6160606</v>
      </c>
    </row>
    <row r="77" spans="1:3">
      <c r="A77" s="31">
        <v>70</v>
      </c>
      <c r="B77" s="12" t="s">
        <v>36</v>
      </c>
      <c r="C77" s="13">
        <f>C78</f>
        <v>2456659.1999999997</v>
      </c>
    </row>
    <row r="78" spans="1:3">
      <c r="A78" s="31">
        <v>71</v>
      </c>
      <c r="B78" s="12" t="s">
        <v>37</v>
      </c>
      <c r="C78" s="13">
        <v>2456659.1999999997</v>
      </c>
    </row>
    <row r="79" spans="1:3" ht="45">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defaultColWidth="10.7109375" defaultRowHeight="12.75"/>
  <cols>
    <col min="1" max="1" width="19" style="21" customWidth="1"/>
    <col min="2" max="2" width="16.42578125" style="21" customWidth="1"/>
    <col min="3" max="3" width="22.42578125" style="21" customWidth="1"/>
    <col min="4" max="4" width="32.42578125" style="21" customWidth="1"/>
    <col min="5" max="16384" width="10.7109375" style="21"/>
  </cols>
  <sheetData>
    <row r="1" spans="1:4" ht="16.5" thickBot="1">
      <c r="A1" s="19" t="s">
        <v>237</v>
      </c>
      <c r="B1" s="20" t="s">
        <v>238</v>
      </c>
      <c r="C1" s="20" t="s">
        <v>66</v>
      </c>
      <c r="D1" s="20" t="s">
        <v>239</v>
      </c>
    </row>
    <row r="2" spans="1:4" ht="13.5" thickBot="1">
      <c r="A2" s="99" t="s">
        <v>240</v>
      </c>
      <c r="B2" s="100"/>
      <c r="C2" s="100"/>
      <c r="D2" s="101"/>
    </row>
    <row r="3" spans="1:4" ht="13.5" thickBot="1">
      <c r="A3" s="22" t="s">
        <v>241</v>
      </c>
      <c r="B3" s="7">
        <v>83</v>
      </c>
      <c r="C3" s="23" t="s">
        <v>242</v>
      </c>
      <c r="D3" s="23" t="s">
        <v>243</v>
      </c>
    </row>
    <row r="4" spans="1:4" ht="13.5" thickBot="1">
      <c r="A4" s="22" t="s">
        <v>244</v>
      </c>
      <c r="B4" s="7">
        <v>20</v>
      </c>
      <c r="C4" s="23" t="s">
        <v>245</v>
      </c>
      <c r="D4" s="23"/>
    </row>
    <row r="5" spans="1:4" ht="13.5" thickBot="1">
      <c r="A5" s="22" t="s">
        <v>246</v>
      </c>
      <c r="B5" s="7">
        <v>5.5</v>
      </c>
      <c r="C5" s="23" t="s">
        <v>247</v>
      </c>
      <c r="D5" s="23" t="s">
        <v>243</v>
      </c>
    </row>
    <row r="6" spans="1:4" ht="13.5" thickBot="1">
      <c r="A6" s="22" t="s">
        <v>248</v>
      </c>
      <c r="B6" s="7">
        <v>16.5</v>
      </c>
      <c r="C6" s="23" t="s">
        <v>247</v>
      </c>
      <c r="D6" s="23" t="s">
        <v>243</v>
      </c>
    </row>
    <row r="7" spans="1:4" ht="13.5" thickBot="1">
      <c r="A7" s="99" t="s">
        <v>249</v>
      </c>
      <c r="B7" s="100"/>
      <c r="C7" s="100"/>
      <c r="D7" s="101"/>
    </row>
    <row r="8" spans="1:4" ht="13.5" thickBot="1">
      <c r="A8" s="22" t="s">
        <v>250</v>
      </c>
      <c r="B8" s="7">
        <v>145.30000000000001</v>
      </c>
      <c r="C8" s="23" t="s">
        <v>251</v>
      </c>
      <c r="D8" s="23" t="s">
        <v>252</v>
      </c>
    </row>
    <row r="9" spans="1:4" ht="13.5" thickBot="1">
      <c r="A9" s="22" t="s">
        <v>253</v>
      </c>
      <c r="B9" s="7">
        <v>30</v>
      </c>
      <c r="C9" s="23" t="s">
        <v>254</v>
      </c>
      <c r="D9" s="23" t="s">
        <v>255</v>
      </c>
    </row>
    <row r="10" spans="1:4" ht="13.5" thickBot="1">
      <c r="A10" s="22" t="s">
        <v>256</v>
      </c>
      <c r="B10" s="7">
        <v>19.75</v>
      </c>
      <c r="C10" s="23" t="s">
        <v>254</v>
      </c>
      <c r="D10" s="23" t="s">
        <v>257</v>
      </c>
    </row>
    <row r="11" spans="1:4" ht="13.5" thickBot="1">
      <c r="A11" s="22" t="s">
        <v>258</v>
      </c>
      <c r="B11" s="7">
        <v>36</v>
      </c>
      <c r="C11" s="23" t="s">
        <v>259</v>
      </c>
      <c r="D11" s="23" t="s">
        <v>243</v>
      </c>
    </row>
    <row r="12" spans="1:4" ht="13.5" thickBot="1">
      <c r="A12" s="99" t="s">
        <v>13</v>
      </c>
      <c r="B12" s="100"/>
      <c r="C12" s="100"/>
      <c r="D12" s="101"/>
    </row>
    <row r="13" spans="1:4" ht="13.5" thickBot="1">
      <c r="A13" s="22" t="s">
        <v>260</v>
      </c>
      <c r="B13" s="7" t="s">
        <v>261</v>
      </c>
      <c r="C13" s="23" t="s">
        <v>243</v>
      </c>
      <c r="D13" s="23" t="s">
        <v>262</v>
      </c>
    </row>
    <row r="14" spans="1:4" ht="13.5" thickBot="1">
      <c r="A14" s="22" t="s">
        <v>263</v>
      </c>
      <c r="B14" s="7">
        <v>124</v>
      </c>
      <c r="C14" s="23" t="s">
        <v>259</v>
      </c>
      <c r="D14" s="23" t="s">
        <v>264</v>
      </c>
    </row>
    <row r="15" spans="1:4" ht="13.5" thickBot="1">
      <c r="A15" s="22" t="s">
        <v>265</v>
      </c>
      <c r="B15" s="7">
        <v>1</v>
      </c>
      <c r="C15" s="23" t="s">
        <v>247</v>
      </c>
      <c r="D15" s="23" t="s">
        <v>243</v>
      </c>
    </row>
    <row r="16" spans="1:4" ht="16.5" thickBot="1">
      <c r="A16" s="22" t="s">
        <v>266</v>
      </c>
      <c r="B16" s="7">
        <v>818.4</v>
      </c>
      <c r="C16" s="23" t="s">
        <v>267</v>
      </c>
      <c r="D16" s="23" t="s">
        <v>243</v>
      </c>
    </row>
    <row r="17" spans="1:4" ht="13.5" thickBot="1">
      <c r="A17" s="22" t="s">
        <v>268</v>
      </c>
      <c r="B17" s="7">
        <v>318</v>
      </c>
      <c r="C17" s="23" t="s">
        <v>173</v>
      </c>
      <c r="D17" s="23"/>
    </row>
    <row r="18" spans="1:4" ht="16.5" thickBot="1">
      <c r="A18" s="22" t="s">
        <v>269</v>
      </c>
      <c r="B18" s="7">
        <v>570</v>
      </c>
      <c r="C18" s="23" t="s">
        <v>267</v>
      </c>
      <c r="D18" s="23" t="s">
        <v>243</v>
      </c>
    </row>
    <row r="19" spans="1:4" ht="13.5" thickBot="1">
      <c r="A19" s="22" t="s">
        <v>270</v>
      </c>
      <c r="B19" s="7">
        <v>1.9E-2</v>
      </c>
      <c r="C19" s="23" t="s">
        <v>271</v>
      </c>
      <c r="D19" s="23" t="s">
        <v>243</v>
      </c>
    </row>
    <row r="20" spans="1:4" ht="13.5" thickBot="1">
      <c r="A20" s="99" t="s">
        <v>272</v>
      </c>
      <c r="B20" s="100"/>
      <c r="C20" s="100"/>
      <c r="D20" s="101"/>
    </row>
    <row r="21" spans="1:4" ht="13.5" thickBot="1">
      <c r="A21" s="22" t="s">
        <v>273</v>
      </c>
      <c r="B21" s="7">
        <v>4</v>
      </c>
      <c r="C21" s="23" t="s">
        <v>259</v>
      </c>
      <c r="D21" s="23" t="s">
        <v>243</v>
      </c>
    </row>
    <row r="22" spans="1:4" ht="13.5" thickBot="1">
      <c r="A22" s="22" t="s">
        <v>274</v>
      </c>
      <c r="B22" s="7">
        <v>1</v>
      </c>
      <c r="C22" s="23" t="s">
        <v>259</v>
      </c>
      <c r="D22" s="23" t="s">
        <v>243</v>
      </c>
    </row>
    <row r="23" spans="1:4" ht="13.5" thickBot="1">
      <c r="A23" s="22" t="s">
        <v>275</v>
      </c>
      <c r="B23" s="7">
        <v>124</v>
      </c>
      <c r="C23" s="23" t="s">
        <v>259</v>
      </c>
      <c r="D23" s="23" t="s">
        <v>276</v>
      </c>
    </row>
    <row r="24" spans="1:4" ht="13.5" thickBot="1">
      <c r="A24" s="22" t="s">
        <v>277</v>
      </c>
      <c r="B24" s="7">
        <v>1</v>
      </c>
      <c r="C24" s="23" t="s">
        <v>247</v>
      </c>
      <c r="D24" s="23" t="s">
        <v>243</v>
      </c>
    </row>
    <row r="25" spans="1:4" ht="16.5" thickBot="1">
      <c r="A25" s="22" t="s">
        <v>278</v>
      </c>
      <c r="B25" s="7">
        <v>880.8</v>
      </c>
      <c r="C25" s="23" t="s">
        <v>267</v>
      </c>
      <c r="D25" s="23" t="s">
        <v>279</v>
      </c>
    </row>
    <row r="26" spans="1:4" ht="13.5" thickBot="1">
      <c r="A26" s="22" t="s">
        <v>280</v>
      </c>
      <c r="B26" s="7">
        <v>309</v>
      </c>
      <c r="C26" s="23" t="s">
        <v>173</v>
      </c>
      <c r="D26" s="23" t="s">
        <v>243</v>
      </c>
    </row>
    <row r="27" spans="1:4" ht="16.5" thickBot="1">
      <c r="A27" s="22" t="s">
        <v>281</v>
      </c>
      <c r="B27" s="7">
        <v>49.2</v>
      </c>
      <c r="C27" s="23" t="s">
        <v>267</v>
      </c>
      <c r="D27" s="23" t="s">
        <v>282</v>
      </c>
    </row>
    <row r="28" spans="1:4" ht="13.5" thickBot="1">
      <c r="A28" s="22" t="s">
        <v>283</v>
      </c>
      <c r="B28" s="7">
        <v>14</v>
      </c>
      <c r="C28" s="23" t="s">
        <v>173</v>
      </c>
      <c r="D28" s="23" t="s">
        <v>243</v>
      </c>
    </row>
    <row r="29" spans="1:4" ht="15" thickBot="1">
      <c r="A29" s="22" t="s">
        <v>284</v>
      </c>
      <c r="B29" s="7">
        <v>14</v>
      </c>
      <c r="C29" s="23" t="s">
        <v>173</v>
      </c>
      <c r="D29" s="23" t="s">
        <v>282</v>
      </c>
    </row>
    <row r="30" spans="1:4" ht="13.5" thickBot="1">
      <c r="A30" s="99" t="s">
        <v>285</v>
      </c>
      <c r="B30" s="100"/>
      <c r="C30" s="100"/>
      <c r="D30" s="101"/>
    </row>
    <row r="31" spans="1:4" ht="13.5" thickBot="1">
      <c r="A31" s="22" t="s">
        <v>286</v>
      </c>
      <c r="B31" s="7">
        <v>5</v>
      </c>
      <c r="C31" s="24"/>
      <c r="D31" s="23" t="s">
        <v>243</v>
      </c>
    </row>
    <row r="32" spans="1:4" ht="13.5" thickBot="1">
      <c r="A32" s="22" t="s">
        <v>287</v>
      </c>
      <c r="B32" s="7">
        <v>2</v>
      </c>
      <c r="C32" s="24"/>
      <c r="D32" s="23" t="s">
        <v>243</v>
      </c>
    </row>
    <row r="33" spans="1:4" ht="13.5" thickBot="1">
      <c r="A33" s="22" t="s">
        <v>288</v>
      </c>
      <c r="B33" s="7">
        <v>9</v>
      </c>
      <c r="C33" s="24"/>
      <c r="D33" s="23" t="s">
        <v>243</v>
      </c>
    </row>
    <row r="34" spans="1:4" ht="13.5" thickBot="1">
      <c r="A34" s="22" t="s">
        <v>289</v>
      </c>
      <c r="B34" s="7">
        <v>213</v>
      </c>
      <c r="C34" s="24"/>
      <c r="D34" s="23" t="s">
        <v>243</v>
      </c>
    </row>
    <row r="35" spans="1:4" s="29" customFormat="1" ht="26.25" thickBot="1">
      <c r="A35" s="25" t="s">
        <v>290</v>
      </c>
      <c r="B35" s="26">
        <v>48</v>
      </c>
      <c r="C35" s="27" t="s">
        <v>243</v>
      </c>
      <c r="D35" s="28" t="s">
        <v>291</v>
      </c>
    </row>
    <row r="36" spans="1:4" s="29" customFormat="1" ht="13.5" thickBot="1">
      <c r="A36" s="25" t="s">
        <v>190</v>
      </c>
      <c r="B36" s="26">
        <v>277</v>
      </c>
      <c r="C36" s="27"/>
      <c r="D36" s="28"/>
    </row>
    <row r="37" spans="1:4" ht="13.5" thickBot="1">
      <c r="A37" s="99" t="s">
        <v>292</v>
      </c>
      <c r="B37" s="100"/>
      <c r="C37" s="100"/>
      <c r="D37" s="101"/>
    </row>
    <row r="38" spans="1:4" ht="13.5" thickBot="1">
      <c r="A38" s="22" t="s">
        <v>293</v>
      </c>
      <c r="B38" s="7">
        <v>54.2</v>
      </c>
      <c r="C38" s="23" t="s">
        <v>173</v>
      </c>
      <c r="D38" s="23" t="s">
        <v>294</v>
      </c>
    </row>
    <row r="39" spans="1:4" ht="13.5" thickBot="1">
      <c r="A39" s="22" t="s">
        <v>295</v>
      </c>
      <c r="B39" s="7">
        <v>56.3</v>
      </c>
      <c r="C39" s="23" t="s">
        <v>173</v>
      </c>
      <c r="D39" s="23" t="s">
        <v>296</v>
      </c>
    </row>
    <row r="40" spans="1:4" ht="13.5" thickBot="1">
      <c r="A40" s="22" t="s">
        <v>297</v>
      </c>
      <c r="B40" s="7">
        <v>39.700000000000003</v>
      </c>
      <c r="C40" s="23" t="s">
        <v>173</v>
      </c>
      <c r="D40" s="23" t="s">
        <v>298</v>
      </c>
    </row>
    <row r="41" spans="1:4" ht="13.5" thickBot="1">
      <c r="A41" s="22" t="s">
        <v>299</v>
      </c>
      <c r="B41" s="7">
        <v>95.3</v>
      </c>
      <c r="C41" s="23" t="s">
        <v>173</v>
      </c>
      <c r="D41" s="23" t="s">
        <v>300</v>
      </c>
    </row>
    <row r="42" spans="1:4" ht="13.5" thickBot="1">
      <c r="A42" s="22" t="s">
        <v>301</v>
      </c>
      <c r="B42" s="7">
        <v>2571.9</v>
      </c>
      <c r="C42" s="23" t="s">
        <v>173</v>
      </c>
      <c r="D42" s="23" t="s">
        <v>302</v>
      </c>
    </row>
    <row r="43" spans="1:4" ht="13.5" thickBot="1">
      <c r="A43" s="22" t="s">
        <v>303</v>
      </c>
      <c r="B43" s="7">
        <v>925.3</v>
      </c>
      <c r="C43" s="23" t="s">
        <v>173</v>
      </c>
      <c r="D43" s="23" t="s">
        <v>304</v>
      </c>
    </row>
    <row r="44" spans="1:4" ht="13.5" thickBot="1">
      <c r="A44" s="99" t="s">
        <v>305</v>
      </c>
      <c r="B44" s="100"/>
      <c r="C44" s="100"/>
      <c r="D44" s="101"/>
    </row>
    <row r="45" spans="1:4" ht="13.5" thickBot="1">
      <c r="A45" s="22" t="s">
        <v>306</v>
      </c>
      <c r="B45" s="7">
        <v>8.3000000000000007</v>
      </c>
      <c r="C45" s="23" t="s">
        <v>271</v>
      </c>
      <c r="D45" s="23" t="s">
        <v>307</v>
      </c>
    </row>
    <row r="46" spans="1:4" ht="13.5" thickBot="1">
      <c r="A46" s="99" t="s">
        <v>308</v>
      </c>
      <c r="B46" s="100"/>
      <c r="C46" s="100"/>
      <c r="D46" s="101"/>
    </row>
    <row r="47" spans="1:4" ht="13.5" thickBot="1">
      <c r="A47" s="22" t="s">
        <v>309</v>
      </c>
      <c r="B47" s="7">
        <v>156</v>
      </c>
      <c r="C47" s="23" t="s">
        <v>173</v>
      </c>
      <c r="D47" s="23" t="s">
        <v>310</v>
      </c>
    </row>
    <row r="48" spans="1:4" ht="13.5" thickBot="1">
      <c r="A48" s="22" t="s">
        <v>311</v>
      </c>
      <c r="B48" s="7">
        <v>4</v>
      </c>
      <c r="C48" s="23" t="s">
        <v>259</v>
      </c>
      <c r="D48" s="23" t="s">
        <v>312</v>
      </c>
    </row>
    <row r="49" spans="1:4" ht="13.5" thickBot="1">
      <c r="A49" s="22" t="s">
        <v>313</v>
      </c>
      <c r="B49" s="7">
        <v>0.86</v>
      </c>
      <c r="C49" s="23" t="s">
        <v>271</v>
      </c>
      <c r="D49" s="23" t="s">
        <v>314</v>
      </c>
    </row>
    <row r="50" spans="1:4" ht="13.5" thickBot="1">
      <c r="A50" s="99" t="s">
        <v>315</v>
      </c>
      <c r="B50" s="100"/>
      <c r="C50" s="100"/>
      <c r="D50" s="101"/>
    </row>
    <row r="51" spans="1:4" ht="13.5" thickBot="1">
      <c r="A51" s="22" t="s">
        <v>316</v>
      </c>
      <c r="B51" s="7">
        <v>1.1100000000000001</v>
      </c>
      <c r="C51" s="23" t="s">
        <v>271</v>
      </c>
      <c r="D51" s="23" t="s">
        <v>310</v>
      </c>
    </row>
    <row r="52" spans="1:4" ht="13.5" thickBot="1">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topLeftCell="F11" zoomScale="156" workbookViewId="0">
      <selection activeCell="F34" sqref="F34"/>
    </sheetView>
  </sheetViews>
  <sheetFormatPr defaultColWidth="11.5703125" defaultRowHeight="15"/>
  <cols>
    <col min="2" max="2" width="15" customWidth="1"/>
    <col min="5" max="5" width="18.140625" customWidth="1"/>
    <col min="6" max="6" width="13.42578125" customWidth="1"/>
    <col min="7" max="7" width="12.42578125" customWidth="1"/>
    <col min="8" max="8" width="14.140625" customWidth="1"/>
  </cols>
  <sheetData>
    <row r="1" spans="1:8">
      <c r="A1" s="1" t="s">
        <v>47</v>
      </c>
      <c r="B1" s="1" t="s">
        <v>75</v>
      </c>
      <c r="C1" s="1" t="s">
        <v>72</v>
      </c>
      <c r="D1" s="1" t="s">
        <v>73</v>
      </c>
      <c r="E1" s="1" t="s">
        <v>74</v>
      </c>
      <c r="F1" s="1" t="s">
        <v>77</v>
      </c>
      <c r="G1" s="1" t="s">
        <v>85</v>
      </c>
      <c r="H1" s="1"/>
    </row>
    <row r="2" spans="1:8">
      <c r="A2" s="2">
        <v>1985</v>
      </c>
      <c r="B2" s="3">
        <v>2.4640873650293922</v>
      </c>
      <c r="C2" s="3">
        <v>3.1848906560636179</v>
      </c>
      <c r="D2" s="3">
        <v>3.0544913612768263</v>
      </c>
      <c r="E2" s="3">
        <v>3.830563070147845</v>
      </c>
      <c r="F2" s="4">
        <f>(C2+D2+E2)/3</f>
        <v>3.3566483624960965</v>
      </c>
      <c r="G2" s="4">
        <f>AVERAGE(C2,E2)</f>
        <v>3.5077268631057317</v>
      </c>
      <c r="H2" s="4"/>
    </row>
    <row r="3" spans="1:8">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c r="A5" s="2">
        <f t="shared" si="2"/>
        <v>1988</v>
      </c>
      <c r="B5" s="3">
        <v>2.2768416794316439</v>
      </c>
      <c r="C5" s="3">
        <v>2.8748317631224762</v>
      </c>
      <c r="D5" s="3">
        <v>2.8405735283521869</v>
      </c>
      <c r="E5" s="3">
        <v>3.5245615050651229</v>
      </c>
      <c r="F5" s="4">
        <f t="shared" si="0"/>
        <v>3.0799889321799285</v>
      </c>
      <c r="G5" s="4">
        <f t="shared" si="1"/>
        <v>3.1996966340937996</v>
      </c>
      <c r="H5" s="4"/>
    </row>
    <row r="6" spans="1:8">
      <c r="A6" s="2">
        <f t="shared" si="2"/>
        <v>1989</v>
      </c>
      <c r="B6" s="3">
        <v>2.1907944227707703</v>
      </c>
      <c r="C6" s="3">
        <v>2.7812500000000004</v>
      </c>
      <c r="D6" s="3">
        <v>2.749830508474576</v>
      </c>
      <c r="E6" s="3">
        <v>3.3126659412404789</v>
      </c>
      <c r="F6" s="4">
        <f t="shared" si="0"/>
        <v>2.9479154832383521</v>
      </c>
      <c r="G6" s="4">
        <f t="shared" si="1"/>
        <v>3.0469579706202397</v>
      </c>
      <c r="H6" s="4"/>
    </row>
    <row r="7" spans="1:8">
      <c r="A7" s="2">
        <f t="shared" si="2"/>
        <v>1990</v>
      </c>
      <c r="B7" s="3">
        <v>2.1115837130776787</v>
      </c>
      <c r="C7" s="3">
        <v>2.658921161825726</v>
      </c>
      <c r="D7" s="3">
        <v>2.7465737773442944</v>
      </c>
      <c r="E7" s="3">
        <v>3.2240826052422555</v>
      </c>
      <c r="F7" s="4">
        <f t="shared" si="0"/>
        <v>2.8765258481374256</v>
      </c>
      <c r="G7" s="4">
        <f t="shared" si="1"/>
        <v>2.9415018835339906</v>
      </c>
      <c r="H7" s="4"/>
    </row>
    <row r="8" spans="1:8">
      <c r="A8" s="2">
        <f t="shared" si="2"/>
        <v>1991</v>
      </c>
      <c r="B8" s="3">
        <v>2.0426378716949123</v>
      </c>
      <c r="C8" s="3">
        <v>2.5540055799123156</v>
      </c>
      <c r="D8" s="3">
        <v>2.7290820988508928</v>
      </c>
      <c r="E8" s="3">
        <v>3.1182024198194735</v>
      </c>
      <c r="F8" s="4">
        <f t="shared" si="0"/>
        <v>2.8004300328608935</v>
      </c>
      <c r="G8" s="4">
        <f t="shared" si="1"/>
        <v>2.8361039998658946</v>
      </c>
      <c r="H8" s="4"/>
    </row>
    <row r="9" spans="1:8">
      <c r="A9" s="2">
        <f t="shared" si="2"/>
        <v>1992</v>
      </c>
      <c r="B9" s="3">
        <v>1.9971771460468082</v>
      </c>
      <c r="C9" s="3">
        <v>2.4750869061413674</v>
      </c>
      <c r="D9" s="3">
        <v>2.6817440990408814</v>
      </c>
      <c r="E9" s="3">
        <v>2.9899601006690815</v>
      </c>
      <c r="F9" s="4">
        <f t="shared" si="0"/>
        <v>2.7155970352837766</v>
      </c>
      <c r="G9" s="4">
        <f t="shared" si="1"/>
        <v>2.7325235034052247</v>
      </c>
      <c r="H9" s="4"/>
    </row>
    <row r="10" spans="1:8">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c r="A40" s="2">
        <v>2023</v>
      </c>
      <c r="B40" s="3">
        <v>1.0242342452868769</v>
      </c>
      <c r="C40" s="3">
        <v>1.0295629820051415</v>
      </c>
      <c r="D40" s="3">
        <v>0.99021049839654707</v>
      </c>
      <c r="E40" s="3">
        <v>1.0049167421755469</v>
      </c>
      <c r="F40" s="4">
        <f t="shared" si="0"/>
        <v>1.0082300741924117</v>
      </c>
      <c r="G40" s="4">
        <f t="shared" si="1"/>
        <v>1.0172398620903442</v>
      </c>
      <c r="H40" s="4"/>
    </row>
    <row r="41" spans="1:8">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C15"/>
  <sheetViews>
    <sheetView zoomScale="164" workbookViewId="0">
      <selection activeCell="F7" sqref="F7"/>
    </sheetView>
  </sheetViews>
  <sheetFormatPr defaultColWidth="11.5703125" defaultRowHeight="15"/>
  <cols>
    <col min="1" max="1" width="27.42578125" customWidth="1"/>
    <col min="2" max="2" width="6.42578125" customWidth="1"/>
  </cols>
  <sheetData>
    <row r="1" spans="1:3" s="36" customFormat="1">
      <c r="A1" s="36" t="s">
        <v>382</v>
      </c>
      <c r="B1" s="36" t="s">
        <v>238</v>
      </c>
    </row>
    <row r="2" spans="1:3">
      <c r="A2" t="s">
        <v>381</v>
      </c>
      <c r="B2" s="4">
        <v>6.5389932052543287E-2</v>
      </c>
    </row>
    <row r="3" spans="1:3">
      <c r="A3" t="s">
        <v>391</v>
      </c>
      <c r="B3">
        <v>5</v>
      </c>
    </row>
    <row r="4" spans="1:3">
      <c r="A4" t="s">
        <v>392</v>
      </c>
      <c r="B4">
        <v>5</v>
      </c>
    </row>
    <row r="5" spans="1:3">
      <c r="A5" t="s">
        <v>393</v>
      </c>
      <c r="B5">
        <v>5</v>
      </c>
    </row>
    <row r="6" spans="1:3">
      <c r="A6" t="s">
        <v>394</v>
      </c>
      <c r="B6">
        <v>1800</v>
      </c>
    </row>
    <row r="7" spans="1:3">
      <c r="A7" t="s">
        <v>386</v>
      </c>
      <c r="B7">
        <v>10</v>
      </c>
    </row>
    <row r="8" spans="1:3">
      <c r="A8" t="s">
        <v>395</v>
      </c>
      <c r="B8">
        <v>0.01</v>
      </c>
    </row>
    <row r="9" spans="1:3">
      <c r="A9" t="s">
        <v>479</v>
      </c>
      <c r="B9">
        <v>0.08</v>
      </c>
    </row>
    <row r="10" spans="1:3" ht="15" customHeight="1">
      <c r="A10" s="5" t="s">
        <v>468</v>
      </c>
      <c r="B10">
        <v>1</v>
      </c>
      <c r="C10" s="102" t="s">
        <v>480</v>
      </c>
    </row>
    <row r="11" spans="1:3">
      <c r="A11" s="5" t="s">
        <v>469</v>
      </c>
      <c r="B11">
        <v>0.5</v>
      </c>
      <c r="C11" s="102"/>
    </row>
    <row r="12" spans="1:3">
      <c r="A12" s="5" t="s">
        <v>472</v>
      </c>
      <c r="B12">
        <v>0.6</v>
      </c>
      <c r="C12" s="102"/>
    </row>
    <row r="13" spans="1:3">
      <c r="A13" s="35" t="s">
        <v>450</v>
      </c>
      <c r="B13">
        <v>0.4</v>
      </c>
      <c r="C13" s="102"/>
    </row>
    <row r="14" spans="1:3">
      <c r="A14" s="5" t="s">
        <v>467</v>
      </c>
      <c r="B14">
        <v>0.3</v>
      </c>
      <c r="C14" s="102"/>
    </row>
    <row r="15" spans="1:3">
      <c r="A15" s="5" t="s">
        <v>481</v>
      </c>
      <c r="B15">
        <v>20</v>
      </c>
    </row>
  </sheetData>
  <mergeCells count="1">
    <mergeCell ref="C10:C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Gyutae Park</cp:lastModifiedBy>
  <dcterms:created xsi:type="dcterms:W3CDTF">2025-04-15T13:54:12Z</dcterms:created>
  <dcterms:modified xsi:type="dcterms:W3CDTF">2025-06-26T22:34:59Z</dcterms:modified>
</cp:coreProperties>
</file>