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D5C2C0AC-4575-0644-B793-319ACBFB52E9}" xr6:coauthVersionLast="47" xr6:coauthVersionMax="47" xr10:uidLastSave="{00000000-0000-0000-0000-000000000000}"/>
  <bookViews>
    <workbookView xWindow="-760" yWindow="1400" windowWidth="30240" windowHeight="1718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Database'!$A$1:$Z$168</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5" i="2" l="1"/>
  <c r="V155" i="2"/>
  <c r="I22" i="2"/>
  <c r="I61" i="2"/>
  <c r="I57" i="2"/>
  <c r="I59" i="2"/>
  <c r="I58" i="2"/>
  <c r="I54" i="2"/>
  <c r="I53" i="2"/>
  <c r="I52" i="2"/>
  <c r="I49" i="2"/>
  <c r="I48" i="2"/>
  <c r="I47" i="2"/>
  <c r="I46" i="2"/>
  <c r="I33" i="2"/>
  <c r="I32" i="2"/>
  <c r="I31" i="2"/>
  <c r="I30" i="2"/>
  <c r="I28" i="2"/>
  <c r="I27" i="2"/>
  <c r="I26" i="2"/>
  <c r="I24" i="2"/>
  <c r="I23" i="2"/>
  <c r="I13" i="2"/>
  <c r="I12" i="2"/>
  <c r="I11" i="2"/>
  <c r="I15" i="2"/>
  <c r="H155" i="2"/>
  <c r="D155" i="2"/>
  <c r="B155" i="2" l="1"/>
  <c r="W5" i="2"/>
  <c r="V5" i="2"/>
  <c r="H5" i="2"/>
  <c r="I4" i="2" l="1"/>
  <c r="H7" i="2"/>
  <c r="I115" i="2"/>
  <c r="Y106" i="2"/>
  <c r="Z106" i="2"/>
  <c r="B106" i="2"/>
  <c r="D106" i="2" s="1"/>
  <c r="H71" i="2"/>
  <c r="L71" i="2"/>
  <c r="I71" i="2" s="1"/>
  <c r="L68" i="2"/>
  <c r="I68" i="2" s="1"/>
  <c r="L67" i="2"/>
  <c r="I67" i="2" s="1"/>
  <c r="B158" i="2" l="1"/>
  <c r="B159" i="2"/>
  <c r="B160" i="2"/>
  <c r="B161" i="2"/>
  <c r="B162" i="2"/>
  <c r="D162" i="2" s="1"/>
  <c r="B163" i="2"/>
  <c r="D163" i="2" s="1"/>
  <c r="Y153" i="2"/>
  <c r="Z154" i="2" l="1"/>
  <c r="Y154" i="2"/>
  <c r="W154" i="2"/>
  <c r="V154" i="2"/>
  <c r="B154" i="2"/>
  <c r="D154" i="2" s="1"/>
  <c r="Z33" i="2"/>
  <c r="Z32" i="2"/>
  <c r="Z31" i="2"/>
  <c r="Y30" i="2"/>
  <c r="W33" i="2"/>
  <c r="V33" i="2"/>
  <c r="W32" i="2"/>
  <c r="V32" i="2"/>
  <c r="W31" i="2"/>
  <c r="V31" i="2"/>
  <c r="W30" i="2"/>
  <c r="V30" i="2"/>
  <c r="B33" i="2"/>
  <c r="D33" i="2" s="1"/>
  <c r="B32" i="2"/>
  <c r="D32" i="2" s="1"/>
  <c r="B31" i="2"/>
  <c r="D31" i="2" s="1"/>
  <c r="B30" i="2"/>
  <c r="D30" i="2" s="1"/>
  <c r="B29" i="2"/>
  <c r="D29" i="2" s="1"/>
  <c r="W19" i="2"/>
  <c r="V19" i="2"/>
  <c r="I19" i="2"/>
  <c r="Z19" i="2" s="1"/>
  <c r="B19" i="2"/>
  <c r="D19" i="2" s="1"/>
  <c r="I18" i="2"/>
  <c r="Z30" i="2" l="1"/>
  <c r="Y33" i="2"/>
  <c r="Y31" i="2"/>
  <c r="Y32" i="2"/>
  <c r="Y19" i="2"/>
  <c r="Z18" i="2"/>
  <c r="Y18" i="2"/>
  <c r="W18" i="2"/>
  <c r="V18" i="2"/>
  <c r="B18" i="2"/>
  <c r="D18" i="2" s="1"/>
  <c r="D161" i="2" l="1"/>
  <c r="D160" i="2"/>
  <c r="D159" i="2"/>
  <c r="D158" i="2"/>
  <c r="B157" i="2"/>
  <c r="D157" i="2" s="1"/>
  <c r="I109" i="2" l="1"/>
  <c r="Z109" i="2" l="1"/>
  <c r="Y109" i="2"/>
  <c r="Z108" i="2"/>
  <c r="Y108" i="2"/>
  <c r="W109" i="2"/>
  <c r="V109" i="2"/>
  <c r="W108" i="2"/>
  <c r="V108" i="2"/>
  <c r="B109" i="2"/>
  <c r="D109" i="2" s="1"/>
  <c r="B108" i="2"/>
  <c r="D108" i="2" s="1"/>
  <c r="B107" i="2"/>
  <c r="D107" i="2" s="1"/>
  <c r="B50" i="2"/>
  <c r="D50" i="2" s="1"/>
  <c r="B51" i="2"/>
  <c r="D51" i="2" s="1"/>
  <c r="B52" i="2"/>
  <c r="D52" i="2" s="1"/>
  <c r="Y52" i="2"/>
  <c r="V52" i="2"/>
  <c r="W52" i="2"/>
  <c r="B53" i="2"/>
  <c r="D53" i="2" s="1"/>
  <c r="Y53" i="2"/>
  <c r="V53" i="2"/>
  <c r="W53" i="2"/>
  <c r="B54" i="2"/>
  <c r="D54" i="2" s="1"/>
  <c r="Y54" i="2"/>
  <c r="V54" i="2"/>
  <c r="W54" i="2"/>
  <c r="B105" i="2"/>
  <c r="D105" i="2" s="1"/>
  <c r="V105" i="2"/>
  <c r="W105" i="2"/>
  <c r="Y105" i="2"/>
  <c r="Z105" i="2"/>
  <c r="B153" i="2"/>
  <c r="D153" i="2" s="1"/>
  <c r="V153" i="2"/>
  <c r="W153" i="2"/>
  <c r="Z153" i="2"/>
  <c r="Z54" i="2" l="1"/>
  <c r="Z52" i="2"/>
  <c r="Z53" i="2"/>
  <c r="Z99" i="2"/>
  <c r="Y99" i="2"/>
  <c r="W99" i="2"/>
  <c r="V99" i="2"/>
  <c r="Z91" i="2"/>
  <c r="Y91" i="2"/>
  <c r="W91" i="2"/>
  <c r="V91" i="2"/>
  <c r="Z168" i="2" l="1"/>
  <c r="Y168" i="2"/>
  <c r="Z166" i="2"/>
  <c r="Y166" i="2"/>
  <c r="Z151" i="2"/>
  <c r="Y151" i="2"/>
  <c r="Z150" i="2"/>
  <c r="Y150" i="2"/>
  <c r="Z149" i="2"/>
  <c r="Y149" i="2"/>
  <c r="Z144" i="2"/>
  <c r="Y144" i="2"/>
  <c r="Z142" i="2"/>
  <c r="Y142" i="2"/>
  <c r="Z141" i="2"/>
  <c r="Y141" i="2"/>
  <c r="Z140" i="2"/>
  <c r="Y140" i="2"/>
  <c r="Z139" i="2"/>
  <c r="Y139" i="2"/>
  <c r="Z135" i="2"/>
  <c r="Y135" i="2"/>
  <c r="Z134" i="2"/>
  <c r="Y134" i="2"/>
  <c r="Z133" i="2"/>
  <c r="Y133" i="2"/>
  <c r="Z132" i="2"/>
  <c r="Y132" i="2"/>
  <c r="Z131" i="2"/>
  <c r="Y131" i="2"/>
  <c r="Z130" i="2"/>
  <c r="Y130" i="2"/>
  <c r="Z120" i="2"/>
  <c r="Y120" i="2"/>
  <c r="Z117" i="2"/>
  <c r="Y117" i="2"/>
  <c r="Z116" i="2"/>
  <c r="Y116" i="2"/>
  <c r="Z114" i="2"/>
  <c r="Y114"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168" i="2"/>
  <c r="W166" i="2"/>
  <c r="W151" i="2"/>
  <c r="W150" i="2"/>
  <c r="W149" i="2"/>
  <c r="W144" i="2"/>
  <c r="W135" i="2"/>
  <c r="W134" i="2"/>
  <c r="W133" i="2"/>
  <c r="W132" i="2"/>
  <c r="W131" i="2"/>
  <c r="W130" i="2"/>
  <c r="W128" i="2"/>
  <c r="W127" i="2"/>
  <c r="W126" i="2"/>
  <c r="W125" i="2"/>
  <c r="W124" i="2"/>
  <c r="W123" i="2"/>
  <c r="W121" i="2"/>
  <c r="W120" i="2"/>
  <c r="W116" i="2"/>
  <c r="W115" i="2"/>
  <c r="W113" i="2"/>
  <c r="W112"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8" i="2"/>
  <c r="V166" i="2"/>
  <c r="V151" i="2"/>
  <c r="V150" i="2"/>
  <c r="V149" i="2"/>
  <c r="V144" i="2"/>
  <c r="V135" i="2"/>
  <c r="V134" i="2"/>
  <c r="V133" i="2"/>
  <c r="V132" i="2"/>
  <c r="V131" i="2"/>
  <c r="V130" i="2"/>
  <c r="V128" i="2"/>
  <c r="V127" i="2"/>
  <c r="V126" i="2"/>
  <c r="V125" i="2"/>
  <c r="V124" i="2"/>
  <c r="V123" i="2"/>
  <c r="V121" i="2"/>
  <c r="V120" i="2"/>
  <c r="V116" i="2"/>
  <c r="V115" i="2"/>
  <c r="V113" i="2"/>
  <c r="V112"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40" i="2" l="1"/>
  <c r="L86" i="2"/>
  <c r="B86" i="2"/>
  <c r="D86" i="2" s="1"/>
  <c r="L81" i="2"/>
  <c r="I86" i="2" s="1"/>
  <c r="B81" i="2"/>
  <c r="D81" i="2" s="1"/>
  <c r="B82" i="2"/>
  <c r="D82" i="2" s="1"/>
  <c r="I81" i="2" l="1"/>
  <c r="Z81" i="2" s="1"/>
  <c r="V140" i="2"/>
  <c r="W140" i="2"/>
  <c r="Z86" i="2"/>
  <c r="Y86" i="2"/>
  <c r="I76" i="2"/>
  <c r="Y81" i="2" l="1"/>
  <c r="Z76" i="2"/>
  <c r="Y76" i="2"/>
  <c r="B79" i="2"/>
  <c r="D79" i="2" s="1"/>
  <c r="B72" i="2"/>
  <c r="D72" i="2" s="1"/>
  <c r="B69" i="2"/>
  <c r="D69" i="2" s="1"/>
  <c r="B73" i="2"/>
  <c r="D73" i="2" s="1"/>
  <c r="B70" i="2"/>
  <c r="D70" i="2" s="1"/>
  <c r="B164" i="2"/>
  <c r="D164" i="2" s="1"/>
  <c r="B152" i="2"/>
  <c r="D152" i="2" s="1"/>
  <c r="I128" i="2"/>
  <c r="I127" i="2"/>
  <c r="I126" i="2"/>
  <c r="I125" i="2"/>
  <c r="I124" i="2"/>
  <c r="I123" i="2"/>
  <c r="B128" i="2"/>
  <c r="D128" i="2" s="1"/>
  <c r="B127" i="2"/>
  <c r="D127" i="2" s="1"/>
  <c r="B126" i="2"/>
  <c r="D126" i="2" s="1"/>
  <c r="B125" i="2"/>
  <c r="D125" i="2" s="1"/>
  <c r="B124" i="2"/>
  <c r="D124" i="2" s="1"/>
  <c r="B123" i="2"/>
  <c r="D123" i="2" s="1"/>
  <c r="Z126" i="2" l="1"/>
  <c r="Y126" i="2"/>
  <c r="Z127" i="2"/>
  <c r="Y127" i="2"/>
  <c r="Z123" i="2"/>
  <c r="Y123" i="2"/>
  <c r="Z128" i="2"/>
  <c r="Y128" i="2"/>
  <c r="Z115" i="2"/>
  <c r="Y115" i="2"/>
  <c r="Z124" i="2"/>
  <c r="Y124" i="2"/>
  <c r="Z125" i="2"/>
  <c r="Y125" i="2"/>
  <c r="B121" i="2"/>
  <c r="D121" i="2" s="1"/>
  <c r="D115" i="2"/>
  <c r="B104" i="2"/>
  <c r="D104" i="2" s="1"/>
  <c r="B103" i="2"/>
  <c r="D103" i="2" s="1"/>
  <c r="B102" i="2"/>
  <c r="D102" i="2" s="1"/>
  <c r="B101" i="2"/>
  <c r="D101" i="2" s="1"/>
  <c r="B88" i="2" l="1"/>
  <c r="D88" i="2" s="1"/>
  <c r="B87" i="2"/>
  <c r="D87" i="2" s="1"/>
  <c r="I77" i="2"/>
  <c r="B83" i="2"/>
  <c r="D83" i="2" s="1"/>
  <c r="Z77" i="2" l="1"/>
  <c r="Y77" i="2"/>
  <c r="Z67" i="2"/>
  <c r="Y67" i="2"/>
  <c r="B2" i="2" l="1"/>
  <c r="B136" i="2"/>
  <c r="B8" i="2"/>
  <c r="B144" i="2"/>
  <c r="D144" i="2" s="1"/>
  <c r="B143" i="2"/>
  <c r="D143" i="2" s="1"/>
  <c r="D137" i="2"/>
  <c r="D138" i="2"/>
  <c r="H142" i="2"/>
  <c r="H141" i="2"/>
  <c r="H139" i="2"/>
  <c r="B134" i="2"/>
  <c r="D134" i="2" s="1"/>
  <c r="W142" i="2" l="1"/>
  <c r="V142" i="2"/>
  <c r="W7" i="2"/>
  <c r="V7" i="2"/>
  <c r="W139" i="2"/>
  <c r="V139" i="2"/>
  <c r="W141" i="2"/>
  <c r="V141" i="2"/>
  <c r="H117" i="2"/>
  <c r="W117" i="2" l="1"/>
  <c r="V117" i="2"/>
  <c r="B117" i="2"/>
  <c r="D117" i="2" s="1"/>
  <c r="H114" i="2"/>
  <c r="B114" i="2"/>
  <c r="D114" i="2" s="1"/>
  <c r="B98" i="2"/>
  <c r="D98" i="2" s="1"/>
  <c r="V114" i="2" l="1"/>
  <c r="W114"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2" i="2"/>
  <c r="C19" i="4"/>
  <c r="C77" i="4"/>
  <c r="C73" i="4"/>
  <c r="C52" i="4"/>
  <c r="C68" i="4"/>
  <c r="C71" i="4"/>
  <c r="C75" i="4"/>
  <c r="C46" i="4"/>
  <c r="C45" i="4" s="1"/>
  <c r="I113" i="2" l="1"/>
  <c r="Z112" i="2"/>
  <c r="Y112" i="2"/>
  <c r="Z49" i="2"/>
  <c r="Y49" i="2"/>
  <c r="Z90" i="2"/>
  <c r="Y90" i="2"/>
  <c r="C48" i="4"/>
  <c r="C15" i="4"/>
  <c r="C10" i="4"/>
  <c r="C6" i="4" s="1"/>
  <c r="C65" i="4"/>
  <c r="C59" i="4"/>
  <c r="C58" i="4" s="1"/>
  <c r="C32" i="4"/>
  <c r="Z113" i="2" l="1"/>
  <c r="Y113" i="2"/>
  <c r="C62" i="4"/>
  <c r="C56" i="4"/>
  <c r="C55" i="4" l="1"/>
  <c r="C25" i="4" l="1"/>
  <c r="C14" i="4" s="1"/>
  <c r="C13" i="4" s="1"/>
  <c r="C5" i="4" s="1"/>
  <c r="H90" i="2"/>
  <c r="I63" i="2"/>
  <c r="I62" i="2"/>
  <c r="B63" i="2"/>
  <c r="D63" i="2" s="1"/>
  <c r="B62" i="2"/>
  <c r="D62" i="2" s="1"/>
  <c r="B61" i="2"/>
  <c r="D61" i="2" s="1"/>
  <c r="B59" i="2"/>
  <c r="D59" i="2" s="1"/>
  <c r="B58" i="2"/>
  <c r="D58" i="2" s="1"/>
  <c r="B57" i="2"/>
  <c r="D57" i="2" s="1"/>
  <c r="B60" i="2"/>
  <c r="D60" i="2" s="1"/>
  <c r="B56" i="2"/>
  <c r="D56" i="2" s="1"/>
  <c r="B55" i="2"/>
  <c r="D55" i="2" s="1"/>
  <c r="B48" i="2"/>
  <c r="D48" i="2" s="1"/>
  <c r="B47" i="2"/>
  <c r="D47" i="2" s="1"/>
  <c r="B46" i="2"/>
  <c r="D46" i="2" s="1"/>
  <c r="B49" i="2"/>
  <c r="D49" i="2" s="1"/>
  <c r="B45" i="2"/>
  <c r="D45" i="2" s="1"/>
  <c r="B12" i="2"/>
  <c r="D12" i="2" s="1"/>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10" i="2"/>
  <c r="D110" i="2" s="1"/>
  <c r="B111" i="2"/>
  <c r="D111" i="2" s="1"/>
  <c r="B112" i="2"/>
  <c r="D112" i="2" s="1"/>
  <c r="B113" i="2"/>
  <c r="D113" i="2" s="1"/>
  <c r="B116" i="2"/>
  <c r="D116" i="2" s="1"/>
  <c r="B118" i="2"/>
  <c r="D118" i="2" s="1"/>
  <c r="B119" i="2"/>
  <c r="D119" i="2" s="1"/>
  <c r="B120" i="2"/>
  <c r="D120" i="2" s="1"/>
  <c r="B122" i="2"/>
  <c r="D122" i="2" s="1"/>
  <c r="B129" i="2"/>
  <c r="D129" i="2" s="1"/>
  <c r="B130" i="2"/>
  <c r="D130" i="2" s="1"/>
  <c r="B131" i="2"/>
  <c r="D131" i="2" s="1"/>
  <c r="B132" i="2"/>
  <c r="D132" i="2" s="1"/>
  <c r="B133" i="2"/>
  <c r="D133" i="2" s="1"/>
  <c r="B135" i="2"/>
  <c r="D135" i="2" s="1"/>
  <c r="D136" i="2"/>
  <c r="B139" i="2"/>
  <c r="D139" i="2" s="1"/>
  <c r="B140" i="2"/>
  <c r="D140" i="2" s="1"/>
  <c r="B141" i="2"/>
  <c r="D141" i="2" s="1"/>
  <c r="B142" i="2"/>
  <c r="D142" i="2" s="1"/>
  <c r="B145" i="2"/>
  <c r="D145" i="2" s="1"/>
  <c r="B146" i="2"/>
  <c r="D146" i="2" s="1"/>
  <c r="B147" i="2"/>
  <c r="D147" i="2" s="1"/>
  <c r="B148" i="2"/>
  <c r="D148" i="2" s="1"/>
  <c r="B149" i="2"/>
  <c r="D149" i="2" s="1"/>
  <c r="B150" i="2"/>
  <c r="D150" i="2" s="1"/>
  <c r="B151" i="2"/>
  <c r="D151" i="2" s="1"/>
  <c r="B156" i="2"/>
  <c r="D156" i="2" s="1"/>
  <c r="B165" i="2"/>
  <c r="D165" i="2" s="1"/>
  <c r="B166" i="2"/>
  <c r="D166" i="2" s="1"/>
  <c r="B167" i="2"/>
  <c r="D167" i="2" s="1"/>
  <c r="B168" i="2"/>
  <c r="D168"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Z17" i="2" l="1"/>
  <c r="Y17" i="2"/>
  <c r="Z15" i="2"/>
  <c r="Y15" i="2"/>
  <c r="Z16" i="2"/>
  <c r="Y16" i="2"/>
  <c r="Z11" i="2" l="1"/>
  <c r="Y11" i="2"/>
  <c r="Z13" i="2"/>
  <c r="Y13"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5"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40"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2"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<sst xmlns="http://schemas.openxmlformats.org/spreadsheetml/2006/main" count="1940" uniqueCount="552">
  <si>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</si>
  <si>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</si>
  <si>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</si>
  <si>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</si>
  <si>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</si>
  <si>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</si>
  <si>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</si>
  <si>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</si>
  <si>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</si>
  <si>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</si>
  <si>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</si>
  <si>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</si>
  <si>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</si>
  <si>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</si>
  <si>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</si>
  <si>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</si>
  <si>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</si>
  <si>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</si>
  <si>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</si>
  <si>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</si>
  <si>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</si>
  <si>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</si>
  <si>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</si>
  <si>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</si>
  <si>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</si>
  <si>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</si>
  <si>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</si>
  <si>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</si>
  <si>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</si>
  <si>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</si>
  <si>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</si>
  <si>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</si>
  <si>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</si>
  <si>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</si>
  <si>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</si>
  <si>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</si>
  <si>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</si>
  <si>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</si>
  <si>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</si>
  <si>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</si>
  <si>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</si>
  <si>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</si>
  <si>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</si>
  <si>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</si>
  <si>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</si>
  <si>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</si>
  <si>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</si>
  <si>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</si>
  <si>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</si>
  <si>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</si>
  <si>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</si>
  <si>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</si>
  <si>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</si>
  <si>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</si>
  <si>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</si>
  <si>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</si>
  <si>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</si>
  <si>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</si>
  <si>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</si>
  <si>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</si>
  <si>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</si>
  <si>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</si>
  <si>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</si>
  <si>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</si>
  <si>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</si>
  <si>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</si>
  <si>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</si>
  <si>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</si>
  <si>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</si>
  <si>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</si>
  <si>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</si>
  <si>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</si>
  <si>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</si>
  <si>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</si>
  <si>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</si>
  <si>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</si>
  <si>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</si>
  <si>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</si>
  <si>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</si>
  <si>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</si>
  <si>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</si>
  <si>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</si>
  <si>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</si>
  <si>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</si>
  <si>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</si>
  <si>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</si>
  <si>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</si>
  <si>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</si>
  <si>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</si>
  <si>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</si>
  <si>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</si>
  <si>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</si>
  <si>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</si>
  <si>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</si>
  <si>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</si>
  <si>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</si>
  <si>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</si>
  <si>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</si>
  <si>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</si>
  <si>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</si>
  <si>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</si>
  <si>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</si>
  <si>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</si>
  <si>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</si>
  <si>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</si>
  <si>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</si>
  <si>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</si>
  <si>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</si>
  <si>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</si>
  <si>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</si>
  <si>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</si>
  <si>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</si>
  <si>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</si>
  <si>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</si>
  <si>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</si>
  <si>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</si>
  <si>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</si>
  <si>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</si>
  <si>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</si>
  <si>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</si>
  <si>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</si>
  <si>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</si>
  <si>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</si>
  <si>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</si>
  <si>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</si>
  <si>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</si>
  <si>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</si>
  <si>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</si>
  <si>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</si>
  <si>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</si>
  <si>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</si>
  <si>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</si>
  <si>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</si>
  <si>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</si>
  <si>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</si>
  <si>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</si>
  <si>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</si>
  <si>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</si>
  <si>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</si>
  <si>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</si>
  <si>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</si>
  <si>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</si>
  <si>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</si>
  <si>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</si>
  <si>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</si>
  <si>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</si>
  <si>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</si>
  <si>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</si>
  <si>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</si>
  <si>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</si>
  <si>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</si>
  <si>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</si>
  <si>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</si>
  <si>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</si>
  <si>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</si>
  <si>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</si>
  <si>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</si>
  <si>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</si>
  <si>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</si>
  <si>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</si>
  <si>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</si>
  <si>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</si>
  <si>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</si>
  <si>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</si>
  <si>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</si>
  <si>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</si>
  <si>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</si>
  <si>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</si>
  <si>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</si>
  <si>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</si>
  <si>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</si>
  <si>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</si>
  <si>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</si>
  <si>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</si>
  <si>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</si>
  <si>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</si>
  <si>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</si>
  <si>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</si>
  <si>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</si>
  <si>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</si>
  <si>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</si>
  <si>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</si>
  <si>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</si>
  <si>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</si>
  <si>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</si>
  <si>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</si>
  <si>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</si>
  <si>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</si>
  <si>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</si>
  <si>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</si>
  <si>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</si>
  <si>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</si>
  <si>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</si>
  <si>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</si>
  <si>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</si>
  <si>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</si>
  <si>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</si>
  <si>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</si>
  <si>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</si>
  <si>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</si>
  <si>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</si>
  <si>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</si>
  <si>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</si>
  <si>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</si>
  <si>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</si>
  <si>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</si>
  <si>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</si>
  <si>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</si>
  <si>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</si>
  <si>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</si>
  <si>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</si>
  <si>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</si>
  <si>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</si>
  <si>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</si>
  <si>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</si>
  <si>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</si>
  <si>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</si>
  <si>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</si>
  <si>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</si>
  <si>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</si>
  <si>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</si>
  <si>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</si>
  <si>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</si>
  <si>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</si>
  <si>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</si>
  <si>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</si>
  <si>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</si>
  <si>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</si>
  <si>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</si>
  <si>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</si>
  <si>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</si>
  <si>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</si>
  <si>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</si>
  <si>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</si>
  <si>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</si>
  <si>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</si>
  <si>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</si>
  <si>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</si>
  <si>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</si>
  <si>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</si>
  <si>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</si>
  <si>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</si>
  <si>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</si>
  <si>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</si>
  <si>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</si>
  <si>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</si>
  <si>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</si>
  <si>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</si>
  <si>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</si>
  <si>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</si>
  <si>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</si>
  <si>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</si>
  <si>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</si>
  <si>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</si>
  <si>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</si>
  <si>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</si>
  <si>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</si>
  <si>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</si>
  <si>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</si>
  <si>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</si>
  <si>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</si>
  <si>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</si>
  <si>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</si>
  <si>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</si>
  <si>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</si>
  <si>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</si>
  <si>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</si>
  <si>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</si>
  <si>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</si>
  <si>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</si>
  <si>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</si>
  <si>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</si>
  <si>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</si>
  <si>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</si>
  <si>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</si>
  <si>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</si>
  <si>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</si>
  <si>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</si>
  <si>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</si>
  <si>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</si>
  <si>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</si>
  <si>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</si>
  <si>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</si>
  <si>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</si>
  <si>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</si>
  <si>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</si>
  <si>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</si>
  <si>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</si>
  <si>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</si>
  <si>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</si>
  <si>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</si>
  <si>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</si>
  <si>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</si>
  <si>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</si>
  <si>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</si>
  <si>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</si>
  <si>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</si>
  <si>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</si>
  <si>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</si>
  <si>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</si>
  <si>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</si>
  <si>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</si>
  <si>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</si>
  <si>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</si>
  <si>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</si>
  <si>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</si>
  <si>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</si>
  <si>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</si>
  <si>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</si>
  <si>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</si>
  <si>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</si>
  <si>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</si>
  <si>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</si>
  <si>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</si>
  <si>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</si>
  <si>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</si>
  <si>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</si>
  <si>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</si>
  <si>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</si>
  <si>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</si>
  <si>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</si>
  <si>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</si>
  <si>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</si>
  <si>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</si>
  <si>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</si>
  <si>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</si>
  <si>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</si>
  <si>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</si>
  <si>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</si>
  <si>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</si>
  <si>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</si>
  <si>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</si>
  <si>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</si>
  <si>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</si>
  <si>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</si>
  <si>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</si>
  <si>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</si>
  <si>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</si>
  <si>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</si>
  <si>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</si>
  <si>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</si>
  <si>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</si>
  <si>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</si>
  <si>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</si>
  <si>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</si>
  <si>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</si>
  <si>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</si>
  <si>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</si>
  <si>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</si>
  <si>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</si>
  <si>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</si>
  <si>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</si>
  <si>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</si>
  <si>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</si>
  <si>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</si>
  <si>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</si>
  <si>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</si>
  <si>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</si>
  <si>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</si>
  <si>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</si>
  <si>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</si>
  <si>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</si>
  <si>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</si>
  <si>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</si>
  <si>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</si>
  <si>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</si>
  <si>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</si>
  <si>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</si>
  <si>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</si>
  <si>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</si>
  <si>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</si>
  <si>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</si>
  <si>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</si>
  <si>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</si>
  <si>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</si>
  <si>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</si>
  <si>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</si>
  <si>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</si>
  <si>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</si>
  <si>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</si>
  <si>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</si>
  <si>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</si>
  <si>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</si>
  <si>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</si>
  <si>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</si>
  <si>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</si>
  <si>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</si>
  <si>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</si>
  <si>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</si>
  <si>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</si>
  <si>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</si>
  <si>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</si>
  <si>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</si>
  <si>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</si>
  <si>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</si>
  <si>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</si>
  <si>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</si>
  <si>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</si>
  <si>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</si>
  <si>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</si>
  <si>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</si>
  <si>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</si>
  <si>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</si>
  <si>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</si>
  <si>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</si>
  <si>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</si>
  <si>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</si>
  <si>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</si>
  <si>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</si>
  <si>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</si>
  <si>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</si>
  <si>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</si>
  <si>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</si>
  <si>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</si>
  <si>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</si>
  <si>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</si>
  <si>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</si>
  <si>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</si>
  <si>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</si>
  <si>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</si>
  <si>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</si>
  <si>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</si>
  <si>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</si>
  <si>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</si>
  <si>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</si>
  <si>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</si>
  <si>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</si>
  <si>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</si>
  <si>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</si>
  <si>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</si>
  <si>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</si>
  <si>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</si>
  <si>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</si>
  <si>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</si>
  <si>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</si>
  <si>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</si>
  <si>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</si>
  <si>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</si>
  <si>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</si>
  <si>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</si>
  <si>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</si>
  <si>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</si>
  <si>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</si>
  <si>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</si>
  <si>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</si>
  <si>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</si>
  <si>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</si>
  <si>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</si>
  <si>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</si>
  <si>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</si>
  <si>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</si>
  <si>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</si>
  <si>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</si>
  <si>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</si>
  <si>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</si>
  <si>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</si>
  <si>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</si>
  <si>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</si>
  <si>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</si>
  <si>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</si>
  <si>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</si>
  <si>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</si>
  <si>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</si>
  <si>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</si>
  <si>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</si>
  <si>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</si>
  <si>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</si>
  <si>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</si>
  <si>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</si>
  <si>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</si>
  <si>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</si>
  <si>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</si>
  <si>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</si>
  <si>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</si>
  <si>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</si>
  <si>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</si>
  <si>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</si>
  <si>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</si>
  <si>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</si>
  <si>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</si>
  <si>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</si>
  <si>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</si>
  <si>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</si>
  <si>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</si>
  <si>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</si>
  <si>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</si>
  <si>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</si>
  <si>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</si>
  <si>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</si>
  <si>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</si>
  <si>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</si>
  <si>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</si>
  <si>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</si>
  <si>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</si>
  <si>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</si>
  <si>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</si>
  <si>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</si>
  <si>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</si>
  <si>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</si>
  <si>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</si>
  <si>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</si>
  <si>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</si>
  <si>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</si>
  <si>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</si>
  <si>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</si>
  <si>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</si>
  <si>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</si>
  <si>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</si>
  <si>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</si>
  <si>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</si>
  <si>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</si>
  <si>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</si>
  <si>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</si>
  <si>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</si>
  <si>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</si>
  <si>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</si>
  <si>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</si>
  <si>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</si>
  <si>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</si>
  <si>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</si>
  <si>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</si>
  <si>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</si>
  <si>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</si>
  <si>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</si>
  <si>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</si>
  <si>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</si>
  <si>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</si>
  <si>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</si>
  <si>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</si>
  <si>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</si>
  <si>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</si>
  <si>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</si>
  <si>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</si>
  <si>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</si>
  <si>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</si>
  <si>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</si>
  <si>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</si>
  <si>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</si>
  <si>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</si>
  <si>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</si>
  <si>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</si>
  <si>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</si>
  <si>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</si>
  <si>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</si>
  <si>
    <t>LTMR</t>
  </si>
  <si>
    <t>Replacement Coolant Inventory</t>
  </si>
  <si>
    <t>NRC Website</t>
  </si>
  <si>
    <t xml:space="preserve">Using data from the NRC website that the cost is between 45 and 70M
https://www.nrc.gov/about-nrc/regulatory/licensing/general-fee-questions.pdf
Also, using recent change to the NRC fees by a factor of 0.47
https://ignition-news.com/the-nrc-passes-new-rules-for-advanced-reactor-companies/#:~:text=Under%20a%20rule%20published%20in,2024%2C%20which%20takes%20effect%20Oct. </t>
  </si>
  <si>
    <t>Regulatory Costs</t>
  </si>
  <si>
    <t xml:space="preserve">NRC annual fees for operating reactors in FY25 is $5,359,000
One assumption could be to consider a single fee for the fleet of microreactors. 
Proposed cost = $5,359,000 per year / (100 reactors per fleet)
Another assumption (anecdotal evidence) is that licensing fee cost is 1-to-1 with the utility cost to support. 
 </t>
  </si>
  <si>
    <t>https://www.federalregister.gov/documents/2025/02/19/2025-02779/fee-schedules-fee-recovery-for-fiscal-year-2025</t>
  </si>
  <si>
    <t xml:space="preserve">RSMeans software: a tool that primarily provides costs for non-nuclear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</si>
</sst>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9">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0" fillId="0" borderId="0" xfId="0" applyAlignment="1">
      <alignmen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201">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0625"/>
      </fill>
    </dxf>
    <dxf>
      <font>
        <b/>
        <i/>
      </font>
      <fill>
        <patternFill patternType="gray0625"/>
      </fill>
    </dxf>
    <dxf>
      <font>
        <b/>
        <i val="0"/>
      </font>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5" dT="2025-06-20T17:42:02.17" personId="{3B5B98F4-A9DA-4CFD-B3D9-F7907C025518}" id="{25250E12-7DF8-42FE-A9C3-6F5AE6FD64C9}">
    <text>Baseline Cost: 8844770 1978USD
Escalation (to 2023): 8.155</text>
  </threadedComment>
  <threadedComment ref="H140" dT="2025-06-19T23:17:33.50" personId="{84112BF8-C915-7B4B-BE8E-B816F75B981C}" id="{BDE8F098-EF81-461E-B745-0627E6989C51}">
    <text>The cost is multiplied by 0.5 since the
 shipping included international shipping</text>
  </threadedComment>
  <threadedComment ref="C152" dT="2025-06-20T19:13:57.21" personId="{3B5B98F4-A9DA-4CFD-B3D9-F7907C025518}" id="{8C62D7C0-F520-42A3-9908-A880BA4D938B}">
    <text xml:space="preserve">Variable costs that are not fuel-based, such as borated water, control rods, burnable poisons, and other consumable </text>
  </threadedComment>
  <threadedComment ref="C152" dT="2025-06-20T19:14:14.35" personId="{3B5B98F4-A9DA-4CFD-B3D9-F7907C025518}" id="{60EA5C16-5BC5-40F2-AD75-9609617C429D}" parentId="{8C62D7C0-F520-42A3-9908-A880BA4D938B}">
    <text>For the GCMR, likley includes replacement coolant, CO2 refill, etc.</text>
  </threadedComment>
  <threadedComment ref="C15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8"/>
  <sheetViews>
    <sheetView tabSelected="1" topLeftCell="W1" zoomScale="165" zoomScaleNormal="100" workbookViewId="0">
      <pane ySplit="1" topLeftCell="A144" activePane="bottomLeft" state="frozen"/>
      <selection activeCell="C1" sqref="C1"/>
      <selection pane="bottomLeft" activeCell="AE128" sqref="AE128"/>
    </sheetView>
  </sheetViews>
  <sheetFormatPr baseColWidth="10" defaultColWidth="10.6640625" defaultRowHeight="14" x14ac:dyDescent="0.2"/>
  <cols>
    <col min="1" max="1" width="8.6640625" style="5" customWidth="1"/>
    <col min="2" max="2" width="9.5" style="5" customWidth="1"/>
    <col min="3" max="3" width="29.5" style="5" customWidth="1"/>
    <col min="4" max="4" width="41.6640625" style="6" customWidth="1"/>
    <col min="5" max="5" width="14.33203125" style="6" bestFit="1" customWidth="1"/>
    <col min="6" max="6" width="13.1640625" style="6" customWidth="1"/>
    <col min="7" max="7" width="11"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8.1640625" style="5"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4" si="0">IF(ISNUMBER(A3),
    IF(AND(A3=INT(A3), MOD(A3, 10) = 0), 0,
        IF(AND(A3=INT(A3), LEN(A3)=2), 1,
            IF(AND(A3=INT(A3), LEN(A3)=3), 2,
                LEN(A3) - FIND(".", A3) + 2)
        )
    ),
"")</f>
        <v>1</v>
      </c>
      <c r="C3" s="44" t="s">
        <v>3</v>
      </c>
      <c r="D3" s="41" t="str">
        <f t="shared" ref="D3:D112" si="1">REPT("   ", B3*2) &amp; C3</f>
        <v xml:space="preserve">      Land Cost</v>
      </c>
      <c r="E3" s="41" t="s">
        <v>341</v>
      </c>
      <c r="F3" s="41"/>
      <c r="G3" s="41"/>
      <c r="H3" s="45"/>
      <c r="I3" s="46">
        <v>3800</v>
      </c>
      <c r="J3" s="47" t="s">
        <v>70</v>
      </c>
      <c r="K3" s="47" t="s">
        <v>68</v>
      </c>
      <c r="L3" s="48"/>
      <c r="M3" s="47" t="s">
        <v>78</v>
      </c>
      <c r="N3" s="47"/>
      <c r="O3" s="68">
        <v>2022</v>
      </c>
      <c r="P3" s="47" t="s">
        <v>75</v>
      </c>
      <c r="Q3" s="49" t="s">
        <v>53</v>
      </c>
      <c r="R3" s="95" t="s">
        <v>444</v>
      </c>
      <c r="S3" s="97"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5"/>
      <c r="S4" s="97"/>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ht="64" customHeight="1" x14ac:dyDescent="0.2">
      <c r="A5" s="39">
        <v>13</v>
      </c>
      <c r="B5" s="40">
        <f t="shared" si="0"/>
        <v>1</v>
      </c>
      <c r="C5" s="44" t="s">
        <v>4</v>
      </c>
      <c r="D5" s="41" t="str">
        <f t="shared" si="1"/>
        <v xml:space="preserve">      Plant Licensing</v>
      </c>
      <c r="E5" s="41" t="s">
        <v>341</v>
      </c>
      <c r="F5" s="41"/>
      <c r="G5" s="41"/>
      <c r="H5" s="45">
        <f>0.5*(V5+W5)</f>
        <v>27025000</v>
      </c>
      <c r="I5" s="46"/>
      <c r="J5" s="48"/>
      <c r="K5" s="48"/>
      <c r="L5" s="48"/>
      <c r="M5" s="47"/>
      <c r="N5" s="47"/>
      <c r="O5" s="68">
        <v>2024</v>
      </c>
      <c r="P5" s="47" t="s">
        <v>72</v>
      </c>
      <c r="Q5" s="49" t="s">
        <v>546</v>
      </c>
      <c r="R5" s="90" t="s">
        <v>547</v>
      </c>
      <c r="S5" s="97" t="s">
        <v>59</v>
      </c>
      <c r="T5" s="51"/>
      <c r="U5" s="80" t="s">
        <v>468</v>
      </c>
      <c r="V5" s="84">
        <f>0.47*45*1000000</f>
        <v>21150000</v>
      </c>
      <c r="W5" s="84">
        <f>0.47*70*1000000</f>
        <v>32900000</v>
      </c>
      <c r="X5" s="80" t="s">
        <v>472</v>
      </c>
      <c r="Y5" s="83">
        <f t="shared" si="6"/>
        <v>0</v>
      </c>
      <c r="Z5" s="83">
        <f t="shared" si="7"/>
        <v>0</v>
      </c>
      <c r="AA5" s="80" t="s">
        <v>450</v>
      </c>
      <c r="AB5" s="83" t="s">
        <v>474</v>
      </c>
      <c r="AC5" s="83" t="s">
        <v>475</v>
      </c>
      <c r="AD5" s="83" t="s">
        <v>476</v>
      </c>
      <c r="AE5" s="80" t="s">
        <v>451</v>
      </c>
    </row>
    <row r="6" spans="1:31" ht="15" customHeight="1"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61" t="s">
        <v>141</v>
      </c>
      <c r="S6" s="97"/>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445</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5" t="s">
        <v>82</v>
      </c>
      <c r="R11" s="95" t="s">
        <v>83</v>
      </c>
      <c r="S11" s="96"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5"/>
      <c r="R12" s="95"/>
      <c r="S12" s="97"/>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ht="83" customHeight="1"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5"/>
      <c r="R13" s="95"/>
      <c r="S13" s="97"/>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5" t="s">
        <v>82</v>
      </c>
      <c r="R15" s="95" t="s">
        <v>83</v>
      </c>
      <c r="S15" s="96"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5"/>
      <c r="R16" s="95"/>
      <c r="S16" s="97"/>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5"/>
      <c r="R17" s="95"/>
      <c r="S17" s="97"/>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57" x14ac:dyDescent="0.2">
      <c r="A18" s="55">
        <v>212.4</v>
      </c>
      <c r="B18" s="40">
        <f t="shared" si="0"/>
        <v>3</v>
      </c>
      <c r="C18" s="44" t="s">
        <v>513</v>
      </c>
      <c r="D18" s="41" t="str">
        <f>REPT("   ", B18*2) &amp; C18</f>
        <v xml:space="preserve">                  Reactor Building Liner</v>
      </c>
      <c r="E18" s="41" t="s">
        <v>341</v>
      </c>
      <c r="F18" s="41" t="s">
        <v>351</v>
      </c>
      <c r="G18" s="41" t="s">
        <v>354</v>
      </c>
      <c r="H18" s="45"/>
      <c r="I18" s="46">
        <f>60848829/9373</f>
        <v>6491.9267043635973</v>
      </c>
      <c r="J18" s="47" t="s">
        <v>517</v>
      </c>
      <c r="K18" s="49" t="s">
        <v>518</v>
      </c>
      <c r="L18" s="48">
        <v>9373</v>
      </c>
      <c r="M18" s="47" t="s">
        <v>516</v>
      </c>
      <c r="N18" s="48">
        <v>1</v>
      </c>
      <c r="O18" s="68">
        <v>2018</v>
      </c>
      <c r="P18" s="47" t="s">
        <v>77</v>
      </c>
      <c r="Q18" s="49" t="s">
        <v>514</v>
      </c>
      <c r="R18" s="49" t="s">
        <v>514</v>
      </c>
      <c r="S18" s="88" t="s">
        <v>515</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57" x14ac:dyDescent="0.2">
      <c r="A19" s="55">
        <v>212.5</v>
      </c>
      <c r="B19" s="40">
        <f t="shared" si="0"/>
        <v>3</v>
      </c>
      <c r="C19" s="44" t="s">
        <v>519</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514</v>
      </c>
      <c r="R19" s="49" t="s">
        <v>514</v>
      </c>
      <c r="S19" s="88" t="s">
        <v>515</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f>
        <v>1200</v>
      </c>
      <c r="J22" s="47" t="s">
        <v>79</v>
      </c>
      <c r="K22" s="49" t="s">
        <v>90</v>
      </c>
      <c r="L22" s="48"/>
      <c r="M22" s="47" t="s">
        <v>81</v>
      </c>
      <c r="N22" s="48"/>
      <c r="O22" s="68">
        <v>2024</v>
      </c>
      <c r="P22" s="47" t="s">
        <v>77</v>
      </c>
      <c r="Q22" s="95" t="s">
        <v>551</v>
      </c>
      <c r="R22" s="95" t="s">
        <v>83</v>
      </c>
      <c r="S22" s="96" t="s">
        <v>84</v>
      </c>
      <c r="T22" s="51"/>
      <c r="U22" s="80" t="s">
        <v>470</v>
      </c>
      <c r="V22" s="84">
        <f t="shared" si="4"/>
        <v>0</v>
      </c>
      <c r="W22" s="84">
        <f t="shared" si="5"/>
        <v>0</v>
      </c>
      <c r="X22" s="80" t="s">
        <v>450</v>
      </c>
      <c r="Y22" s="83">
        <f t="shared" si="6"/>
        <v>1080</v>
      </c>
      <c r="Z22" s="83">
        <f t="shared" si="7"/>
        <v>1560</v>
      </c>
      <c r="AA22" s="80" t="s">
        <v>450</v>
      </c>
      <c r="AB22" s="83" t="s">
        <v>474</v>
      </c>
      <c r="AC22" s="83" t="s">
        <v>475</v>
      </c>
      <c r="AD22" s="83" t="s">
        <v>476</v>
      </c>
      <c r="AE22" s="80" t="s">
        <v>451</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f>
        <v>943.9</v>
      </c>
      <c r="J23" s="47" t="s">
        <v>79</v>
      </c>
      <c r="K23" s="49" t="s">
        <v>93</v>
      </c>
      <c r="L23" s="48"/>
      <c r="M23" s="47" t="s">
        <v>81</v>
      </c>
      <c r="N23" s="48"/>
      <c r="O23" s="68">
        <v>2024</v>
      </c>
      <c r="P23" s="47" t="s">
        <v>77</v>
      </c>
      <c r="Q23" s="95"/>
      <c r="R23" s="95"/>
      <c r="S23" s="97"/>
      <c r="T23" s="51"/>
      <c r="U23" s="80" t="s">
        <v>470</v>
      </c>
      <c r="V23" s="84">
        <f t="shared" si="4"/>
        <v>0</v>
      </c>
      <c r="W23" s="84">
        <f t="shared" si="5"/>
        <v>0</v>
      </c>
      <c r="X23" s="80" t="s">
        <v>450</v>
      </c>
      <c r="Y23" s="83">
        <f t="shared" si="6"/>
        <v>849.51</v>
      </c>
      <c r="Z23" s="83">
        <f t="shared" si="7"/>
        <v>1227.07</v>
      </c>
      <c r="AA23" s="80" t="s">
        <v>450</v>
      </c>
      <c r="AB23" s="83" t="s">
        <v>474</v>
      </c>
      <c r="AC23" s="83" t="s">
        <v>475</v>
      </c>
      <c r="AD23" s="83" t="s">
        <v>476</v>
      </c>
      <c r="AE23" s="80" t="s">
        <v>451</v>
      </c>
    </row>
    <row r="24" spans="1:31" ht="43" x14ac:dyDescent="0.2">
      <c r="A24" s="55">
        <v>213.13</v>
      </c>
      <c r="B24" s="40">
        <f t="shared" si="0"/>
        <v>4</v>
      </c>
      <c r="C24" s="44" t="s">
        <v>111</v>
      </c>
      <c r="D24" s="41" t="str">
        <f t="shared" si="1"/>
        <v xml:space="preserve">                        Energy Conversion Building Walls</v>
      </c>
      <c r="E24" s="41" t="s">
        <v>341</v>
      </c>
      <c r="F24" s="41"/>
      <c r="G24" s="41"/>
      <c r="H24" s="45"/>
      <c r="I24" s="46">
        <f>721.21</f>
        <v>721.21</v>
      </c>
      <c r="J24" s="47" t="s">
        <v>79</v>
      </c>
      <c r="K24" s="49" t="s">
        <v>473</v>
      </c>
      <c r="L24" s="48"/>
      <c r="M24" s="47" t="s">
        <v>81</v>
      </c>
      <c r="N24" s="48"/>
      <c r="O24" s="68">
        <v>2024</v>
      </c>
      <c r="P24" s="47" t="s">
        <v>77</v>
      </c>
      <c r="Q24" s="95"/>
      <c r="R24" s="95"/>
      <c r="S24" s="97"/>
      <c r="T24" s="51"/>
      <c r="U24" s="80" t="s">
        <v>470</v>
      </c>
      <c r="V24" s="84">
        <f t="shared" si="4"/>
        <v>0</v>
      </c>
      <c r="W24" s="84">
        <f t="shared" si="5"/>
        <v>0</v>
      </c>
      <c r="X24" s="80" t="s">
        <v>450</v>
      </c>
      <c r="Y24" s="83">
        <f t="shared" si="6"/>
        <v>649.08900000000006</v>
      </c>
      <c r="Z24" s="83">
        <f t="shared" si="7"/>
        <v>937.57300000000009</v>
      </c>
      <c r="AA24" s="80" t="s">
        <v>450</v>
      </c>
      <c r="AB24" s="83" t="s">
        <v>474</v>
      </c>
      <c r="AC24" s="83" t="s">
        <v>475</v>
      </c>
      <c r="AD24" s="83" t="s">
        <v>476</v>
      </c>
      <c r="AE24" s="80" t="s">
        <v>451</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f>
        <v>1200</v>
      </c>
      <c r="J26" s="47" t="s">
        <v>79</v>
      </c>
      <c r="K26" s="49" t="s">
        <v>87</v>
      </c>
      <c r="L26" s="48"/>
      <c r="M26" s="47" t="s">
        <v>81</v>
      </c>
      <c r="N26" s="48"/>
      <c r="O26" s="68">
        <v>2024</v>
      </c>
      <c r="P26" s="47" t="s">
        <v>77</v>
      </c>
      <c r="Q26" s="95" t="s">
        <v>551</v>
      </c>
      <c r="R26" s="95" t="s">
        <v>83</v>
      </c>
      <c r="S26" s="96" t="s">
        <v>84</v>
      </c>
      <c r="T26" s="51"/>
      <c r="U26" s="80" t="s">
        <v>470</v>
      </c>
      <c r="V26" s="84">
        <f t="shared" si="4"/>
        <v>0</v>
      </c>
      <c r="W26" s="84">
        <f t="shared" si="5"/>
        <v>0</v>
      </c>
      <c r="X26" s="80" t="s">
        <v>450</v>
      </c>
      <c r="Y26" s="83">
        <f t="shared" si="6"/>
        <v>1080</v>
      </c>
      <c r="Z26" s="83">
        <f t="shared" si="7"/>
        <v>1560</v>
      </c>
      <c r="AA26" s="80" t="s">
        <v>450</v>
      </c>
      <c r="AB26" s="83" t="s">
        <v>474</v>
      </c>
      <c r="AC26" s="83" t="s">
        <v>475</v>
      </c>
      <c r="AD26" s="83" t="s">
        <v>476</v>
      </c>
      <c r="AE26" s="80" t="s">
        <v>451</v>
      </c>
    </row>
    <row r="27" spans="1:31" ht="29" x14ac:dyDescent="0.2">
      <c r="A27" s="55">
        <v>213.22</v>
      </c>
      <c r="B27" s="40">
        <f t="shared" si="0"/>
        <v>4</v>
      </c>
      <c r="C27" s="44" t="s">
        <v>124</v>
      </c>
      <c r="D27" s="41" t="str">
        <f t="shared" si="1"/>
        <v xml:space="preserve">                        Control Building Basement</v>
      </c>
      <c r="E27" s="41" t="s">
        <v>341</v>
      </c>
      <c r="F27" s="41"/>
      <c r="G27" s="41"/>
      <c r="H27" s="45"/>
      <c r="I27" s="46">
        <f>943.9</f>
        <v>943.9</v>
      </c>
      <c r="J27" s="47" t="s">
        <v>79</v>
      </c>
      <c r="K27" s="49" t="s">
        <v>94</v>
      </c>
      <c r="L27" s="48"/>
      <c r="M27" s="47" t="s">
        <v>81</v>
      </c>
      <c r="N27" s="48"/>
      <c r="O27" s="68">
        <v>2024</v>
      </c>
      <c r="P27" s="47" t="s">
        <v>77</v>
      </c>
      <c r="Q27" s="95"/>
      <c r="R27" s="95"/>
      <c r="S27" s="97"/>
      <c r="T27" s="51"/>
      <c r="U27" s="80" t="s">
        <v>470</v>
      </c>
      <c r="V27" s="84">
        <f t="shared" si="4"/>
        <v>0</v>
      </c>
      <c r="W27" s="84">
        <f t="shared" si="5"/>
        <v>0</v>
      </c>
      <c r="X27" s="80" t="s">
        <v>450</v>
      </c>
      <c r="Y27" s="83">
        <f t="shared" si="6"/>
        <v>849.51</v>
      </c>
      <c r="Z27" s="83">
        <f t="shared" si="7"/>
        <v>1227.07</v>
      </c>
      <c r="AA27" s="80" t="s">
        <v>450</v>
      </c>
      <c r="AB27" s="83" t="s">
        <v>474</v>
      </c>
      <c r="AC27" s="83" t="s">
        <v>475</v>
      </c>
      <c r="AD27" s="83" t="s">
        <v>476</v>
      </c>
      <c r="AE27" s="80" t="s">
        <v>451</v>
      </c>
    </row>
    <row r="28" spans="1:31" ht="43" x14ac:dyDescent="0.2">
      <c r="A28" s="55">
        <v>213.23</v>
      </c>
      <c r="B28" s="40">
        <f t="shared" si="0"/>
        <v>4</v>
      </c>
      <c r="C28" s="44" t="s">
        <v>113</v>
      </c>
      <c r="D28" s="41" t="str">
        <f t="shared" si="1"/>
        <v xml:space="preserve">                        Control Building Walls</v>
      </c>
      <c r="E28" s="41" t="s">
        <v>341</v>
      </c>
      <c r="F28" s="41"/>
      <c r="G28" s="41"/>
      <c r="H28" s="45"/>
      <c r="I28" s="46">
        <f>721.21</f>
        <v>721.21</v>
      </c>
      <c r="J28" s="47" t="s">
        <v>79</v>
      </c>
      <c r="K28" s="49" t="s">
        <v>142</v>
      </c>
      <c r="L28" s="48"/>
      <c r="M28" s="47" t="s">
        <v>81</v>
      </c>
      <c r="N28" s="48"/>
      <c r="O28" s="68">
        <v>2024</v>
      </c>
      <c r="P28" s="47" t="s">
        <v>77</v>
      </c>
      <c r="Q28" s="95"/>
      <c r="R28" s="95"/>
      <c r="S28" s="97"/>
      <c r="T28" s="51"/>
      <c r="U28" s="80" t="s">
        <v>470</v>
      </c>
      <c r="V28" s="84">
        <f t="shared" si="4"/>
        <v>0</v>
      </c>
      <c r="W28" s="84">
        <f t="shared" si="5"/>
        <v>0</v>
      </c>
      <c r="X28" s="80" t="s">
        <v>450</v>
      </c>
      <c r="Y28" s="83">
        <f t="shared" si="6"/>
        <v>649.08900000000006</v>
      </c>
      <c r="Z28" s="83">
        <f t="shared" si="7"/>
        <v>937.57300000000009</v>
      </c>
      <c r="AA28" s="80" t="s">
        <v>450</v>
      </c>
      <c r="AB28" s="83" t="s">
        <v>474</v>
      </c>
      <c r="AC28" s="83" t="s">
        <v>475</v>
      </c>
      <c r="AD28" s="83" t="s">
        <v>476</v>
      </c>
      <c r="AE28" s="80" t="s">
        <v>451</v>
      </c>
    </row>
    <row r="29" spans="1:31" ht="15" x14ac:dyDescent="0.2">
      <c r="A29" s="55">
        <v>213.3</v>
      </c>
      <c r="B29" s="40">
        <f t="shared" si="0"/>
        <v>3</v>
      </c>
      <c r="C29" s="44" t="s">
        <v>520</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521</v>
      </c>
      <c r="D30" s="41" t="str">
        <f t="shared" si="1"/>
        <v xml:space="preserve">                        Integrated Heat Exchanger Building Slab Roof</v>
      </c>
      <c r="E30" s="41" t="s">
        <v>341</v>
      </c>
      <c r="F30" s="41" t="s">
        <v>351</v>
      </c>
      <c r="G30" s="41" t="s">
        <v>354</v>
      </c>
      <c r="H30" s="45"/>
      <c r="I30" s="46">
        <f>1200</f>
        <v>1200</v>
      </c>
      <c r="J30" s="47" t="s">
        <v>79</v>
      </c>
      <c r="K30" s="49" t="s">
        <v>525</v>
      </c>
      <c r="L30" s="48"/>
      <c r="M30" s="47" t="s">
        <v>81</v>
      </c>
      <c r="N30" s="48"/>
      <c r="O30" s="68">
        <v>2024</v>
      </c>
      <c r="P30" s="47" t="s">
        <v>77</v>
      </c>
      <c r="Q30" s="95" t="s">
        <v>551</v>
      </c>
      <c r="R30" s="95" t="s">
        <v>83</v>
      </c>
      <c r="S30" s="96" t="s">
        <v>84</v>
      </c>
      <c r="T30" s="51"/>
      <c r="U30" s="80" t="s">
        <v>470</v>
      </c>
      <c r="V30" s="84">
        <f t="shared" si="4"/>
        <v>0</v>
      </c>
      <c r="W30" s="84">
        <f t="shared" ref="W30:W33" si="14">1.5*H30</f>
        <v>0</v>
      </c>
      <c r="X30" s="80" t="s">
        <v>450</v>
      </c>
      <c r="Y30" s="83">
        <f t="shared" ref="Y30:Y33" si="15">0.9*I30</f>
        <v>1080</v>
      </c>
      <c r="Z30" s="83">
        <f t="shared" ref="Z30:Z33" si="16">1.3*I30</f>
        <v>1560</v>
      </c>
      <c r="AA30" s="80" t="s">
        <v>450</v>
      </c>
      <c r="AB30" s="83" t="s">
        <v>474</v>
      </c>
      <c r="AC30" s="83" t="s">
        <v>475</v>
      </c>
      <c r="AD30" s="83" t="s">
        <v>476</v>
      </c>
      <c r="AE30" s="80" t="s">
        <v>451</v>
      </c>
    </row>
    <row r="31" spans="1:31" ht="43" x14ac:dyDescent="0.2">
      <c r="A31" s="55">
        <v>213.32</v>
      </c>
      <c r="B31" s="40">
        <f t="shared" si="0"/>
        <v>4</v>
      </c>
      <c r="C31" s="44" t="s">
        <v>522</v>
      </c>
      <c r="D31" s="41" t="str">
        <f t="shared" si="1"/>
        <v xml:space="preserve">                        Integrated Heat Exchanger Building Basement</v>
      </c>
      <c r="E31" s="41" t="s">
        <v>341</v>
      </c>
      <c r="F31" s="41" t="s">
        <v>351</v>
      </c>
      <c r="G31" s="41" t="s">
        <v>354</v>
      </c>
      <c r="H31" s="45"/>
      <c r="I31" s="46">
        <f>943.9</f>
        <v>943.9</v>
      </c>
      <c r="J31" s="47" t="s">
        <v>79</v>
      </c>
      <c r="K31" s="49" t="s">
        <v>526</v>
      </c>
      <c r="L31" s="48"/>
      <c r="M31" s="47" t="s">
        <v>81</v>
      </c>
      <c r="N31" s="48"/>
      <c r="O31" s="68">
        <v>2024</v>
      </c>
      <c r="P31" s="47" t="s">
        <v>77</v>
      </c>
      <c r="Q31" s="95"/>
      <c r="R31" s="95"/>
      <c r="S31" s="97"/>
      <c r="T31" s="51"/>
      <c r="U31" s="80" t="s">
        <v>470</v>
      </c>
      <c r="V31" s="84">
        <f t="shared" si="4"/>
        <v>0</v>
      </c>
      <c r="W31" s="84">
        <f t="shared" si="14"/>
        <v>0</v>
      </c>
      <c r="X31" s="80" t="s">
        <v>450</v>
      </c>
      <c r="Y31" s="83">
        <f t="shared" si="15"/>
        <v>849.51</v>
      </c>
      <c r="Z31" s="83">
        <f t="shared" si="16"/>
        <v>1227.07</v>
      </c>
      <c r="AA31" s="80" t="s">
        <v>450</v>
      </c>
      <c r="AB31" s="83" t="s">
        <v>474</v>
      </c>
      <c r="AC31" s="83" t="s">
        <v>475</v>
      </c>
      <c r="AD31" s="83" t="s">
        <v>476</v>
      </c>
      <c r="AE31" s="80" t="s">
        <v>451</v>
      </c>
    </row>
    <row r="32" spans="1:31" ht="57" x14ac:dyDescent="0.2">
      <c r="A32" s="55">
        <v>213.33</v>
      </c>
      <c r="B32" s="40">
        <f t="shared" si="0"/>
        <v>4</v>
      </c>
      <c r="C32" s="44" t="s">
        <v>523</v>
      </c>
      <c r="D32" s="41" t="str">
        <f t="shared" si="1"/>
        <v xml:space="preserve">                        Integrated Heat Exchanger Building Walls</v>
      </c>
      <c r="E32" s="41" t="s">
        <v>341</v>
      </c>
      <c r="F32" s="41" t="s">
        <v>351</v>
      </c>
      <c r="G32" s="41" t="s">
        <v>354</v>
      </c>
      <c r="H32" s="45"/>
      <c r="I32" s="46">
        <f>721.21</f>
        <v>721.21</v>
      </c>
      <c r="J32" s="47" t="s">
        <v>79</v>
      </c>
      <c r="K32" s="49" t="s">
        <v>527</v>
      </c>
      <c r="L32" s="48"/>
      <c r="M32" s="47" t="s">
        <v>81</v>
      </c>
      <c r="N32" s="48"/>
      <c r="O32" s="68">
        <v>2024</v>
      </c>
      <c r="P32" s="47" t="s">
        <v>77</v>
      </c>
      <c r="Q32" s="95"/>
      <c r="R32" s="95"/>
      <c r="S32" s="97"/>
      <c r="T32" s="51"/>
      <c r="U32" s="80" t="s">
        <v>470</v>
      </c>
      <c r="V32" s="84">
        <f t="shared" si="4"/>
        <v>0</v>
      </c>
      <c r="W32" s="84">
        <f t="shared" si="14"/>
        <v>0</v>
      </c>
      <c r="X32" s="80" t="s">
        <v>450</v>
      </c>
      <c r="Y32" s="83">
        <f t="shared" si="15"/>
        <v>649.08900000000006</v>
      </c>
      <c r="Z32" s="83">
        <f t="shared" si="16"/>
        <v>937.57300000000009</v>
      </c>
      <c r="AA32" s="80" t="s">
        <v>450</v>
      </c>
      <c r="AB32" s="83" t="s">
        <v>474</v>
      </c>
      <c r="AC32" s="83" t="s">
        <v>475</v>
      </c>
      <c r="AD32" s="83" t="s">
        <v>476</v>
      </c>
      <c r="AE32" s="80" t="s">
        <v>451</v>
      </c>
    </row>
    <row r="33" spans="1:31" ht="57" x14ac:dyDescent="0.2">
      <c r="A33" s="55">
        <v>213.34</v>
      </c>
      <c r="B33" s="40">
        <f t="shared" si="0"/>
        <v>4</v>
      </c>
      <c r="C33" s="44" t="s">
        <v>524</v>
      </c>
      <c r="D33" s="41" t="str">
        <f t="shared" si="1"/>
        <v xml:space="preserve">                        Integrated Heat Exchanger Building Liner</v>
      </c>
      <c r="E33" s="41" t="s">
        <v>341</v>
      </c>
      <c r="F33" s="41" t="s">
        <v>351</v>
      </c>
      <c r="G33" s="41" t="s">
        <v>354</v>
      </c>
      <c r="H33" s="45"/>
      <c r="I33" s="46">
        <f>60848829/9373</f>
        <v>6491.9267043635973</v>
      </c>
      <c r="J33" s="47" t="s">
        <v>517</v>
      </c>
      <c r="K33" s="49" t="s">
        <v>528</v>
      </c>
      <c r="L33" s="48">
        <v>9373</v>
      </c>
      <c r="M33" s="47" t="s">
        <v>516</v>
      </c>
      <c r="N33" s="48">
        <v>1</v>
      </c>
      <c r="O33" s="68">
        <v>2018</v>
      </c>
      <c r="P33" s="47" t="s">
        <v>77</v>
      </c>
      <c r="Q33" s="49" t="s">
        <v>514</v>
      </c>
      <c r="R33" s="49" t="s">
        <v>514</v>
      </c>
      <c r="S33" s="88" t="s">
        <v>515</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5" t="s">
        <v>82</v>
      </c>
      <c r="R37" s="95" t="s">
        <v>83</v>
      </c>
      <c r="S37" s="96"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5"/>
      <c r="R38" s="95"/>
      <c r="S38" s="97"/>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5"/>
      <c r="R39" s="95"/>
      <c r="S39" s="97"/>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5" t="s">
        <v>82</v>
      </c>
      <c r="R41" s="95" t="s">
        <v>83</v>
      </c>
      <c r="S41" s="96"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5"/>
      <c r="R42" s="95"/>
      <c r="S42" s="97"/>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5"/>
      <c r="R43" s="95"/>
      <c r="S43" s="97"/>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f>
        <v>1200</v>
      </c>
      <c r="J46" s="47" t="s">
        <v>79</v>
      </c>
      <c r="K46" s="49" t="s">
        <v>149</v>
      </c>
      <c r="L46" s="48"/>
      <c r="M46" s="47" t="s">
        <v>81</v>
      </c>
      <c r="N46" s="48"/>
      <c r="O46" s="68">
        <v>2024</v>
      </c>
      <c r="P46" s="48" t="s">
        <v>77</v>
      </c>
      <c r="Q46" s="95" t="s">
        <v>551</v>
      </c>
      <c r="R46" s="95" t="s">
        <v>83</v>
      </c>
      <c r="S46" s="96" t="s">
        <v>84</v>
      </c>
      <c r="T46" s="51"/>
      <c r="U46" s="80" t="s">
        <v>470</v>
      </c>
      <c r="V46" s="84">
        <f t="shared" si="4"/>
        <v>0</v>
      </c>
      <c r="W46" s="84">
        <f t="shared" si="5"/>
        <v>0</v>
      </c>
      <c r="X46" s="80" t="s">
        <v>450</v>
      </c>
      <c r="Y46" s="83">
        <f t="shared" si="6"/>
        <v>1080</v>
      </c>
      <c r="Z46" s="83">
        <f t="shared" si="7"/>
        <v>1560</v>
      </c>
      <c r="AA46" s="80" t="s">
        <v>450</v>
      </c>
      <c r="AB46" s="83" t="s">
        <v>474</v>
      </c>
      <c r="AC46" s="83" t="s">
        <v>475</v>
      </c>
      <c r="AD46" s="83" t="s">
        <v>476</v>
      </c>
      <c r="AE46" s="80" t="s">
        <v>451</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f>
        <v>943.9</v>
      </c>
      <c r="J47" s="47" t="s">
        <v>79</v>
      </c>
      <c r="K47" s="49" t="s">
        <v>150</v>
      </c>
      <c r="L47" s="48"/>
      <c r="M47" s="47" t="s">
        <v>81</v>
      </c>
      <c r="N47" s="48"/>
      <c r="O47" s="68">
        <v>2024</v>
      </c>
      <c r="P47" s="48" t="s">
        <v>77</v>
      </c>
      <c r="Q47" s="95"/>
      <c r="R47" s="95"/>
      <c r="S47" s="97"/>
      <c r="T47" s="51"/>
      <c r="U47" s="80" t="s">
        <v>470</v>
      </c>
      <c r="V47" s="84">
        <f t="shared" si="4"/>
        <v>0</v>
      </c>
      <c r="W47" s="84">
        <f t="shared" si="5"/>
        <v>0</v>
      </c>
      <c r="X47" s="80" t="s">
        <v>450</v>
      </c>
      <c r="Y47" s="83">
        <f t="shared" si="6"/>
        <v>849.51</v>
      </c>
      <c r="Z47" s="83">
        <f t="shared" si="7"/>
        <v>1227.07</v>
      </c>
      <c r="AA47" s="80" t="s">
        <v>450</v>
      </c>
      <c r="AB47" s="83" t="s">
        <v>474</v>
      </c>
      <c r="AC47" s="83" t="s">
        <v>475</v>
      </c>
      <c r="AD47" s="83" t="s">
        <v>476</v>
      </c>
      <c r="AE47" s="80" t="s">
        <v>451</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f>
        <v>721.21</v>
      </c>
      <c r="J48" s="47" t="s">
        <v>79</v>
      </c>
      <c r="K48" s="49" t="s">
        <v>151</v>
      </c>
      <c r="L48" s="48"/>
      <c r="M48" s="47" t="s">
        <v>81</v>
      </c>
      <c r="N48" s="48"/>
      <c r="O48" s="68">
        <v>2024</v>
      </c>
      <c r="P48" s="47" t="s">
        <v>77</v>
      </c>
      <c r="Q48" s="95"/>
      <c r="R48" s="95"/>
      <c r="S48" s="97"/>
      <c r="T48" s="51"/>
      <c r="U48" s="80" t="s">
        <v>470</v>
      </c>
      <c r="V48" s="84">
        <f t="shared" si="4"/>
        <v>0</v>
      </c>
      <c r="W48" s="84">
        <f t="shared" si="5"/>
        <v>0</v>
      </c>
      <c r="X48" s="80" t="s">
        <v>450</v>
      </c>
      <c r="Y48" s="83">
        <f t="shared" si="6"/>
        <v>649.08900000000006</v>
      </c>
      <c r="Z48" s="83">
        <f t="shared" si="7"/>
        <v>937.57300000000009</v>
      </c>
      <c r="AA48" s="80" t="s">
        <v>450</v>
      </c>
      <c r="AB48" s="83" t="s">
        <v>474</v>
      </c>
      <c r="AC48" s="83" t="s">
        <v>475</v>
      </c>
      <c r="AD48" s="83" t="s">
        <v>476</v>
      </c>
      <c r="AE48" s="80" t="s">
        <v>451</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x14ac:dyDescent="0.2">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483</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484</v>
      </c>
      <c r="D52" s="41" t="str">
        <f t="shared" si="1"/>
        <v xml:space="preserve">                              Manipulator Building Slab Roof</v>
      </c>
      <c r="E52" s="41" t="s">
        <v>341</v>
      </c>
      <c r="F52" s="41"/>
      <c r="G52" s="47"/>
      <c r="H52" s="45"/>
      <c r="I52" s="46">
        <f>1200</f>
        <v>1200</v>
      </c>
      <c r="J52" s="47" t="s">
        <v>79</v>
      </c>
      <c r="K52" s="58" t="s">
        <v>487</v>
      </c>
      <c r="L52" s="47"/>
      <c r="M52" s="47" t="s">
        <v>81</v>
      </c>
      <c r="N52" s="48"/>
      <c r="O52" s="68">
        <v>2024</v>
      </c>
      <c r="P52" s="48" t="s">
        <v>77</v>
      </c>
      <c r="Q52" s="105" t="s">
        <v>551</v>
      </c>
      <c r="R52" s="105" t="s">
        <v>83</v>
      </c>
      <c r="S52" s="99" t="s">
        <v>84</v>
      </c>
      <c r="T52" s="91" t="s">
        <v>503</v>
      </c>
      <c r="U52" s="80" t="s">
        <v>470</v>
      </c>
      <c r="V52" s="84">
        <f t="shared" si="4"/>
        <v>0</v>
      </c>
      <c r="W52" s="84">
        <f t="shared" ref="W52:W54" si="17">1.5*H52</f>
        <v>0</v>
      </c>
      <c r="X52" s="80" t="s">
        <v>450</v>
      </c>
      <c r="Y52" s="83">
        <f t="shared" ref="Y52:Y54" si="18">0.9*I52</f>
        <v>1080</v>
      </c>
      <c r="Z52" s="83">
        <f t="shared" ref="Z52:Z54" si="19">1.3*I52</f>
        <v>1560</v>
      </c>
      <c r="AA52" s="80" t="s">
        <v>450</v>
      </c>
      <c r="AB52" s="83" t="s">
        <v>474</v>
      </c>
      <c r="AC52" s="83" t="s">
        <v>475</v>
      </c>
      <c r="AD52" s="83" t="s">
        <v>476</v>
      </c>
      <c r="AE52" s="80" t="s">
        <v>451</v>
      </c>
    </row>
    <row r="53" spans="1:31" ht="43" x14ac:dyDescent="0.2">
      <c r="A53" s="55">
        <v>214.81200000000001</v>
      </c>
      <c r="B53" s="40">
        <f t="shared" si="0"/>
        <v>5</v>
      </c>
      <c r="C53" s="58" t="s">
        <v>485</v>
      </c>
      <c r="D53" s="41" t="str">
        <f t="shared" si="1"/>
        <v xml:space="preserve">                              ManipulatorBuilding Basement</v>
      </c>
      <c r="E53" s="41" t="s">
        <v>341</v>
      </c>
      <c r="F53" s="41"/>
      <c r="G53" s="47"/>
      <c r="H53" s="45"/>
      <c r="I53" s="46">
        <f>943.9</f>
        <v>943.9</v>
      </c>
      <c r="J53" s="47" t="s">
        <v>79</v>
      </c>
      <c r="K53" s="58" t="s">
        <v>488</v>
      </c>
      <c r="L53" s="47"/>
      <c r="M53" s="47" t="s">
        <v>81</v>
      </c>
      <c r="N53" s="48"/>
      <c r="O53" s="68">
        <v>2024</v>
      </c>
      <c r="P53" s="48" t="s">
        <v>77</v>
      </c>
      <c r="Q53" s="106"/>
      <c r="R53" s="106"/>
      <c r="S53" s="100"/>
      <c r="T53" s="92"/>
      <c r="U53" s="80" t="s">
        <v>470</v>
      </c>
      <c r="V53" s="84">
        <f t="shared" si="4"/>
        <v>0</v>
      </c>
      <c r="W53" s="84">
        <f t="shared" si="17"/>
        <v>0</v>
      </c>
      <c r="X53" s="80" t="s">
        <v>450</v>
      </c>
      <c r="Y53" s="83">
        <f t="shared" si="18"/>
        <v>849.51</v>
      </c>
      <c r="Z53" s="83">
        <f t="shared" si="19"/>
        <v>1227.07</v>
      </c>
      <c r="AA53" s="80" t="s">
        <v>450</v>
      </c>
      <c r="AB53" s="83" t="s">
        <v>474</v>
      </c>
      <c r="AC53" s="83" t="s">
        <v>475</v>
      </c>
      <c r="AD53" s="83" t="s">
        <v>476</v>
      </c>
      <c r="AE53" s="80" t="s">
        <v>451</v>
      </c>
    </row>
    <row r="54" spans="1:31" ht="43" x14ac:dyDescent="0.2">
      <c r="A54" s="55">
        <v>214.81299999999999</v>
      </c>
      <c r="B54" s="40">
        <f t="shared" si="0"/>
        <v>5</v>
      </c>
      <c r="C54" s="58" t="s">
        <v>486</v>
      </c>
      <c r="D54" s="41" t="str">
        <f t="shared" si="1"/>
        <v xml:space="preserve">                              Manipulator Building Exterior Walls</v>
      </c>
      <c r="E54" s="41" t="s">
        <v>341</v>
      </c>
      <c r="F54" s="41"/>
      <c r="G54" s="47"/>
      <c r="H54" s="45"/>
      <c r="I54" s="46">
        <f>721.21</f>
        <v>721.21</v>
      </c>
      <c r="J54" s="47" t="s">
        <v>79</v>
      </c>
      <c r="K54" s="58" t="s">
        <v>489</v>
      </c>
      <c r="L54" s="47"/>
      <c r="M54" s="47" t="s">
        <v>81</v>
      </c>
      <c r="N54" s="48"/>
      <c r="O54" s="68">
        <v>2024</v>
      </c>
      <c r="P54" s="47" t="s">
        <v>77</v>
      </c>
      <c r="Q54" s="107"/>
      <c r="R54" s="107"/>
      <c r="S54" s="101"/>
      <c r="T54" s="93"/>
      <c r="U54" s="80" t="s">
        <v>470</v>
      </c>
      <c r="V54" s="84">
        <f t="shared" si="4"/>
        <v>0</v>
      </c>
      <c r="W54" s="84">
        <f t="shared" si="17"/>
        <v>0</v>
      </c>
      <c r="X54" s="80" t="s">
        <v>450</v>
      </c>
      <c r="Y54" s="83">
        <f t="shared" si="18"/>
        <v>649.08900000000006</v>
      </c>
      <c r="Z54" s="83">
        <f t="shared" si="19"/>
        <v>937.57300000000009</v>
      </c>
      <c r="AA54" s="80" t="s">
        <v>450</v>
      </c>
      <c r="AB54" s="83" t="s">
        <v>474</v>
      </c>
      <c r="AC54" s="83" t="s">
        <v>475</v>
      </c>
      <c r="AD54" s="83" t="s">
        <v>476</v>
      </c>
      <c r="AE54" s="80" t="s">
        <v>451</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f>
        <v>1200</v>
      </c>
      <c r="J57" s="47" t="s">
        <v>79</v>
      </c>
      <c r="K57" s="49" t="s">
        <v>167</v>
      </c>
      <c r="L57" s="47"/>
      <c r="M57" s="47" t="s">
        <v>81</v>
      </c>
      <c r="N57" s="47"/>
      <c r="O57" s="68">
        <v>2024</v>
      </c>
      <c r="P57" s="47" t="s">
        <v>77</v>
      </c>
      <c r="Q57" s="95" t="s">
        <v>551</v>
      </c>
      <c r="R57" s="95" t="s">
        <v>83</v>
      </c>
      <c r="S57" s="96" t="s">
        <v>84</v>
      </c>
      <c r="T57" s="51"/>
      <c r="U57" s="80" t="s">
        <v>470</v>
      </c>
      <c r="V57" s="84">
        <f t="shared" si="4"/>
        <v>0</v>
      </c>
      <c r="W57" s="84">
        <f t="shared" si="5"/>
        <v>0</v>
      </c>
      <c r="X57" s="80" t="s">
        <v>450</v>
      </c>
      <c r="Y57" s="83">
        <f t="shared" si="6"/>
        <v>1080</v>
      </c>
      <c r="Z57" s="83">
        <f t="shared" si="7"/>
        <v>1560</v>
      </c>
      <c r="AA57" s="80" t="s">
        <v>450</v>
      </c>
      <c r="AB57" s="83" t="s">
        <v>474</v>
      </c>
      <c r="AC57" s="83" t="s">
        <v>475</v>
      </c>
      <c r="AD57" s="83" t="s">
        <v>476</v>
      </c>
      <c r="AE57" s="80" t="s">
        <v>451</v>
      </c>
    </row>
    <row r="58" spans="1:31" ht="29" x14ac:dyDescent="0.2">
      <c r="A58" s="55">
        <v>215.12</v>
      </c>
      <c r="B58" s="40">
        <f t="shared" si="0"/>
        <v>4</v>
      </c>
      <c r="C58" s="58" t="s">
        <v>162</v>
      </c>
      <c r="D58" s="41" t="str">
        <f t="shared" si="1"/>
        <v xml:space="preserve">                        Storage Building Basement</v>
      </c>
      <c r="E58" s="41" t="s">
        <v>341</v>
      </c>
      <c r="F58" s="41"/>
      <c r="G58" s="41"/>
      <c r="H58" s="45"/>
      <c r="I58" s="46">
        <f>943.9</f>
        <v>943.9</v>
      </c>
      <c r="J58" s="47" t="s">
        <v>79</v>
      </c>
      <c r="K58" s="49" t="s">
        <v>168</v>
      </c>
      <c r="L58" s="47"/>
      <c r="M58" s="47" t="s">
        <v>81</v>
      </c>
      <c r="N58" s="47"/>
      <c r="O58" s="68">
        <v>2024</v>
      </c>
      <c r="P58" s="47" t="s">
        <v>77</v>
      </c>
      <c r="Q58" s="95"/>
      <c r="R58" s="95"/>
      <c r="S58" s="97"/>
      <c r="T58" s="51"/>
      <c r="U58" s="80" t="s">
        <v>470</v>
      </c>
      <c r="V58" s="84">
        <f t="shared" si="4"/>
        <v>0</v>
      </c>
      <c r="W58" s="84">
        <f t="shared" si="5"/>
        <v>0</v>
      </c>
      <c r="X58" s="80" t="s">
        <v>450</v>
      </c>
      <c r="Y58" s="83">
        <f t="shared" si="6"/>
        <v>849.51</v>
      </c>
      <c r="Z58" s="83">
        <f t="shared" si="7"/>
        <v>1227.07</v>
      </c>
      <c r="AA58" s="80" t="s">
        <v>450</v>
      </c>
      <c r="AB58" s="83" t="s">
        <v>474</v>
      </c>
      <c r="AC58" s="83" t="s">
        <v>475</v>
      </c>
      <c r="AD58" s="83" t="s">
        <v>476</v>
      </c>
      <c r="AE58" s="80" t="s">
        <v>451</v>
      </c>
    </row>
    <row r="59" spans="1:31" ht="43" x14ac:dyDescent="0.2">
      <c r="A59" s="55">
        <v>215.13</v>
      </c>
      <c r="B59" s="40">
        <f t="shared" si="0"/>
        <v>4</v>
      </c>
      <c r="C59" s="58" t="s">
        <v>163</v>
      </c>
      <c r="D59" s="41" t="str">
        <f t="shared" si="1"/>
        <v xml:space="preserve">                        Storage Building Walls</v>
      </c>
      <c r="E59" s="41" t="s">
        <v>341</v>
      </c>
      <c r="F59" s="41"/>
      <c r="G59" s="41"/>
      <c r="H59" s="45"/>
      <c r="I59" s="46">
        <f>721.21</f>
        <v>721.21</v>
      </c>
      <c r="J59" s="47" t="s">
        <v>79</v>
      </c>
      <c r="K59" s="49" t="s">
        <v>169</v>
      </c>
      <c r="L59" s="47"/>
      <c r="M59" s="47" t="s">
        <v>81</v>
      </c>
      <c r="N59" s="47"/>
      <c r="O59" s="68">
        <v>2024</v>
      </c>
      <c r="P59" s="47" t="s">
        <v>77</v>
      </c>
      <c r="Q59" s="95"/>
      <c r="R59" s="95"/>
      <c r="S59" s="97"/>
      <c r="T59" s="51"/>
      <c r="U59" s="80" t="s">
        <v>470</v>
      </c>
      <c r="V59" s="84">
        <f t="shared" si="4"/>
        <v>0</v>
      </c>
      <c r="W59" s="84">
        <f t="shared" si="5"/>
        <v>0</v>
      </c>
      <c r="X59" s="80" t="s">
        <v>450</v>
      </c>
      <c r="Y59" s="83">
        <f t="shared" si="6"/>
        <v>649.08900000000006</v>
      </c>
      <c r="Z59" s="83">
        <f t="shared" si="7"/>
        <v>937.57300000000009</v>
      </c>
      <c r="AA59" s="80" t="s">
        <v>450</v>
      </c>
      <c r="AB59" s="83" t="s">
        <v>474</v>
      </c>
      <c r="AC59" s="83" t="s">
        <v>475</v>
      </c>
      <c r="AD59" s="83" t="s">
        <v>476</v>
      </c>
      <c r="AE59" s="80" t="s">
        <v>451</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5" t="s">
        <v>82</v>
      </c>
      <c r="R61" s="95" t="s">
        <v>83</v>
      </c>
      <c r="S61" s="96"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5"/>
      <c r="R62" s="95"/>
      <c r="S62" s="97"/>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5"/>
      <c r="R63" s="95"/>
      <c r="S63" s="97"/>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MARVEL_Cost!C16/L67</f>
        <v>311.55798937474458</v>
      </c>
      <c r="J67" s="51" t="s">
        <v>174</v>
      </c>
      <c r="K67" s="61" t="s">
        <v>329</v>
      </c>
      <c r="L67" s="51">
        <f>1000*('Design Variables'!B52+'Design Variables'!B49)</f>
        <v>2447</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280.40219043727012</v>
      </c>
      <c r="Z67" s="83">
        <f t="shared" si="7"/>
        <v>405.02538618716795</v>
      </c>
      <c r="AA67" s="80" t="s">
        <v>450</v>
      </c>
      <c r="AB67" s="83" t="s">
        <v>474</v>
      </c>
      <c r="AC67" s="83" t="s">
        <v>475</v>
      </c>
      <c r="AD67" s="83" t="s">
        <v>476</v>
      </c>
      <c r="AE67" s="80" t="s">
        <v>451</v>
      </c>
    </row>
    <row r="68" spans="1:31" ht="30" customHeight="1" x14ac:dyDescent="0.2">
      <c r="A68" s="55">
        <v>221.12</v>
      </c>
      <c r="B68" s="40">
        <f t="shared" si="0"/>
        <v>4</v>
      </c>
      <c r="C68" s="58" t="s">
        <v>129</v>
      </c>
      <c r="D68" s="41" t="str">
        <f t="shared" si="1"/>
        <v xml:space="preserve">                        Outer Vessel Structure</v>
      </c>
      <c r="E68" s="41" t="s">
        <v>341</v>
      </c>
      <c r="F68" s="41" t="s">
        <v>497</v>
      </c>
      <c r="G68" s="41" t="s">
        <v>438</v>
      </c>
      <c r="H68" s="45"/>
      <c r="I68" s="63">
        <f>MARVEL_Cost!C17/L68</f>
        <v>757.20768746061754</v>
      </c>
      <c r="J68" s="51" t="s">
        <v>174</v>
      </c>
      <c r="K68" s="61" t="s">
        <v>180</v>
      </c>
      <c r="L68" s="64">
        <f>'Design Variables'!B52*1000</f>
        <v>1587</v>
      </c>
      <c r="M68" s="51" t="s">
        <v>173</v>
      </c>
      <c r="N68" s="51"/>
      <c r="O68" s="68">
        <v>2017</v>
      </c>
      <c r="P68" s="51" t="s">
        <v>77</v>
      </c>
      <c r="Q68" s="61" t="s">
        <v>399</v>
      </c>
      <c r="R68" s="94" t="s">
        <v>350</v>
      </c>
      <c r="S68" s="58"/>
      <c r="T68" s="51"/>
      <c r="U68" s="80" t="s">
        <v>471</v>
      </c>
      <c r="V68" s="84">
        <f t="shared" si="4"/>
        <v>0</v>
      </c>
      <c r="W68" s="84">
        <f t="shared" si="5"/>
        <v>0</v>
      </c>
      <c r="X68" s="80" t="s">
        <v>450</v>
      </c>
      <c r="Y68" s="83">
        <f t="shared" si="6"/>
        <v>681.48691871455583</v>
      </c>
      <c r="Z68" s="83">
        <f t="shared" si="7"/>
        <v>984.36999369880277</v>
      </c>
      <c r="AA68" s="80" t="s">
        <v>450</v>
      </c>
      <c r="AB68" s="83" t="s">
        <v>474</v>
      </c>
      <c r="AC68" s="83" t="s">
        <v>475</v>
      </c>
      <c r="AD68" s="83" t="s">
        <v>476</v>
      </c>
      <c r="AE68" s="80" t="s">
        <v>451</v>
      </c>
    </row>
    <row r="69" spans="1:31" ht="30" customHeight="1" x14ac:dyDescent="0.2">
      <c r="A69" s="55">
        <v>221.12</v>
      </c>
      <c r="B69" s="40">
        <f t="shared" si="0"/>
        <v>4</v>
      </c>
      <c r="C69" s="58" t="s">
        <v>129</v>
      </c>
      <c r="D69" s="41" t="str">
        <f t="shared" si="1"/>
        <v xml:space="preserve">                        Outer Vessel Structure</v>
      </c>
      <c r="E69" s="41" t="s">
        <v>341</v>
      </c>
      <c r="F69" s="41" t="s">
        <v>497</v>
      </c>
      <c r="G69" s="41" t="s">
        <v>439</v>
      </c>
      <c r="H69" s="45"/>
      <c r="I69" s="63">
        <v>154.08000000000001</v>
      </c>
      <c r="J69" s="51" t="s">
        <v>174</v>
      </c>
      <c r="K69" s="61" t="s">
        <v>180</v>
      </c>
      <c r="L69" s="64"/>
      <c r="M69" s="51"/>
      <c r="N69" s="51"/>
      <c r="O69" s="68">
        <v>2017</v>
      </c>
      <c r="P69" s="51" t="s">
        <v>77</v>
      </c>
      <c r="Q69" s="61" t="s">
        <v>399</v>
      </c>
      <c r="R69" s="94"/>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440</v>
      </c>
      <c r="H70" s="45"/>
      <c r="I70" s="63">
        <v>444.08</v>
      </c>
      <c r="J70" s="51" t="s">
        <v>174</v>
      </c>
      <c r="K70" s="61" t="s">
        <v>180</v>
      </c>
      <c r="L70" s="64"/>
      <c r="M70" s="51"/>
      <c r="N70" s="51"/>
      <c r="O70" s="68">
        <v>2017</v>
      </c>
      <c r="P70" s="51" t="s">
        <v>77</v>
      </c>
      <c r="Q70" s="61" t="s">
        <v>399</v>
      </c>
      <c r="R70" s="94"/>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x14ac:dyDescent="0.2">
      <c r="A71" s="55">
        <v>221.13</v>
      </c>
      <c r="B71" s="40">
        <f t="shared" si="0"/>
        <v>4</v>
      </c>
      <c r="C71" s="58" t="s">
        <v>130</v>
      </c>
      <c r="D71" s="41" t="str">
        <f t="shared" si="1"/>
        <v xml:space="preserve">                        Inner Vessel Structure</v>
      </c>
      <c r="E71" s="41" t="s">
        <v>341</v>
      </c>
      <c r="F71" s="41" t="s">
        <v>498</v>
      </c>
      <c r="G71" s="41" t="s">
        <v>438</v>
      </c>
      <c r="H71" s="45">
        <f>MARVEL_Cost!C37+MARVEL_Cost!C36</f>
        <v>3369444.6</v>
      </c>
      <c r="I71" s="63">
        <f>(MARVEL_Cost!C35)/L71</f>
        <v>1768.3558139534885</v>
      </c>
      <c r="J71" s="51" t="s">
        <v>174</v>
      </c>
      <c r="K71" s="61" t="s">
        <v>177</v>
      </c>
      <c r="L71" s="51">
        <f>1000*'Design Variables'!B49</f>
        <v>860</v>
      </c>
      <c r="M71" s="51"/>
      <c r="N71" s="51"/>
      <c r="O71" s="68">
        <v>2017</v>
      </c>
      <c r="P71" s="51" t="s">
        <v>77</v>
      </c>
      <c r="Q71" s="61" t="s">
        <v>399</v>
      </c>
      <c r="R71" s="94"/>
      <c r="S71" s="58"/>
      <c r="T71" s="61" t="s">
        <v>179</v>
      </c>
      <c r="U71" s="80" t="s">
        <v>471</v>
      </c>
      <c r="V71" s="84">
        <f t="shared" si="4"/>
        <v>3032500.14</v>
      </c>
      <c r="W71" s="84">
        <f t="shared" si="5"/>
        <v>5054166.9000000004</v>
      </c>
      <c r="X71" s="80" t="s">
        <v>450</v>
      </c>
      <c r="Y71" s="83">
        <f t="shared" si="6"/>
        <v>1591.5202325581397</v>
      </c>
      <c r="Z71" s="83">
        <f t="shared" si="7"/>
        <v>2298.8625581395349</v>
      </c>
      <c r="AA71" s="80" t="s">
        <v>450</v>
      </c>
      <c r="AB71" s="83" t="s">
        <v>474</v>
      </c>
      <c r="AC71" s="83" t="s">
        <v>475</v>
      </c>
      <c r="AD71" s="83" t="s">
        <v>476</v>
      </c>
      <c r="AE71" s="80" t="s">
        <v>451</v>
      </c>
    </row>
    <row r="72" spans="1:31" ht="30" customHeight="1" x14ac:dyDescent="0.2">
      <c r="A72" s="55">
        <v>221.13</v>
      </c>
      <c r="B72" s="40">
        <f t="shared" si="0"/>
        <v>4</v>
      </c>
      <c r="C72" s="58" t="s">
        <v>130</v>
      </c>
      <c r="D72" s="41" t="str">
        <f t="shared" si="1"/>
        <v xml:space="preserve">                        Inner Vessel Structure</v>
      </c>
      <c r="E72" s="41" t="s">
        <v>341</v>
      </c>
      <c r="F72" s="41" t="s">
        <v>498</v>
      </c>
      <c r="G72" s="41" t="s">
        <v>439</v>
      </c>
      <c r="H72" s="45"/>
      <c r="I72" s="63">
        <v>154.08000000000001</v>
      </c>
      <c r="J72" s="51" t="s">
        <v>174</v>
      </c>
      <c r="K72" s="61" t="s">
        <v>177</v>
      </c>
      <c r="L72" s="51"/>
      <c r="M72" s="51"/>
      <c r="N72" s="51"/>
      <c r="O72" s="68">
        <v>2017</v>
      </c>
      <c r="P72" s="51" t="s">
        <v>77</v>
      </c>
      <c r="Q72" s="61" t="s">
        <v>399</v>
      </c>
      <c r="R72" s="94"/>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440</v>
      </c>
      <c r="H73" s="45"/>
      <c r="I73" s="63">
        <v>444.08</v>
      </c>
      <c r="J73" s="51" t="s">
        <v>174</v>
      </c>
      <c r="K73" s="61" t="s">
        <v>177</v>
      </c>
      <c r="L73" s="51"/>
      <c r="M73" s="51"/>
      <c r="N73" s="51"/>
      <c r="O73" s="68">
        <v>2017</v>
      </c>
      <c r="P73" s="51" t="s">
        <v>77</v>
      </c>
      <c r="Q73" s="61" t="s">
        <v>399</v>
      </c>
      <c r="R73" s="94"/>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4" t="s">
        <v>176</v>
      </c>
      <c r="S76" s="98" t="s">
        <v>446</v>
      </c>
      <c r="T76" s="61" t="s">
        <v>184</v>
      </c>
      <c r="U76" s="80" t="s">
        <v>449</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4"/>
      <c r="S77" s="98"/>
      <c r="T77" s="51"/>
      <c r="U77" s="80" t="s">
        <v>449</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98"/>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434</v>
      </c>
      <c r="H79" s="45"/>
      <c r="I79" s="63">
        <v>10064</v>
      </c>
      <c r="J79" s="51" t="s">
        <v>174</v>
      </c>
      <c r="K79" s="61" t="s">
        <v>185</v>
      </c>
      <c r="L79" s="51"/>
      <c r="M79" s="51"/>
      <c r="N79" s="51"/>
      <c r="O79" s="68">
        <v>2023</v>
      </c>
      <c r="P79" s="51" t="s">
        <v>73</v>
      </c>
      <c r="Q79" s="61" t="s">
        <v>435</v>
      </c>
      <c r="R79" s="94"/>
      <c r="S79" s="98"/>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98"/>
      <c r="T80" s="51"/>
      <c r="U80" s="80" t="s">
        <v>538</v>
      </c>
      <c r="V80" s="84">
        <f t="shared" ref="V80:V144" si="25">0.9*$H80</f>
        <v>0</v>
      </c>
      <c r="W80" s="84">
        <f t="shared" ref="W80:W144" si="26">1.5*H80</f>
        <v>0</v>
      </c>
      <c r="X80" s="80" t="s">
        <v>450</v>
      </c>
      <c r="Y80" s="83">
        <f t="shared" ref="Y80:Y144" si="27">0.9*I80</f>
        <v>9056.6037735849059</v>
      </c>
      <c r="Z80" s="83">
        <f t="shared" ref="Z80:Z144" si="28">1.3*I80</f>
        <v>13081.761006289309</v>
      </c>
      <c r="AA80" s="80" t="s">
        <v>450</v>
      </c>
      <c r="AB80" s="83" t="s">
        <v>474</v>
      </c>
      <c r="AC80" s="83" t="s">
        <v>475</v>
      </c>
      <c r="AD80" s="83" t="s">
        <v>476</v>
      </c>
      <c r="AE80" s="80" t="s">
        <v>451</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448</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537</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435</v>
      </c>
      <c r="R83" s="65" t="s">
        <v>401</v>
      </c>
      <c r="S83" s="67"/>
      <c r="T83" s="51" t="s">
        <v>402</v>
      </c>
      <c r="U83" s="80" t="s">
        <v>449</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8" t="s">
        <v>446</v>
      </c>
      <c r="T85" s="51"/>
      <c r="U85" s="80" t="s">
        <v>538</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448</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8"/>
      <c r="T86" s="51"/>
      <c r="U86" s="80" t="s">
        <v>537</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8"/>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8"/>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8"/>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98"/>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x14ac:dyDescent="0.15">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98"/>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x14ac:dyDescent="0.2">
      <c r="A92" s="55">
        <v>221.33</v>
      </c>
      <c r="B92" s="40">
        <f t="shared" si="0"/>
        <v>4</v>
      </c>
      <c r="C92" s="58" t="s">
        <v>443</v>
      </c>
      <c r="D92" s="41" t="str">
        <f>REPT("   ", B93*2) &amp; C92</f>
        <v xml:space="preserve">                        Moderator (Booster)</v>
      </c>
      <c r="E92" s="41" t="s">
        <v>341</v>
      </c>
      <c r="F92" s="41" t="s">
        <v>452</v>
      </c>
      <c r="G92" s="41" t="s">
        <v>332</v>
      </c>
      <c r="H92" s="45"/>
      <c r="I92" s="63">
        <v>1520</v>
      </c>
      <c r="J92" s="51" t="s">
        <v>174</v>
      </c>
      <c r="K92" s="61" t="s">
        <v>441</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447</v>
      </c>
      <c r="S96" s="102" t="s">
        <v>344</v>
      </c>
      <c r="T96" s="94"/>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3"/>
      <c r="T97" s="94"/>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x14ac:dyDescent="0.2">
      <c r="A104" s="55">
        <v>222.32</v>
      </c>
      <c r="B104" s="40">
        <f t="shared" ref="B104:B109" si="47">IF(ISNUMBER(A104),
    IF(AND(A104=INT(A104), MOD(A104, 10) = 0), 0,
        IF(AND(A104=INT(A104), LEN(A104)=2), 1,
            IF(AND(A104=INT(A104), LEN(A104)=3), 2,
                LEN(A104) - FIND(".", A104) + 2)
        )
    ),
"")</f>
        <v>4</v>
      </c>
      <c r="C104" s="58" t="s">
        <v>18</v>
      </c>
      <c r="D104" s="41" t="str">
        <f t="shared" ref="D104:D109"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x14ac:dyDescent="0.2">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73</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x14ac:dyDescent="0.2">
      <c r="A106" s="55">
        <v>222.5</v>
      </c>
      <c r="B106" s="40">
        <f t="shared" ref="B106" si="50">IF(ISNUMBER(A106),
    IF(AND(A106=INT(A106), MOD(A106, 10) = 0), 0,
        IF(AND(A106=INT(A106), LEN(A106)=2), 1,
            IF(AND(A106=INT(A106), LEN(A106)=3), 2,
                LEN(A106) - FIND(".", A106) + 2)
        )
    ),
"")</f>
        <v>3</v>
      </c>
      <c r="C106" s="58" t="s">
        <v>490</v>
      </c>
      <c r="D106" s="41" t="str">
        <f t="shared" si="48"/>
        <v xml:space="preserve">                  Initial Coolant Inventory</v>
      </c>
      <c r="E106" s="41" t="s">
        <v>341</v>
      </c>
      <c r="F106" s="41" t="s">
        <v>491</v>
      </c>
      <c r="G106" s="41" t="s">
        <v>529</v>
      </c>
      <c r="H106" s="45"/>
      <c r="I106" s="63">
        <v>118</v>
      </c>
      <c r="J106" s="51" t="s">
        <v>174</v>
      </c>
      <c r="K106" s="61" t="s">
        <v>496</v>
      </c>
      <c r="L106" s="51"/>
      <c r="M106" s="51" t="s">
        <v>173</v>
      </c>
      <c r="N106" s="51"/>
      <c r="O106" s="68">
        <v>2023</v>
      </c>
      <c r="P106" s="51" t="s">
        <v>73</v>
      </c>
      <c r="Q106" s="61"/>
      <c r="R106" s="65"/>
      <c r="S106" s="87"/>
      <c r="T106" s="51"/>
      <c r="U106" s="80"/>
      <c r="V106" s="84"/>
      <c r="W106" s="84"/>
      <c r="X106" s="80"/>
      <c r="Y106" s="83">
        <f t="shared" si="27"/>
        <v>106.2</v>
      </c>
      <c r="Z106" s="83">
        <f t="shared" si="28"/>
        <v>153.4</v>
      </c>
      <c r="AA106" s="80"/>
      <c r="AB106" s="83"/>
      <c r="AC106" s="83"/>
      <c r="AD106" s="83"/>
      <c r="AE106" s="80"/>
    </row>
    <row r="107" spans="1:31" ht="30" customHeight="1" x14ac:dyDescent="0.2">
      <c r="A107" s="55">
        <v>222.6</v>
      </c>
      <c r="B107" s="40">
        <f t="shared" si="47"/>
        <v>3</v>
      </c>
      <c r="C107" s="58" t="s">
        <v>505</v>
      </c>
      <c r="D107" s="41" t="str">
        <f t="shared" si="48"/>
        <v xml:space="preserve">                  Integrated Heat Transfer Vessel</v>
      </c>
      <c r="E107" s="41"/>
      <c r="F107" s="41" t="s">
        <v>351</v>
      </c>
      <c r="G107" s="41" t="s">
        <v>354</v>
      </c>
      <c r="H107" s="45"/>
      <c r="I107" s="63"/>
      <c r="J107" s="51"/>
      <c r="K107" s="61"/>
      <c r="L107" s="51"/>
      <c r="M107" s="51"/>
      <c r="N107" s="51"/>
      <c r="O107" s="68"/>
      <c r="P107" s="51"/>
      <c r="Q107" s="61"/>
      <c r="R107" s="65"/>
      <c r="S107" s="87"/>
      <c r="T107" s="51"/>
      <c r="U107" s="80"/>
      <c r="V107" s="84"/>
      <c r="W107" s="84"/>
      <c r="X107" s="80"/>
      <c r="Y107" s="83"/>
      <c r="Z107" s="83"/>
      <c r="AA107" s="80"/>
      <c r="AB107" s="83"/>
      <c r="AC107" s="83"/>
      <c r="AD107" s="83"/>
      <c r="AE107" s="80"/>
    </row>
    <row r="108" spans="1:31" ht="30" customHeight="1" x14ac:dyDescent="0.2">
      <c r="A108" s="55">
        <v>222.61</v>
      </c>
      <c r="B108" s="40">
        <f t="shared" si="47"/>
        <v>4</v>
      </c>
      <c r="C108" s="58" t="s">
        <v>505</v>
      </c>
      <c r="D108" s="41" t="str">
        <f t="shared" si="48"/>
        <v xml:space="preserve">                        Integrated Heat Transfer Vessel</v>
      </c>
      <c r="E108" s="41" t="s">
        <v>341</v>
      </c>
      <c r="F108" s="41" t="s">
        <v>351</v>
      </c>
      <c r="G108" s="41" t="s">
        <v>354</v>
      </c>
      <c r="H108" s="45"/>
      <c r="I108" s="63">
        <v>50</v>
      </c>
      <c r="J108" s="51" t="s">
        <v>174</v>
      </c>
      <c r="K108" s="61" t="s">
        <v>507</v>
      </c>
      <c r="L108" s="51"/>
      <c r="M108" s="51" t="s">
        <v>173</v>
      </c>
      <c r="N108" s="51"/>
      <c r="O108" s="68">
        <v>2004</v>
      </c>
      <c r="P108" s="51" t="s">
        <v>77</v>
      </c>
      <c r="Q108" s="61" t="s">
        <v>359</v>
      </c>
      <c r="R108" s="65" t="s">
        <v>360</v>
      </c>
      <c r="S108" s="87"/>
      <c r="T108" s="108" t="s">
        <v>506</v>
      </c>
      <c r="U108" s="80" t="s">
        <v>466</v>
      </c>
      <c r="V108" s="84">
        <f t="shared" si="25"/>
        <v>0</v>
      </c>
      <c r="W108" s="84">
        <f t="shared" ref="W108:W109" si="51">1.5*H108</f>
        <v>0</v>
      </c>
      <c r="X108" s="80" t="s">
        <v>450</v>
      </c>
      <c r="Y108" s="83">
        <f t="shared" ref="Y108:Y109" si="52">0.9*I108</f>
        <v>45</v>
      </c>
      <c r="Z108" s="83">
        <f t="shared" ref="Z108:Z109" si="53">1.3*I108</f>
        <v>65</v>
      </c>
      <c r="AA108" s="80" t="s">
        <v>450</v>
      </c>
      <c r="AB108" s="83" t="s">
        <v>474</v>
      </c>
      <c r="AC108" s="83" t="s">
        <v>475</v>
      </c>
      <c r="AD108" s="83" t="s">
        <v>476</v>
      </c>
      <c r="AE108" s="80" t="s">
        <v>451</v>
      </c>
    </row>
    <row r="109" spans="1:31" ht="30" customHeight="1" x14ac:dyDescent="0.2">
      <c r="A109" s="55">
        <v>222.62</v>
      </c>
      <c r="B109" s="40">
        <f t="shared" si="47"/>
        <v>4</v>
      </c>
      <c r="C109" s="58" t="s">
        <v>504</v>
      </c>
      <c r="D109" s="41" t="str">
        <f t="shared" si="48"/>
        <v xml:space="preserve">                        Integrated Heat Transfer System Support</v>
      </c>
      <c r="E109" s="41" t="s">
        <v>341</v>
      </c>
      <c r="F109" s="41" t="s">
        <v>351</v>
      </c>
      <c r="G109" s="41" t="s">
        <v>354</v>
      </c>
      <c r="H109" s="45"/>
      <c r="I109" s="63">
        <f>3171011/L109</f>
        <v>8.1938268733850137</v>
      </c>
      <c r="J109" s="51" t="s">
        <v>174</v>
      </c>
      <c r="K109" s="61" t="s">
        <v>507</v>
      </c>
      <c r="L109" s="51">
        <v>387000</v>
      </c>
      <c r="M109" s="51" t="s">
        <v>173</v>
      </c>
      <c r="N109" s="51">
        <v>0.85</v>
      </c>
      <c r="O109" s="68">
        <v>2018</v>
      </c>
      <c r="P109" s="51" t="s">
        <v>77</v>
      </c>
      <c r="Q109" s="61" t="s">
        <v>398</v>
      </c>
      <c r="R109" s="65" t="s">
        <v>360</v>
      </c>
      <c r="S109" s="87"/>
      <c r="T109" s="109"/>
      <c r="U109" s="80" t="s">
        <v>466</v>
      </c>
      <c r="V109" s="84">
        <f t="shared" si="25"/>
        <v>0</v>
      </c>
      <c r="W109" s="84">
        <f t="shared" si="51"/>
        <v>0</v>
      </c>
      <c r="X109" s="80" t="s">
        <v>450</v>
      </c>
      <c r="Y109" s="83">
        <f t="shared" si="52"/>
        <v>7.3744441860465129</v>
      </c>
      <c r="Z109" s="83">
        <f t="shared" si="53"/>
        <v>10.651974935400519</v>
      </c>
      <c r="AA109" s="80" t="s">
        <v>450</v>
      </c>
      <c r="AB109" s="83" t="s">
        <v>474</v>
      </c>
      <c r="AC109" s="83" t="s">
        <v>475</v>
      </c>
      <c r="AD109" s="83" t="s">
        <v>476</v>
      </c>
      <c r="AE109" s="80" t="s">
        <v>451</v>
      </c>
    </row>
    <row r="110" spans="1:31" ht="15" x14ac:dyDescent="0.2">
      <c r="A110" s="55">
        <v>223</v>
      </c>
      <c r="B110" s="40">
        <f t="shared" si="0"/>
        <v>2</v>
      </c>
      <c r="C110" s="58" t="s">
        <v>19</v>
      </c>
      <c r="D110" s="41" t="str">
        <f t="shared" si="1"/>
        <v xml:space="preserve">            Safety Systems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15" x14ac:dyDescent="0.2">
      <c r="A111" s="55">
        <v>223.2</v>
      </c>
      <c r="B111" s="40">
        <f t="shared" si="0"/>
        <v>3</v>
      </c>
      <c r="C111" s="58" t="s">
        <v>137</v>
      </c>
      <c r="D111" s="41" t="str">
        <f t="shared" si="1"/>
        <v xml:space="preserve">                  Reactor Cavity Cooling System (Rvacs)</v>
      </c>
      <c r="E111" s="41"/>
      <c r="F111" s="41"/>
      <c r="G111" s="41"/>
      <c r="H111" s="45"/>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ht="30" customHeight="1" x14ac:dyDescent="0.2">
      <c r="A112" s="55">
        <v>223.21</v>
      </c>
      <c r="B112" s="40">
        <f t="shared" si="0"/>
        <v>4</v>
      </c>
      <c r="C112" s="58" t="s">
        <v>138</v>
      </c>
      <c r="D112" s="41" t="str">
        <f t="shared" si="1"/>
        <v xml:space="preserve">                        Rvacs (Cooling Vessel)</v>
      </c>
      <c r="E112" s="41" t="s">
        <v>341</v>
      </c>
      <c r="F112" s="41"/>
      <c r="G112" s="47"/>
      <c r="H112" s="68"/>
      <c r="I112" s="63">
        <f>I68</f>
        <v>757.20768746061754</v>
      </c>
      <c r="J112" s="51" t="s">
        <v>174</v>
      </c>
      <c r="K112" s="61" t="s">
        <v>362</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681.48691871455583</v>
      </c>
      <c r="Z112" s="83">
        <f t="shared" si="28"/>
        <v>984.36999369880277</v>
      </c>
      <c r="AA112" s="80" t="s">
        <v>450</v>
      </c>
      <c r="AB112" s="83" t="s">
        <v>474</v>
      </c>
      <c r="AC112" s="83" t="s">
        <v>475</v>
      </c>
      <c r="AD112" s="83" t="s">
        <v>476</v>
      </c>
      <c r="AE112" s="80" t="s">
        <v>451</v>
      </c>
    </row>
    <row r="113" spans="1:31" ht="30" customHeight="1" x14ac:dyDescent="0.2">
      <c r="A113" s="55">
        <v>223.22</v>
      </c>
      <c r="B113" s="40">
        <f t="shared" si="0"/>
        <v>4</v>
      </c>
      <c r="C113" s="58" t="s">
        <v>139</v>
      </c>
      <c r="D113" s="41" t="str">
        <f>REPT("   ", B113*2) &amp; C113</f>
        <v xml:space="preserve">                        Rvacs (Intake Vessel)</v>
      </c>
      <c r="E113" s="41" t="s">
        <v>341</v>
      </c>
      <c r="F113" s="41"/>
      <c r="G113" s="47"/>
      <c r="H113" s="68"/>
      <c r="I113" s="63">
        <f>I112</f>
        <v>757.20768746061754</v>
      </c>
      <c r="J113" s="51" t="s">
        <v>174</v>
      </c>
      <c r="K113" s="61" t="s">
        <v>363</v>
      </c>
      <c r="L113" s="51"/>
      <c r="M113" s="51"/>
      <c r="N113" s="51"/>
      <c r="O113" s="68">
        <v>2017</v>
      </c>
      <c r="P113" s="51" t="s">
        <v>77</v>
      </c>
      <c r="Q113" s="61" t="s">
        <v>399</v>
      </c>
      <c r="R113" s="65" t="s">
        <v>350</v>
      </c>
      <c r="S113" s="51"/>
      <c r="T113" s="51"/>
      <c r="U113" s="80" t="s">
        <v>466</v>
      </c>
      <c r="V113" s="84">
        <f t="shared" si="25"/>
        <v>0</v>
      </c>
      <c r="W113" s="84">
        <f t="shared" si="26"/>
        <v>0</v>
      </c>
      <c r="X113" s="80" t="s">
        <v>450</v>
      </c>
      <c r="Y113" s="83">
        <f t="shared" si="27"/>
        <v>681.48691871455583</v>
      </c>
      <c r="Z113" s="83">
        <f t="shared" si="28"/>
        <v>984.36999369880277</v>
      </c>
      <c r="AA113" s="80" t="s">
        <v>450</v>
      </c>
      <c r="AB113" s="83" t="s">
        <v>474</v>
      </c>
      <c r="AC113" s="83" t="s">
        <v>475</v>
      </c>
      <c r="AD113" s="83" t="s">
        <v>476</v>
      </c>
      <c r="AE113" s="80" t="s">
        <v>451</v>
      </c>
    </row>
    <row r="114" spans="1:31" ht="30" customHeight="1" x14ac:dyDescent="0.2">
      <c r="A114" s="55">
        <v>226</v>
      </c>
      <c r="B114" s="40">
        <f t="shared" si="0"/>
        <v>2</v>
      </c>
      <c r="C114" s="58" t="s">
        <v>208</v>
      </c>
      <c r="D114" s="41" t="str">
        <f>REPT("   ", B114*2) &amp; C114</f>
        <v xml:space="preserve">            Other Reactor Plant Equipment</v>
      </c>
      <c r="E114" s="41" t="s">
        <v>341</v>
      </c>
      <c r="F114" s="41" t="s">
        <v>351</v>
      </c>
      <c r="G114" s="47" t="s">
        <v>544</v>
      </c>
      <c r="H114" s="63">
        <f>MARVEL_Cost!C42</f>
        <v>456297</v>
      </c>
      <c r="I114" s="63"/>
      <c r="J114" s="51"/>
      <c r="K114" s="61"/>
      <c r="L114" s="51"/>
      <c r="M114" s="51"/>
      <c r="N114" s="51"/>
      <c r="O114" s="68">
        <v>2024</v>
      </c>
      <c r="P114" s="51" t="s">
        <v>74</v>
      </c>
      <c r="Q114" s="61" t="s">
        <v>364</v>
      </c>
      <c r="R114" s="51"/>
      <c r="S114" s="51"/>
      <c r="T114" s="51"/>
      <c r="U114" s="80" t="s">
        <v>466</v>
      </c>
      <c r="V114" s="84">
        <f t="shared" si="25"/>
        <v>410667.3</v>
      </c>
      <c r="W114" s="84">
        <f t="shared" si="26"/>
        <v>684445.5</v>
      </c>
      <c r="X114" s="80" t="s">
        <v>450</v>
      </c>
      <c r="Y114" s="83">
        <f t="shared" si="27"/>
        <v>0</v>
      </c>
      <c r="Z114" s="83">
        <f t="shared" si="28"/>
        <v>0</v>
      </c>
      <c r="AA114" s="80" t="s">
        <v>450</v>
      </c>
      <c r="AB114" s="83" t="s">
        <v>474</v>
      </c>
      <c r="AC114" s="83" t="s">
        <v>475</v>
      </c>
      <c r="AD114" s="83" t="s">
        <v>476</v>
      </c>
      <c r="AE114" s="80" t="s">
        <v>451</v>
      </c>
    </row>
    <row r="115" spans="1:31" ht="30" customHeight="1" x14ac:dyDescent="0.2">
      <c r="A115" s="55">
        <v>226</v>
      </c>
      <c r="B115" s="40">
        <v>2</v>
      </c>
      <c r="C115" s="58" t="s">
        <v>208</v>
      </c>
      <c r="D115" s="41" t="str">
        <f>REPT("   ", B115*2) &amp; C115</f>
        <v xml:space="preserve">            Other Reactor Plant Equipment</v>
      </c>
      <c r="E115" s="41" t="s">
        <v>341</v>
      </c>
      <c r="F115" s="41" t="s">
        <v>351</v>
      </c>
      <c r="G115" s="47" t="s">
        <v>354</v>
      </c>
      <c r="H115" s="63"/>
      <c r="I115" s="63">
        <f>8844770/L115*8.15527886031535</f>
        <v>118207.77405377067</v>
      </c>
      <c r="J115" s="51" t="s">
        <v>413</v>
      </c>
      <c r="K115" s="61" t="s">
        <v>437</v>
      </c>
      <c r="L115" s="51">
        <v>610.21</v>
      </c>
      <c r="M115" s="51" t="s">
        <v>414</v>
      </c>
      <c r="N115" s="51">
        <v>0.6</v>
      </c>
      <c r="O115" s="68">
        <v>2023</v>
      </c>
      <c r="P115" s="51" t="s">
        <v>77</v>
      </c>
      <c r="Q115" s="61" t="s">
        <v>415</v>
      </c>
      <c r="R115" s="51" t="s">
        <v>416</v>
      </c>
      <c r="S115" s="78" t="s">
        <v>417</v>
      </c>
      <c r="T115" s="51" t="s">
        <v>418</v>
      </c>
      <c r="U115" s="80" t="s">
        <v>466</v>
      </c>
      <c r="V115" s="84">
        <f t="shared" si="25"/>
        <v>0</v>
      </c>
      <c r="W115" s="84">
        <f t="shared" si="26"/>
        <v>0</v>
      </c>
      <c r="X115" s="80" t="s">
        <v>450</v>
      </c>
      <c r="Y115" s="83">
        <f t="shared" si="27"/>
        <v>106386.9966483936</v>
      </c>
      <c r="Z115" s="83">
        <f t="shared" si="28"/>
        <v>153670.10626990188</v>
      </c>
      <c r="AA115" s="80" t="s">
        <v>450</v>
      </c>
      <c r="AB115" s="83" t="s">
        <v>474</v>
      </c>
      <c r="AC115" s="83" t="s">
        <v>475</v>
      </c>
      <c r="AD115" s="83" t="s">
        <v>476</v>
      </c>
      <c r="AE115" s="80" t="s">
        <v>451</v>
      </c>
    </row>
    <row r="116" spans="1:31" ht="43" x14ac:dyDescent="0.2">
      <c r="A116" s="55">
        <v>227</v>
      </c>
      <c r="B116" s="40">
        <f t="shared" ref="B116:B168" si="54">IF(ISNUMBER(A116),
    IF(AND(A116=INT(A116), MOD(A116, 10) = 0), 0,
        IF(AND(A116=INT(A116), LEN(A116)=2), 1,
            IF(AND(A116=INT(A116), LEN(A116)=3), 2,
                LEN(A116) - FIND(".", A116) + 2)
        )
    ),
"")</f>
        <v>2</v>
      </c>
      <c r="C116" s="58" t="s">
        <v>20</v>
      </c>
      <c r="D116" s="41" t="str">
        <f t="shared" ref="D116:D168" si="55">REPT("   ", B116*2) &amp; C116</f>
        <v xml:space="preserve">            Reactor Instrumentation and Control (I&amp;C)</v>
      </c>
      <c r="E116" s="41" t="s">
        <v>341</v>
      </c>
      <c r="F116" s="41"/>
      <c r="G116" s="47"/>
      <c r="H116" s="63">
        <v>8500000</v>
      </c>
      <c r="I116" s="63"/>
      <c r="J116" s="51"/>
      <c r="K116" s="61"/>
      <c r="L116" s="51"/>
      <c r="M116" s="51"/>
      <c r="N116" s="51"/>
      <c r="O116" s="68">
        <v>2023</v>
      </c>
      <c r="P116" s="51" t="s">
        <v>85</v>
      </c>
      <c r="Q116" s="61" t="s">
        <v>419</v>
      </c>
      <c r="R116" s="61" t="s">
        <v>425</v>
      </c>
      <c r="S116" s="78" t="s">
        <v>420</v>
      </c>
      <c r="T116" s="51" t="s">
        <v>436</v>
      </c>
      <c r="U116" s="80" t="s">
        <v>466</v>
      </c>
      <c r="V116" s="84">
        <f t="shared" si="25"/>
        <v>7650000</v>
      </c>
      <c r="W116" s="84">
        <f t="shared" si="26"/>
        <v>12750000</v>
      </c>
      <c r="X116" s="80" t="s">
        <v>450</v>
      </c>
      <c r="Y116" s="83">
        <f t="shared" si="27"/>
        <v>0</v>
      </c>
      <c r="Z116" s="83">
        <f t="shared" si="28"/>
        <v>0</v>
      </c>
      <c r="AA116" s="80" t="s">
        <v>450</v>
      </c>
      <c r="AB116" s="83" t="s">
        <v>474</v>
      </c>
      <c r="AC116" s="83" t="s">
        <v>475</v>
      </c>
      <c r="AD116" s="83" t="s">
        <v>476</v>
      </c>
      <c r="AE116" s="80" t="s">
        <v>451</v>
      </c>
    </row>
    <row r="117" spans="1:31" ht="15" x14ac:dyDescent="0.2">
      <c r="A117" s="55">
        <v>228</v>
      </c>
      <c r="B117" s="40">
        <f t="shared" si="54"/>
        <v>2</v>
      </c>
      <c r="C117" s="58" t="s">
        <v>211</v>
      </c>
      <c r="D117" s="41" t="str">
        <f t="shared" si="55"/>
        <v xml:space="preserve">            Reactor Plant Miscellaneous Items</v>
      </c>
      <c r="E117" s="41" t="s">
        <v>341</v>
      </c>
      <c r="F117" s="41"/>
      <c r="G117" s="47"/>
      <c r="H117" s="63">
        <f>MARVEL_Cost!C44</f>
        <v>30960</v>
      </c>
      <c r="I117" s="63"/>
      <c r="J117" s="51"/>
      <c r="K117" s="61"/>
      <c r="L117" s="51"/>
      <c r="M117" s="51"/>
      <c r="N117" s="51"/>
      <c r="O117" s="68">
        <v>2024</v>
      </c>
      <c r="P117" s="51" t="s">
        <v>77</v>
      </c>
      <c r="Q117" s="61" t="s">
        <v>364</v>
      </c>
      <c r="R117" s="51"/>
      <c r="S117" s="51"/>
      <c r="T117" s="51"/>
      <c r="U117" s="80" t="s">
        <v>466</v>
      </c>
      <c r="V117" s="84">
        <f t="shared" si="25"/>
        <v>27864</v>
      </c>
      <c r="W117" s="84">
        <f t="shared" si="26"/>
        <v>46440</v>
      </c>
      <c r="X117" s="80" t="s">
        <v>450</v>
      </c>
      <c r="Y117" s="83">
        <f t="shared" si="27"/>
        <v>0</v>
      </c>
      <c r="Z117" s="83">
        <f t="shared" si="28"/>
        <v>0</v>
      </c>
      <c r="AA117" s="80" t="s">
        <v>450</v>
      </c>
      <c r="AB117" s="83" t="s">
        <v>474</v>
      </c>
      <c r="AC117" s="83" t="s">
        <v>475</v>
      </c>
      <c r="AD117" s="83" t="s">
        <v>476</v>
      </c>
      <c r="AE117" s="80" t="s">
        <v>451</v>
      </c>
    </row>
    <row r="118" spans="1:31" ht="15" x14ac:dyDescent="0.2">
      <c r="A118" s="39">
        <v>23</v>
      </c>
      <c r="B118" s="40">
        <f t="shared" si="54"/>
        <v>1</v>
      </c>
      <c r="C118" s="58" t="s">
        <v>21</v>
      </c>
      <c r="D118" s="41" t="str">
        <f t="shared" si="55"/>
        <v xml:space="preserve">      Energy Conversion System </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v>
      </c>
      <c r="B119" s="40">
        <f t="shared" si="54"/>
        <v>2</v>
      </c>
      <c r="C119" s="58" t="s">
        <v>22</v>
      </c>
      <c r="D119" s="41" t="str">
        <f t="shared" si="55"/>
        <v xml:space="preserve">            Energy Applications</v>
      </c>
      <c r="E119" s="41"/>
      <c r="F119" s="41"/>
      <c r="G119" s="47"/>
      <c r="H119" s="68"/>
      <c r="I119" s="63"/>
      <c r="J119" s="51"/>
      <c r="K119" s="61"/>
      <c r="L119" s="51"/>
      <c r="M119" s="51"/>
      <c r="N119" s="51"/>
      <c r="O119" s="68"/>
      <c r="P119" s="51"/>
      <c r="Q119" s="61"/>
      <c r="R119" s="51"/>
      <c r="S119" s="51"/>
      <c r="T119" s="51"/>
      <c r="U119" s="80"/>
      <c r="V119" s="84"/>
      <c r="W119" s="84"/>
      <c r="X119" s="80"/>
      <c r="Y119" s="83"/>
      <c r="Z119" s="83"/>
      <c r="AA119" s="80"/>
      <c r="AB119" s="83"/>
      <c r="AC119" s="83"/>
      <c r="AD119" s="83"/>
      <c r="AE119" s="80"/>
    </row>
    <row r="120" spans="1:31" ht="15" x14ac:dyDescent="0.2">
      <c r="A120" s="55">
        <v>232.1</v>
      </c>
      <c r="B120" s="40">
        <f t="shared" si="54"/>
        <v>3</v>
      </c>
      <c r="C120" s="58" t="s">
        <v>213</v>
      </c>
      <c r="D120" s="41" t="str">
        <f>REPT("   ", B120*2) &amp; C120</f>
        <v xml:space="preserve">                  Electricity Generation Systems</v>
      </c>
      <c r="E120" s="41" t="s">
        <v>341</v>
      </c>
      <c r="F120" s="41"/>
      <c r="G120" s="47"/>
      <c r="H120" s="68"/>
      <c r="I120" s="70">
        <v>12504</v>
      </c>
      <c r="J120" s="51" t="s">
        <v>421</v>
      </c>
      <c r="K120" s="47" t="s">
        <v>442</v>
      </c>
      <c r="L120" s="51">
        <v>1</v>
      </c>
      <c r="M120" s="51"/>
      <c r="N120" s="47">
        <v>0.77700000000000002</v>
      </c>
      <c r="O120" s="68">
        <v>2023</v>
      </c>
      <c r="P120" s="51" t="s">
        <v>77</v>
      </c>
      <c r="Q120" s="61" t="s">
        <v>422</v>
      </c>
      <c r="R120" s="61" t="s">
        <v>422</v>
      </c>
      <c r="S120" s="78" t="s">
        <v>423</v>
      </c>
      <c r="T120" s="51"/>
      <c r="U120" s="80" t="s">
        <v>539</v>
      </c>
      <c r="V120" s="84">
        <f t="shared" si="25"/>
        <v>0</v>
      </c>
      <c r="W120" s="84">
        <f t="shared" si="26"/>
        <v>0</v>
      </c>
      <c r="X120" s="80" t="s">
        <v>450</v>
      </c>
      <c r="Y120" s="83">
        <f t="shared" si="27"/>
        <v>11253.6</v>
      </c>
      <c r="Z120" s="83">
        <f t="shared" si="28"/>
        <v>16255.2</v>
      </c>
      <c r="AA120" s="80" t="s">
        <v>450</v>
      </c>
      <c r="AB120" s="83" t="s">
        <v>474</v>
      </c>
      <c r="AC120" s="83" t="s">
        <v>475</v>
      </c>
      <c r="AD120" s="83" t="s">
        <v>476</v>
      </c>
      <c r="AE120" s="80" t="s">
        <v>451</v>
      </c>
    </row>
    <row r="121" spans="1:31" ht="43" x14ac:dyDescent="0.2">
      <c r="A121" s="55">
        <v>236</v>
      </c>
      <c r="B121" s="40">
        <f t="shared" si="54"/>
        <v>2</v>
      </c>
      <c r="C121" s="58" t="s">
        <v>424</v>
      </c>
      <c r="D121" s="41" t="str">
        <f>REPT("   ", B121*2) &amp; C121</f>
        <v xml:space="preserve">            Common Instrumentation &amp; Controls</v>
      </c>
      <c r="E121" s="41" t="s">
        <v>341</v>
      </c>
      <c r="F121" s="41"/>
      <c r="G121" s="47"/>
      <c r="H121" s="70">
        <v>1000000</v>
      </c>
      <c r="I121" s="70"/>
      <c r="J121" s="51"/>
      <c r="K121" s="47"/>
      <c r="L121" s="51"/>
      <c r="M121" s="51"/>
      <c r="N121" s="47"/>
      <c r="O121" s="68">
        <v>2023</v>
      </c>
      <c r="P121" s="51" t="s">
        <v>77</v>
      </c>
      <c r="Q121" s="61" t="s">
        <v>419</v>
      </c>
      <c r="R121" s="61" t="s">
        <v>425</v>
      </c>
      <c r="S121" s="78" t="s">
        <v>420</v>
      </c>
      <c r="T121" s="51"/>
      <c r="U121" s="80" t="s">
        <v>466</v>
      </c>
      <c r="V121" s="84">
        <f t="shared" si="25"/>
        <v>900000</v>
      </c>
      <c r="W121" s="84">
        <f t="shared" si="26"/>
        <v>1500000</v>
      </c>
      <c r="X121" s="80" t="s">
        <v>450</v>
      </c>
      <c r="Y121" s="83"/>
      <c r="Z121" s="83"/>
      <c r="AA121" s="80" t="s">
        <v>469</v>
      </c>
      <c r="AB121" s="83" t="s">
        <v>469</v>
      </c>
      <c r="AC121" s="83" t="s">
        <v>469</v>
      </c>
      <c r="AD121" s="83" t="s">
        <v>469</v>
      </c>
      <c r="AE121" s="80" t="s">
        <v>469</v>
      </c>
    </row>
    <row r="122" spans="1:31" ht="15" x14ac:dyDescent="0.2">
      <c r="A122" s="39">
        <v>24</v>
      </c>
      <c r="B122" s="40">
        <f t="shared" si="54"/>
        <v>1</v>
      </c>
      <c r="C122" s="58" t="s">
        <v>23</v>
      </c>
      <c r="D122" s="41" t="str">
        <f t="shared" si="55"/>
        <v xml:space="preserve">      Electrical Equipment</v>
      </c>
      <c r="E122" s="41"/>
      <c r="F122" s="41"/>
      <c r="G122" s="47"/>
      <c r="H122" s="68"/>
      <c r="I122" s="63"/>
      <c r="J122" s="51"/>
      <c r="K122" s="61"/>
      <c r="L122" s="51"/>
      <c r="M122" s="51"/>
      <c r="N122" s="51"/>
      <c r="O122" s="68"/>
      <c r="P122" s="51"/>
      <c r="Q122" s="61"/>
      <c r="R122" s="51"/>
      <c r="S122" s="51"/>
      <c r="T122" s="51"/>
      <c r="U122" s="80"/>
      <c r="V122" s="84"/>
      <c r="W122" s="84"/>
      <c r="X122" s="80"/>
      <c r="Y122" s="83"/>
      <c r="Z122" s="83"/>
      <c r="AA122" s="80"/>
      <c r="AB122" s="83"/>
      <c r="AC122" s="83"/>
      <c r="AD122" s="83"/>
      <c r="AE122" s="80"/>
    </row>
    <row r="123" spans="1:31" ht="15" x14ac:dyDescent="0.2">
      <c r="A123" s="39">
        <v>241</v>
      </c>
      <c r="B123" s="40">
        <f t="shared" si="54"/>
        <v>2</v>
      </c>
      <c r="C123" s="79" t="s">
        <v>427</v>
      </c>
      <c r="D123" s="41" t="str">
        <f t="shared" si="55"/>
        <v xml:space="preserve">            Switchgear</v>
      </c>
      <c r="E123" s="41" t="s">
        <v>341</v>
      </c>
      <c r="F123" s="41"/>
      <c r="G123" s="47"/>
      <c r="H123" s="68"/>
      <c r="I123" s="63">
        <f>14424707.2061682/L123</f>
        <v>12609.009795601574</v>
      </c>
      <c r="J123" s="51" t="s">
        <v>67</v>
      </c>
      <c r="K123" s="47" t="s">
        <v>71</v>
      </c>
      <c r="L123" s="51">
        <v>1144</v>
      </c>
      <c r="M123" s="51" t="s">
        <v>69</v>
      </c>
      <c r="N123" s="47">
        <v>0.6</v>
      </c>
      <c r="O123" s="68">
        <v>2018</v>
      </c>
      <c r="P123" s="51" t="s">
        <v>77</v>
      </c>
      <c r="Q123" s="104" t="s">
        <v>426</v>
      </c>
      <c r="R123" s="104" t="s">
        <v>365</v>
      </c>
      <c r="S123" s="51"/>
      <c r="T123" s="51"/>
      <c r="U123" s="80" t="s">
        <v>539</v>
      </c>
      <c r="V123" s="84">
        <f t="shared" si="25"/>
        <v>0</v>
      </c>
      <c r="W123" s="84">
        <f t="shared" si="26"/>
        <v>0</v>
      </c>
      <c r="X123" s="80" t="s">
        <v>469</v>
      </c>
      <c r="Y123" s="83">
        <f t="shared" si="27"/>
        <v>11348.108816041417</v>
      </c>
      <c r="Z123" s="83">
        <f t="shared" si="28"/>
        <v>16391.712734282046</v>
      </c>
      <c r="AA123" s="80" t="s">
        <v>450</v>
      </c>
      <c r="AB123" s="83">
        <v>0.1</v>
      </c>
      <c r="AC123" s="83">
        <v>1</v>
      </c>
      <c r="AD123" s="83">
        <v>0</v>
      </c>
      <c r="AE123" s="80" t="s">
        <v>451</v>
      </c>
    </row>
    <row r="124" spans="1:31" ht="15" x14ac:dyDescent="0.2">
      <c r="A124" s="39">
        <v>242</v>
      </c>
      <c r="B124" s="40">
        <f t="shared" si="54"/>
        <v>2</v>
      </c>
      <c r="C124" s="79" t="s">
        <v>428</v>
      </c>
      <c r="D124" s="41" t="str">
        <f t="shared" si="55"/>
        <v xml:space="preserve">            Station Service Equipment</v>
      </c>
      <c r="E124" s="41" t="s">
        <v>341</v>
      </c>
      <c r="F124" s="41"/>
      <c r="G124" s="47"/>
      <c r="H124" s="68"/>
      <c r="I124" s="63">
        <f>11992641.3775456/L123</f>
        <v>10483.078127225175</v>
      </c>
      <c r="J124" s="51" t="s">
        <v>67</v>
      </c>
      <c r="K124" s="47" t="s">
        <v>71</v>
      </c>
      <c r="L124" s="51">
        <v>1144</v>
      </c>
      <c r="M124" s="51" t="s">
        <v>69</v>
      </c>
      <c r="N124" s="47">
        <v>0.6</v>
      </c>
      <c r="O124" s="68">
        <v>2018</v>
      </c>
      <c r="P124" s="51" t="s">
        <v>77</v>
      </c>
      <c r="Q124" s="104"/>
      <c r="R124" s="104"/>
      <c r="S124" s="51"/>
      <c r="T124" s="51"/>
      <c r="U124" s="80" t="s">
        <v>539</v>
      </c>
      <c r="V124" s="84">
        <f t="shared" si="25"/>
        <v>0</v>
      </c>
      <c r="W124" s="84">
        <f t="shared" si="26"/>
        <v>0</v>
      </c>
      <c r="X124" s="80" t="s">
        <v>469</v>
      </c>
      <c r="Y124" s="83">
        <f t="shared" si="27"/>
        <v>9434.7703145026571</v>
      </c>
      <c r="Z124" s="83">
        <f t="shared" si="28"/>
        <v>13628.001565392728</v>
      </c>
      <c r="AA124" s="80" t="s">
        <v>450</v>
      </c>
      <c r="AB124" s="83">
        <v>0.1</v>
      </c>
      <c r="AC124" s="83">
        <v>1</v>
      </c>
      <c r="AD124" s="83">
        <v>0</v>
      </c>
      <c r="AE124" s="80" t="s">
        <v>451</v>
      </c>
    </row>
    <row r="125" spans="1:31" ht="15" x14ac:dyDescent="0.2">
      <c r="A125" s="39">
        <v>243</v>
      </c>
      <c r="B125" s="40">
        <f t="shared" si="54"/>
        <v>2</v>
      </c>
      <c r="C125" s="79" t="s">
        <v>429</v>
      </c>
      <c r="D125" s="41" t="str">
        <f t="shared" si="55"/>
        <v xml:space="preserve">            Switchboards</v>
      </c>
      <c r="E125" s="41" t="s">
        <v>341</v>
      </c>
      <c r="F125" s="41"/>
      <c r="G125" s="47"/>
      <c r="H125" s="68"/>
      <c r="I125" s="63">
        <f>3894246.37400843/L123</f>
        <v>3404.0615157416346</v>
      </c>
      <c r="J125" s="51" t="s">
        <v>67</v>
      </c>
      <c r="K125" s="47" t="s">
        <v>71</v>
      </c>
      <c r="L125" s="51">
        <v>1144</v>
      </c>
      <c r="M125" s="51" t="s">
        <v>69</v>
      </c>
      <c r="N125" s="47">
        <v>0.6</v>
      </c>
      <c r="O125" s="68">
        <v>2018</v>
      </c>
      <c r="P125" s="51" t="s">
        <v>77</v>
      </c>
      <c r="Q125" s="104"/>
      <c r="R125" s="104"/>
      <c r="S125" s="51"/>
      <c r="T125" s="51"/>
      <c r="U125" s="80" t="s">
        <v>539</v>
      </c>
      <c r="V125" s="84">
        <f t="shared" si="25"/>
        <v>0</v>
      </c>
      <c r="W125" s="84">
        <f t="shared" si="26"/>
        <v>0</v>
      </c>
      <c r="X125" s="80" t="s">
        <v>469</v>
      </c>
      <c r="Y125" s="83">
        <f t="shared" si="27"/>
        <v>3063.6553641674714</v>
      </c>
      <c r="Z125" s="83">
        <f t="shared" si="28"/>
        <v>4425.2799704641247</v>
      </c>
      <c r="AA125" s="80" t="s">
        <v>450</v>
      </c>
      <c r="AB125" s="83">
        <v>0.1</v>
      </c>
      <c r="AC125" s="83">
        <v>1</v>
      </c>
      <c r="AD125" s="83">
        <v>0</v>
      </c>
      <c r="AE125" s="80" t="s">
        <v>451</v>
      </c>
    </row>
    <row r="126" spans="1:31" ht="15" x14ac:dyDescent="0.2">
      <c r="A126" s="39">
        <v>244</v>
      </c>
      <c r="B126" s="40">
        <f t="shared" si="54"/>
        <v>2</v>
      </c>
      <c r="C126" s="79" t="s">
        <v>430</v>
      </c>
      <c r="D126" s="41" t="str">
        <f t="shared" si="55"/>
        <v xml:space="preserve">            Protective Equipment</v>
      </c>
      <c r="E126" s="41" t="s">
        <v>341</v>
      </c>
      <c r="F126" s="41"/>
      <c r="G126" s="47"/>
      <c r="H126" s="68"/>
      <c r="I126" s="63">
        <f>11183911.9256997/L123</f>
        <v>9776.1467881990375</v>
      </c>
      <c r="J126" s="51" t="s">
        <v>67</v>
      </c>
      <c r="K126" s="47" t="s">
        <v>71</v>
      </c>
      <c r="L126" s="51">
        <v>1144</v>
      </c>
      <c r="M126" s="51" t="s">
        <v>69</v>
      </c>
      <c r="N126" s="47">
        <v>0.6</v>
      </c>
      <c r="O126" s="68">
        <v>2018</v>
      </c>
      <c r="P126" s="51" t="s">
        <v>77</v>
      </c>
      <c r="Q126" s="104"/>
      <c r="R126" s="104"/>
      <c r="S126" s="51"/>
      <c r="T126" s="51"/>
      <c r="U126" s="80" t="s">
        <v>539</v>
      </c>
      <c r="V126" s="84">
        <f t="shared" si="25"/>
        <v>0</v>
      </c>
      <c r="W126" s="84">
        <f t="shared" si="26"/>
        <v>0</v>
      </c>
      <c r="X126" s="80" t="s">
        <v>469</v>
      </c>
      <c r="Y126" s="83">
        <f t="shared" si="27"/>
        <v>8798.5321093791335</v>
      </c>
      <c r="Z126" s="83">
        <f t="shared" si="28"/>
        <v>12708.990824658749</v>
      </c>
      <c r="AA126" s="80" t="s">
        <v>450</v>
      </c>
      <c r="AB126" s="83">
        <v>0.1</v>
      </c>
      <c r="AC126" s="83">
        <v>1</v>
      </c>
      <c r="AD126" s="83">
        <v>0</v>
      </c>
      <c r="AE126" s="80" t="s">
        <v>451</v>
      </c>
    </row>
    <row r="127" spans="1:31" ht="15" x14ac:dyDescent="0.2">
      <c r="A127" s="39">
        <v>245</v>
      </c>
      <c r="B127" s="40">
        <f t="shared" si="54"/>
        <v>2</v>
      </c>
      <c r="C127" s="79" t="s">
        <v>431</v>
      </c>
      <c r="D127" s="41" t="str">
        <f t="shared" si="55"/>
        <v xml:space="preserve">            Electrical Structure &amp; Wiring Container</v>
      </c>
      <c r="E127" s="41" t="s">
        <v>341</v>
      </c>
      <c r="F127" s="41"/>
      <c r="G127" s="47"/>
      <c r="H127" s="68"/>
      <c r="I127" s="63">
        <f>60312483.673456/L123</f>
        <v>52720.70251176224</v>
      </c>
      <c r="J127" s="51" t="s">
        <v>67</v>
      </c>
      <c r="K127" s="47" t="s">
        <v>71</v>
      </c>
      <c r="L127" s="51">
        <v>1144</v>
      </c>
      <c r="M127" s="51" t="s">
        <v>69</v>
      </c>
      <c r="N127" s="47">
        <v>0.6</v>
      </c>
      <c r="O127" s="68">
        <v>2018</v>
      </c>
      <c r="P127" s="51" t="s">
        <v>77</v>
      </c>
      <c r="Q127" s="104"/>
      <c r="R127" s="104"/>
      <c r="S127" s="51"/>
      <c r="T127" s="51"/>
      <c r="U127" s="80" t="s">
        <v>539</v>
      </c>
      <c r="V127" s="84">
        <f t="shared" si="25"/>
        <v>0</v>
      </c>
      <c r="W127" s="84">
        <f t="shared" si="26"/>
        <v>0</v>
      </c>
      <c r="X127" s="80" t="s">
        <v>469</v>
      </c>
      <c r="Y127" s="83">
        <f t="shared" si="27"/>
        <v>47448.632260586019</v>
      </c>
      <c r="Z127" s="83">
        <f t="shared" si="28"/>
        <v>68536.913265290917</v>
      </c>
      <c r="AA127" s="80" t="s">
        <v>450</v>
      </c>
      <c r="AB127" s="83">
        <v>0.1</v>
      </c>
      <c r="AC127" s="83">
        <v>1</v>
      </c>
      <c r="AD127" s="83">
        <v>0</v>
      </c>
      <c r="AE127" s="80" t="s">
        <v>451</v>
      </c>
    </row>
    <row r="128" spans="1:31" ht="15" x14ac:dyDescent="0.2">
      <c r="A128" s="39">
        <v>246</v>
      </c>
      <c r="B128" s="40">
        <f t="shared" si="54"/>
        <v>2</v>
      </c>
      <c r="C128" s="79" t="s">
        <v>432</v>
      </c>
      <c r="D128" s="41" t="str">
        <f t="shared" si="55"/>
        <v xml:space="preserve">            Power &amp; Control Wiring</v>
      </c>
      <c r="E128" s="41" t="s">
        <v>341</v>
      </c>
      <c r="F128" s="41"/>
      <c r="G128" s="47"/>
      <c r="H128" s="68"/>
      <c r="I128" s="63">
        <f>45613077.4753702/L123</f>
        <v>39871.571219729194</v>
      </c>
      <c r="J128" s="51" t="s">
        <v>67</v>
      </c>
      <c r="K128" s="47" t="s">
        <v>71</v>
      </c>
      <c r="L128" s="51">
        <v>1144</v>
      </c>
      <c r="M128" s="51" t="s">
        <v>69</v>
      </c>
      <c r="N128" s="47">
        <v>0.6</v>
      </c>
      <c r="O128" s="68">
        <v>2018</v>
      </c>
      <c r="P128" s="51" t="s">
        <v>77</v>
      </c>
      <c r="Q128" s="104"/>
      <c r="R128" s="104"/>
      <c r="S128" s="51"/>
      <c r="T128" s="51"/>
      <c r="U128" s="80" t="s">
        <v>539</v>
      </c>
      <c r="V128" s="84">
        <f t="shared" si="25"/>
        <v>0</v>
      </c>
      <c r="W128" s="84">
        <f t="shared" si="26"/>
        <v>0</v>
      </c>
      <c r="X128" s="80" t="s">
        <v>469</v>
      </c>
      <c r="Y128" s="83">
        <f t="shared" si="27"/>
        <v>35884.414097756278</v>
      </c>
      <c r="Z128" s="83">
        <f t="shared" si="28"/>
        <v>51833.042585647956</v>
      </c>
      <c r="AA128" s="80" t="s">
        <v>450</v>
      </c>
      <c r="AB128" s="83">
        <v>0.1</v>
      </c>
      <c r="AC128" s="83">
        <v>1</v>
      </c>
      <c r="AD128" s="83">
        <v>0</v>
      </c>
      <c r="AE128" s="80" t="s">
        <v>451</v>
      </c>
    </row>
    <row r="129" spans="1:31" ht="15" x14ac:dyDescent="0.2">
      <c r="A129" s="39">
        <v>25</v>
      </c>
      <c r="B129" s="40">
        <f t="shared" si="54"/>
        <v>1</v>
      </c>
      <c r="C129" s="58" t="s">
        <v>24</v>
      </c>
      <c r="D129" s="41" t="str">
        <f t="shared" si="55"/>
        <v xml:space="preserve">      Initial Fuel Inventory</v>
      </c>
      <c r="E129" s="41"/>
      <c r="F129" s="41"/>
      <c r="G129" s="47"/>
      <c r="H129" s="68"/>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ht="16.25" customHeight="1" x14ac:dyDescent="0.2">
      <c r="A130" s="55">
        <v>251</v>
      </c>
      <c r="B130" s="40">
        <f t="shared" si="54"/>
        <v>2</v>
      </c>
      <c r="C130" s="58" t="s">
        <v>25</v>
      </c>
      <c r="D130" s="41" t="str">
        <f t="shared" si="55"/>
        <v xml:space="preserve">            First Core Mining</v>
      </c>
      <c r="E130" s="41" t="s">
        <v>341</v>
      </c>
      <c r="F130" s="41"/>
      <c r="G130" s="47"/>
      <c r="H130" s="68"/>
      <c r="I130" s="68">
        <v>184</v>
      </c>
      <c r="J130" s="51" t="s">
        <v>174</v>
      </c>
      <c r="K130" s="47" t="s">
        <v>367</v>
      </c>
      <c r="L130" s="51"/>
      <c r="M130" s="51"/>
      <c r="N130" s="51"/>
      <c r="O130" s="68">
        <v>2022</v>
      </c>
      <c r="P130" s="51" t="s">
        <v>73</v>
      </c>
      <c r="Q130" s="94" t="s">
        <v>369</v>
      </c>
      <c r="R130" s="94" t="s">
        <v>370</v>
      </c>
      <c r="S130" s="51"/>
      <c r="T130" s="51"/>
      <c r="U130" s="80" t="s">
        <v>467</v>
      </c>
      <c r="V130" s="84">
        <f t="shared" si="25"/>
        <v>0</v>
      </c>
      <c r="W130" s="84">
        <f t="shared" si="26"/>
        <v>0</v>
      </c>
      <c r="X130" s="80" t="s">
        <v>450</v>
      </c>
      <c r="Y130" s="83">
        <f t="shared" si="27"/>
        <v>165.6</v>
      </c>
      <c r="Z130" s="83">
        <f t="shared" si="28"/>
        <v>239.20000000000002</v>
      </c>
      <c r="AA130" s="80" t="s">
        <v>450</v>
      </c>
      <c r="AB130" s="83" t="s">
        <v>474</v>
      </c>
      <c r="AC130" s="83" t="s">
        <v>475</v>
      </c>
      <c r="AD130" s="83" t="s">
        <v>476</v>
      </c>
      <c r="AE130" s="80" t="s">
        <v>451</v>
      </c>
    </row>
    <row r="131" spans="1:31" ht="15" x14ac:dyDescent="0.2">
      <c r="A131" s="55">
        <v>252</v>
      </c>
      <c r="B131" s="40">
        <f t="shared" si="54"/>
        <v>2</v>
      </c>
      <c r="C131" s="58" t="s">
        <v>26</v>
      </c>
      <c r="D131" s="41" t="str">
        <f t="shared" si="55"/>
        <v xml:space="preserve">            First Core Conversion </v>
      </c>
      <c r="E131" s="41" t="s">
        <v>341</v>
      </c>
      <c r="F131" s="41"/>
      <c r="G131" s="47"/>
      <c r="H131" s="68"/>
      <c r="I131" s="68">
        <v>15.1</v>
      </c>
      <c r="J131" s="51" t="s">
        <v>174</v>
      </c>
      <c r="K131" s="47" t="s">
        <v>367</v>
      </c>
      <c r="L131" s="51"/>
      <c r="M131" s="51"/>
      <c r="N131" s="51"/>
      <c r="O131" s="68">
        <v>2022</v>
      </c>
      <c r="P131" s="51" t="s">
        <v>73</v>
      </c>
      <c r="Q131" s="94"/>
      <c r="R131" s="94"/>
      <c r="S131" s="51"/>
      <c r="T131" s="51"/>
      <c r="U131" s="80" t="s">
        <v>467</v>
      </c>
      <c r="V131" s="84">
        <f t="shared" si="25"/>
        <v>0</v>
      </c>
      <c r="W131" s="84">
        <f t="shared" si="26"/>
        <v>0</v>
      </c>
      <c r="X131" s="80" t="s">
        <v>450</v>
      </c>
      <c r="Y131" s="83">
        <f t="shared" si="27"/>
        <v>13.59</v>
      </c>
      <c r="Z131" s="83">
        <f t="shared" si="28"/>
        <v>19.63</v>
      </c>
      <c r="AA131" s="80" t="s">
        <v>450</v>
      </c>
      <c r="AB131" s="83" t="s">
        <v>474</v>
      </c>
      <c r="AC131" s="83" t="s">
        <v>475</v>
      </c>
      <c r="AD131" s="83" t="s">
        <v>476</v>
      </c>
      <c r="AE131" s="80" t="s">
        <v>451</v>
      </c>
    </row>
    <row r="132" spans="1:31" ht="15" x14ac:dyDescent="0.2">
      <c r="A132" s="55">
        <v>253</v>
      </c>
      <c r="B132" s="40">
        <f t="shared" si="54"/>
        <v>2</v>
      </c>
      <c r="C132" s="58" t="s">
        <v>27</v>
      </c>
      <c r="D132" s="41" t="str">
        <f t="shared" si="55"/>
        <v xml:space="preserve">            First Core Enrichment </v>
      </c>
      <c r="E132" s="41" t="s">
        <v>342</v>
      </c>
      <c r="F132" s="41"/>
      <c r="G132" s="47"/>
      <c r="H132" s="68"/>
      <c r="I132" s="68">
        <v>184.2</v>
      </c>
      <c r="J132" s="51" t="s">
        <v>366</v>
      </c>
      <c r="K132" s="61" t="s">
        <v>368</v>
      </c>
      <c r="L132" s="51"/>
      <c r="M132" s="51"/>
      <c r="N132" s="51">
        <v>1</v>
      </c>
      <c r="O132" s="68">
        <v>2022</v>
      </c>
      <c r="P132" s="51" t="s">
        <v>73</v>
      </c>
      <c r="Q132" s="94"/>
      <c r="R132" s="94"/>
      <c r="S132" s="51"/>
      <c r="T132" s="51"/>
      <c r="U132" s="80" t="s">
        <v>467</v>
      </c>
      <c r="V132" s="84">
        <f t="shared" si="25"/>
        <v>0</v>
      </c>
      <c r="W132" s="84">
        <f t="shared" si="26"/>
        <v>0</v>
      </c>
      <c r="X132" s="80" t="s">
        <v>450</v>
      </c>
      <c r="Y132" s="83">
        <f t="shared" si="27"/>
        <v>165.78</v>
      </c>
      <c r="Z132" s="83">
        <f t="shared" si="28"/>
        <v>239.45999999999998</v>
      </c>
      <c r="AA132" s="80" t="s">
        <v>450</v>
      </c>
      <c r="AB132" s="83" t="s">
        <v>474</v>
      </c>
      <c r="AC132" s="83" t="s">
        <v>475</v>
      </c>
      <c r="AD132" s="83" t="s">
        <v>476</v>
      </c>
      <c r="AE132" s="80" t="s">
        <v>451</v>
      </c>
    </row>
    <row r="133" spans="1:31" ht="15" x14ac:dyDescent="0.2">
      <c r="A133" s="55">
        <v>254</v>
      </c>
      <c r="B133" s="40">
        <f t="shared" si="54"/>
        <v>2</v>
      </c>
      <c r="C133" s="58" t="s">
        <v>28</v>
      </c>
      <c r="D133" s="41" t="str">
        <f t="shared" si="55"/>
        <v xml:space="preserve">            First Core Fuel Assembly Fabrication </v>
      </c>
      <c r="E133" s="41" t="s">
        <v>341</v>
      </c>
      <c r="F133" s="41" t="s">
        <v>372</v>
      </c>
      <c r="G133" s="47" t="s">
        <v>373</v>
      </c>
      <c r="H133" s="68"/>
      <c r="I133" s="68">
        <v>1520</v>
      </c>
      <c r="J133" s="51" t="s">
        <v>174</v>
      </c>
      <c r="K133" s="61" t="s">
        <v>371</v>
      </c>
      <c r="L133" s="51"/>
      <c r="M133" s="51"/>
      <c r="N133" s="51"/>
      <c r="O133" s="68">
        <v>2023</v>
      </c>
      <c r="P133" s="51" t="s">
        <v>73</v>
      </c>
      <c r="Q133" s="94"/>
      <c r="R133" s="94"/>
      <c r="S133" s="51"/>
      <c r="T133" s="51"/>
      <c r="U133" s="80" t="s">
        <v>466</v>
      </c>
      <c r="V133" s="84">
        <f t="shared" si="25"/>
        <v>0</v>
      </c>
      <c r="W133" s="84">
        <f t="shared" si="26"/>
        <v>0</v>
      </c>
      <c r="X133" s="80" t="s">
        <v>450</v>
      </c>
      <c r="Y133" s="83">
        <f t="shared" si="27"/>
        <v>1368</v>
      </c>
      <c r="Z133" s="83">
        <f t="shared" si="28"/>
        <v>1976</v>
      </c>
      <c r="AA133" s="80" t="s">
        <v>450</v>
      </c>
      <c r="AB133" s="83" t="s">
        <v>474</v>
      </c>
      <c r="AC133" s="83" t="s">
        <v>475</v>
      </c>
      <c r="AD133" s="83" t="s">
        <v>476</v>
      </c>
      <c r="AE133" s="80" t="s">
        <v>451</v>
      </c>
    </row>
    <row r="134" spans="1:31" ht="15" x14ac:dyDescent="0.2">
      <c r="A134" s="55">
        <v>254</v>
      </c>
      <c r="B134" s="40">
        <f t="shared" ref="B134" si="56">IF(ISNUMBER(A134),
    IF(AND(A134=INT(A134), MOD(A134, 10) = 0), 0,
        IF(AND(A134=INT(A134), LEN(A134)=2), 1,
            IF(AND(A134=INT(A134), LEN(A134)=3), 2,
                LEN(A134) - FIND(".", A134) + 2)
        )
    ),
"")</f>
        <v>2</v>
      </c>
      <c r="C134" s="58" t="s">
        <v>28</v>
      </c>
      <c r="D134" s="41" t="str">
        <f t="shared" ref="D134" si="57">REPT("   ", B134*2) &amp; C134</f>
        <v xml:space="preserve">            First Core Fuel Assembly Fabrication </v>
      </c>
      <c r="E134" s="41" t="s">
        <v>341</v>
      </c>
      <c r="F134" s="41" t="s">
        <v>372</v>
      </c>
      <c r="G134" s="47" t="s">
        <v>355</v>
      </c>
      <c r="H134" s="68"/>
      <c r="I134" s="68">
        <v>10000</v>
      </c>
      <c r="J134" s="51" t="s">
        <v>174</v>
      </c>
      <c r="K134" s="61" t="s">
        <v>371</v>
      </c>
      <c r="L134" s="51"/>
      <c r="M134" s="51"/>
      <c r="N134" s="51"/>
      <c r="O134" s="68">
        <v>2009</v>
      </c>
      <c r="P134" s="51" t="s">
        <v>73</v>
      </c>
      <c r="Q134" s="94"/>
      <c r="R134" s="94"/>
      <c r="S134" s="51"/>
      <c r="T134" s="51"/>
      <c r="U134" s="80" t="s">
        <v>466</v>
      </c>
      <c r="V134" s="84">
        <f t="shared" si="25"/>
        <v>0</v>
      </c>
      <c r="W134" s="84">
        <f t="shared" si="26"/>
        <v>0</v>
      </c>
      <c r="X134" s="80" t="s">
        <v>450</v>
      </c>
      <c r="Y134" s="83">
        <f t="shared" si="27"/>
        <v>9000</v>
      </c>
      <c r="Z134" s="83">
        <f t="shared" si="28"/>
        <v>13000</v>
      </c>
      <c r="AA134" s="80" t="s">
        <v>450</v>
      </c>
      <c r="AB134" s="83" t="s">
        <v>474</v>
      </c>
      <c r="AC134" s="83" t="s">
        <v>475</v>
      </c>
      <c r="AD134" s="83" t="s">
        <v>476</v>
      </c>
      <c r="AE134" s="80" t="s">
        <v>451</v>
      </c>
    </row>
    <row r="135" spans="1:31" ht="30" customHeight="1" x14ac:dyDescent="0.2">
      <c r="A135" s="39">
        <v>26</v>
      </c>
      <c r="B135" s="40">
        <f t="shared" si="54"/>
        <v>1</v>
      </c>
      <c r="C135" s="58" t="s">
        <v>140</v>
      </c>
      <c r="D135" s="41" t="str">
        <f t="shared" si="55"/>
        <v xml:space="preserve">      Miscellaneous Equipment (Cranes)</v>
      </c>
      <c r="E135" s="41" t="s">
        <v>341</v>
      </c>
      <c r="F135" s="41"/>
      <c r="G135" s="41"/>
      <c r="H135" s="63">
        <v>1000000</v>
      </c>
      <c r="I135" s="68"/>
      <c r="J135" s="51"/>
      <c r="K135" s="61"/>
      <c r="L135" s="51"/>
      <c r="M135" s="51"/>
      <c r="N135" s="51"/>
      <c r="O135" s="68">
        <v>2021</v>
      </c>
      <c r="P135" s="51" t="s">
        <v>74</v>
      </c>
      <c r="Q135" s="61" t="s">
        <v>374</v>
      </c>
      <c r="R135" s="61" t="s">
        <v>375</v>
      </c>
      <c r="S135" s="51"/>
      <c r="T135" s="51"/>
      <c r="U135" s="80" t="s">
        <v>466</v>
      </c>
      <c r="V135" s="84">
        <f t="shared" si="25"/>
        <v>900000</v>
      </c>
      <c r="W135" s="84">
        <f t="shared" si="26"/>
        <v>1500000</v>
      </c>
      <c r="X135" s="80" t="s">
        <v>450</v>
      </c>
      <c r="Y135" s="83">
        <f t="shared" si="27"/>
        <v>0</v>
      </c>
      <c r="Z135" s="83">
        <f t="shared" si="28"/>
        <v>0</v>
      </c>
      <c r="AA135" s="80" t="s">
        <v>450</v>
      </c>
      <c r="AB135" s="83" t="s">
        <v>474</v>
      </c>
      <c r="AC135" s="83" t="s">
        <v>475</v>
      </c>
      <c r="AD135" s="83" t="s">
        <v>476</v>
      </c>
      <c r="AE135" s="80" t="s">
        <v>451</v>
      </c>
    </row>
    <row r="136" spans="1:31" ht="15" x14ac:dyDescent="0.2">
      <c r="A136" s="52">
        <v>30</v>
      </c>
      <c r="B136" s="40">
        <f>IF(ISNUMBER(A136),
    IF(AND(A136=INT(A136), MOD(A136, 10) = 0), 0,
        IF(AND(A136=INT(A136), LEN(A136)=2), 1,
            IF(AND(A136=INT(A136), LEN(A136)=3), 2,
                LEN(A136) - FIND(".", A136) + 2)
        )
    ),
"")</f>
        <v>0</v>
      </c>
      <c r="C136" s="58" t="s">
        <v>29</v>
      </c>
      <c r="D136" s="41" t="str">
        <f t="shared" si="55"/>
        <v>Capitalized Indirect Services Cost</v>
      </c>
      <c r="E136" s="41"/>
      <c r="F136" s="41"/>
      <c r="G136" s="41"/>
      <c r="H136" s="71"/>
      <c r="I136" s="53"/>
      <c r="J136" s="52"/>
      <c r="K136" s="52"/>
      <c r="L136" s="52"/>
      <c r="M136" s="52"/>
      <c r="N136" s="52"/>
      <c r="O136" s="71"/>
      <c r="P136" s="52"/>
      <c r="Q136" s="52"/>
      <c r="R136" s="52"/>
      <c r="S136" s="52"/>
      <c r="T136" s="52"/>
      <c r="U136" s="80"/>
      <c r="V136" s="84"/>
      <c r="W136" s="84"/>
      <c r="X136" s="80"/>
      <c r="Y136" s="83"/>
      <c r="Z136" s="83"/>
      <c r="AA136" s="80"/>
      <c r="AB136" s="83"/>
      <c r="AC136" s="83"/>
      <c r="AD136" s="83"/>
      <c r="AE136" s="80"/>
    </row>
    <row r="137" spans="1:31" ht="29" customHeight="1" x14ac:dyDescent="0.2">
      <c r="A137" s="52">
        <v>31</v>
      </c>
      <c r="B137" s="40">
        <v>1</v>
      </c>
      <c r="C137" s="58" t="s">
        <v>376</v>
      </c>
      <c r="D137" s="41" t="str">
        <f t="shared" si="55"/>
        <v xml:space="preserve">      Factory &amp; field indirect costs</v>
      </c>
      <c r="E137" s="41"/>
      <c r="F137" s="41"/>
      <c r="G137" s="41"/>
      <c r="H137" s="71"/>
      <c r="I137" s="72"/>
      <c r="J137" s="51"/>
      <c r="K137" s="61"/>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52">
        <v>32</v>
      </c>
      <c r="B138" s="40">
        <v>1</v>
      </c>
      <c r="C138" s="58" t="s">
        <v>377</v>
      </c>
      <c r="D138" s="41" t="str">
        <f t="shared" si="55"/>
        <v xml:space="preserve">      Factory and construction supervision</v>
      </c>
      <c r="E138" s="41"/>
      <c r="F138" s="41"/>
      <c r="G138" s="41"/>
      <c r="H138" s="71"/>
      <c r="I138" s="53"/>
      <c r="J138" s="52"/>
      <c r="K138" s="52"/>
      <c r="L138" s="52"/>
      <c r="M138" s="52"/>
      <c r="N138" s="52"/>
      <c r="O138" s="68"/>
      <c r="P138" s="51"/>
      <c r="Q138" s="52"/>
      <c r="R138" s="52"/>
      <c r="S138" s="52"/>
      <c r="T138" s="52"/>
      <c r="U138" s="80"/>
      <c r="V138" s="84"/>
      <c r="W138" s="84"/>
      <c r="X138" s="80"/>
      <c r="Y138" s="83"/>
      <c r="Z138" s="83"/>
      <c r="AA138" s="80"/>
      <c r="AB138" s="83"/>
      <c r="AC138" s="83"/>
      <c r="AD138" s="83"/>
      <c r="AE138" s="80"/>
    </row>
    <row r="139" spans="1:31" ht="15" x14ac:dyDescent="0.2">
      <c r="A139" s="39">
        <v>33</v>
      </c>
      <c r="B139" s="40">
        <f t="shared" si="54"/>
        <v>1</v>
      </c>
      <c r="C139" s="58" t="s">
        <v>31</v>
      </c>
      <c r="D139" s="41" t="str">
        <f t="shared" si="55"/>
        <v xml:space="preserve">      Startup Costs</v>
      </c>
      <c r="E139" s="41" t="s">
        <v>341</v>
      </c>
      <c r="F139" s="41"/>
      <c r="G139" s="41"/>
      <c r="H139" s="45">
        <f>MARVEL_Cost!C58</f>
        <v>2407166.4000000004</v>
      </c>
      <c r="I139" s="46"/>
      <c r="J139" s="48"/>
      <c r="K139" s="54"/>
      <c r="L139" s="48"/>
      <c r="M139" s="48"/>
      <c r="N139" s="48"/>
      <c r="O139" s="68">
        <v>2024</v>
      </c>
      <c r="P139" s="73" t="s">
        <v>85</v>
      </c>
      <c r="Q139" s="95" t="s">
        <v>364</v>
      </c>
      <c r="R139" s="48"/>
      <c r="S139" s="48"/>
      <c r="T139" s="48"/>
      <c r="U139" s="80" t="s">
        <v>470</v>
      </c>
      <c r="V139" s="84">
        <f t="shared" si="25"/>
        <v>2166449.7600000002</v>
      </c>
      <c r="W139" s="84">
        <f t="shared" si="26"/>
        <v>3610749.6000000006</v>
      </c>
      <c r="X139" s="80" t="s">
        <v>450</v>
      </c>
      <c r="Y139" s="83">
        <f t="shared" si="27"/>
        <v>0</v>
      </c>
      <c r="Z139" s="83">
        <f t="shared" si="28"/>
        <v>0</v>
      </c>
      <c r="AA139" s="80" t="s">
        <v>450</v>
      </c>
      <c r="AB139" s="83" t="s">
        <v>474</v>
      </c>
      <c r="AC139" s="83" t="s">
        <v>475</v>
      </c>
      <c r="AD139" s="83" t="s">
        <v>476</v>
      </c>
      <c r="AE139" s="80" t="s">
        <v>451</v>
      </c>
    </row>
    <row r="140" spans="1:31" ht="30" customHeight="1" x14ac:dyDescent="0.2">
      <c r="A140" s="39">
        <v>34</v>
      </c>
      <c r="B140" s="40">
        <f t="shared" si="54"/>
        <v>1</v>
      </c>
      <c r="C140" s="58" t="s">
        <v>32</v>
      </c>
      <c r="D140" s="41" t="str">
        <f t="shared" si="55"/>
        <v xml:space="preserve">      Shipping and Transportation Costs</v>
      </c>
      <c r="E140" s="41" t="s">
        <v>341</v>
      </c>
      <c r="F140" s="41"/>
      <c r="G140" s="41"/>
      <c r="H140" s="45">
        <f>0.5*MARVEL_Cost!C62</f>
        <v>832641.39999999991</v>
      </c>
      <c r="I140" s="46"/>
      <c r="J140" s="48"/>
      <c r="K140" s="54"/>
      <c r="L140" s="48"/>
      <c r="M140" s="48"/>
      <c r="N140" s="48"/>
      <c r="O140" s="68">
        <v>2024</v>
      </c>
      <c r="P140" s="73" t="s">
        <v>85</v>
      </c>
      <c r="Q140" s="95"/>
      <c r="R140" s="48"/>
      <c r="S140" s="48"/>
      <c r="T140" s="48"/>
      <c r="U140" s="80" t="s">
        <v>470</v>
      </c>
      <c r="V140" s="84">
        <f t="shared" si="25"/>
        <v>749377.25999999989</v>
      </c>
      <c r="W140" s="84">
        <f t="shared" si="26"/>
        <v>1248962.0999999999</v>
      </c>
      <c r="X140" s="80" t="s">
        <v>450</v>
      </c>
      <c r="Y140" s="83">
        <f t="shared" si="27"/>
        <v>0</v>
      </c>
      <c r="Z140" s="83">
        <f t="shared" si="28"/>
        <v>0</v>
      </c>
      <c r="AA140" s="80" t="s">
        <v>450</v>
      </c>
      <c r="AB140" s="83" t="s">
        <v>474</v>
      </c>
      <c r="AC140" s="83" t="s">
        <v>475</v>
      </c>
      <c r="AD140" s="83" t="s">
        <v>476</v>
      </c>
      <c r="AE140" s="80" t="s">
        <v>451</v>
      </c>
    </row>
    <row r="141" spans="1:31" ht="15" x14ac:dyDescent="0.2">
      <c r="A141" s="39">
        <v>35</v>
      </c>
      <c r="B141" s="40">
        <f t="shared" si="54"/>
        <v>1</v>
      </c>
      <c r="C141" s="58" t="s">
        <v>33</v>
      </c>
      <c r="D141" s="41" t="str">
        <f t="shared" si="55"/>
        <v xml:space="preserve">      Engineering Services</v>
      </c>
      <c r="E141" s="41" t="s">
        <v>341</v>
      </c>
      <c r="F141" s="41"/>
      <c r="G141" s="41"/>
      <c r="H141" s="45">
        <f>MARVEL_Cost!C65</f>
        <v>620313.58773783164</v>
      </c>
      <c r="I141" s="63"/>
      <c r="J141" s="51"/>
      <c r="K141" s="61"/>
      <c r="L141" s="51"/>
      <c r="M141" s="51"/>
      <c r="N141" s="51"/>
      <c r="O141" s="68">
        <v>2024</v>
      </c>
      <c r="P141" s="51" t="s">
        <v>72</v>
      </c>
      <c r="Q141" s="95"/>
      <c r="R141" s="51"/>
      <c r="S141" s="51"/>
      <c r="T141" s="51"/>
      <c r="U141" s="80" t="s">
        <v>470</v>
      </c>
      <c r="V141" s="84">
        <f t="shared" si="25"/>
        <v>558282.22896404844</v>
      </c>
      <c r="W141" s="84">
        <f t="shared" si="26"/>
        <v>930470.3816067474</v>
      </c>
      <c r="X141" s="80" t="s">
        <v>450</v>
      </c>
      <c r="Y141" s="83">
        <f t="shared" si="27"/>
        <v>0</v>
      </c>
      <c r="Z141" s="83">
        <f t="shared" si="28"/>
        <v>0</v>
      </c>
      <c r="AA141" s="80" t="s">
        <v>450</v>
      </c>
      <c r="AB141" s="83" t="s">
        <v>474</v>
      </c>
      <c r="AC141" s="83" t="s">
        <v>475</v>
      </c>
      <c r="AD141" s="83" t="s">
        <v>476</v>
      </c>
      <c r="AE141" s="80" t="s">
        <v>451</v>
      </c>
    </row>
    <row r="142" spans="1:31" ht="15" x14ac:dyDescent="0.2">
      <c r="A142" s="39">
        <v>36</v>
      </c>
      <c r="B142" s="40">
        <f t="shared" si="54"/>
        <v>1</v>
      </c>
      <c r="C142" s="58" t="s">
        <v>230</v>
      </c>
      <c r="D142" s="41" t="str">
        <f t="shared" si="55"/>
        <v xml:space="preserve">      PM/CM Services</v>
      </c>
      <c r="E142" s="41" t="s">
        <v>341</v>
      </c>
      <c r="F142" s="41"/>
      <c r="G142" s="41"/>
      <c r="H142" s="45">
        <f>MARVEL_Cost!C68</f>
        <v>416958.9359999997</v>
      </c>
      <c r="I142" s="63"/>
      <c r="J142" s="51"/>
      <c r="K142" s="61"/>
      <c r="L142" s="51"/>
      <c r="M142" s="51"/>
      <c r="N142" s="51"/>
      <c r="O142" s="68">
        <v>2024</v>
      </c>
      <c r="P142" s="51" t="s">
        <v>72</v>
      </c>
      <c r="Q142" s="95"/>
      <c r="R142" s="51"/>
      <c r="S142" s="51"/>
      <c r="T142" s="51"/>
      <c r="U142" s="80" t="s">
        <v>470</v>
      </c>
      <c r="V142" s="84">
        <f t="shared" si="25"/>
        <v>375263.04239999974</v>
      </c>
      <c r="W142" s="84">
        <f t="shared" si="26"/>
        <v>625438.40399999951</v>
      </c>
      <c r="X142" s="80" t="s">
        <v>450</v>
      </c>
      <c r="Y142" s="83">
        <f t="shared" si="27"/>
        <v>0</v>
      </c>
      <c r="Z142" s="83">
        <f t="shared" si="28"/>
        <v>0</v>
      </c>
      <c r="AA142" s="80" t="s">
        <v>450</v>
      </c>
      <c r="AB142" s="83" t="s">
        <v>474</v>
      </c>
      <c r="AC142" s="83" t="s">
        <v>475</v>
      </c>
      <c r="AD142" s="83" t="s">
        <v>476</v>
      </c>
      <c r="AE142" s="80" t="s">
        <v>451</v>
      </c>
    </row>
    <row r="143" spans="1:31" ht="15" x14ac:dyDescent="0.2">
      <c r="A143" s="39">
        <v>40</v>
      </c>
      <c r="B143" s="40">
        <f t="shared" si="54"/>
        <v>0</v>
      </c>
      <c r="C143" s="58" t="s">
        <v>378</v>
      </c>
      <c r="D143" s="41" t="str">
        <f t="shared" si="55"/>
        <v>Capitalized training costs</v>
      </c>
      <c r="E143" s="41"/>
      <c r="F143" s="41"/>
      <c r="G143" s="41"/>
      <c r="H143" s="45"/>
      <c r="I143" s="63"/>
      <c r="J143" s="51"/>
      <c r="K143" s="61"/>
      <c r="L143" s="51"/>
      <c r="M143" s="51"/>
      <c r="N143" s="51"/>
      <c r="O143" s="68"/>
      <c r="P143" s="51"/>
      <c r="Q143" s="52"/>
      <c r="R143" s="51"/>
      <c r="S143" s="51"/>
      <c r="T143" s="51"/>
      <c r="U143" s="80"/>
      <c r="V143" s="84"/>
      <c r="W143" s="84"/>
      <c r="X143" s="80"/>
      <c r="Y143" s="83"/>
      <c r="Z143" s="83"/>
      <c r="AA143" s="80"/>
      <c r="AB143" s="83"/>
      <c r="AC143" s="83"/>
      <c r="AD143" s="83"/>
      <c r="AE143" s="80"/>
    </row>
    <row r="144" spans="1:31" ht="15" x14ac:dyDescent="0.2">
      <c r="A144" s="39">
        <v>41</v>
      </c>
      <c r="B144" s="40">
        <f t="shared" si="54"/>
        <v>1</v>
      </c>
      <c r="C144" s="58" t="s">
        <v>379</v>
      </c>
      <c r="D144" s="41" t="str">
        <f t="shared" si="55"/>
        <v xml:space="preserve">      staff recruitment and training</v>
      </c>
      <c r="E144" s="41" t="s">
        <v>341</v>
      </c>
      <c r="F144" s="41"/>
      <c r="G144" s="41"/>
      <c r="H144" s="45">
        <v>300000</v>
      </c>
      <c r="I144" s="63"/>
      <c r="J144" s="51"/>
      <c r="K144" s="61"/>
      <c r="L144" s="51"/>
      <c r="M144" s="51"/>
      <c r="N144" s="51"/>
      <c r="O144" s="68">
        <v>2024</v>
      </c>
      <c r="P144" s="51" t="s">
        <v>72</v>
      </c>
      <c r="Q144" s="44"/>
      <c r="R144" s="51" t="s">
        <v>453</v>
      </c>
      <c r="S144" s="51" t="s">
        <v>454</v>
      </c>
      <c r="T144" s="51"/>
      <c r="U144" s="80" t="s">
        <v>467</v>
      </c>
      <c r="V144" s="84">
        <f t="shared" si="25"/>
        <v>270000</v>
      </c>
      <c r="W144" s="84">
        <f t="shared" si="26"/>
        <v>450000</v>
      </c>
      <c r="X144" s="80" t="s">
        <v>450</v>
      </c>
      <c r="Y144" s="83">
        <f t="shared" si="27"/>
        <v>0</v>
      </c>
      <c r="Z144" s="83">
        <f t="shared" si="28"/>
        <v>0</v>
      </c>
      <c r="AA144" s="80" t="s">
        <v>450</v>
      </c>
      <c r="AB144" s="83" t="s">
        <v>474</v>
      </c>
      <c r="AC144" s="83" t="s">
        <v>475</v>
      </c>
      <c r="AD144" s="83" t="s">
        <v>476</v>
      </c>
      <c r="AE144" s="80" t="s">
        <v>451</v>
      </c>
    </row>
    <row r="145" spans="1:31" ht="15" x14ac:dyDescent="0.2">
      <c r="A145" s="52">
        <v>60</v>
      </c>
      <c r="B145" s="40">
        <f t="shared" si="54"/>
        <v>0</v>
      </c>
      <c r="C145" s="58" t="s">
        <v>34</v>
      </c>
      <c r="D145" s="41" t="str">
        <f t="shared" si="55"/>
        <v xml:space="preserve">Capitalized Financial Costs </v>
      </c>
      <c r="E145" s="41"/>
      <c r="F145" s="41"/>
      <c r="G145" s="41"/>
      <c r="H145" s="71"/>
      <c r="I145" s="53"/>
      <c r="J145" s="52"/>
      <c r="K145" s="52"/>
      <c r="L145" s="52"/>
      <c r="M145" s="52"/>
      <c r="N145" s="52"/>
      <c r="O145" s="71"/>
      <c r="P145" s="52"/>
      <c r="Q145" s="52"/>
      <c r="R145" s="52"/>
      <c r="S145" s="52"/>
      <c r="T145" s="52"/>
      <c r="U145" s="80"/>
      <c r="V145" s="84"/>
      <c r="W145" s="84"/>
      <c r="X145" s="80"/>
      <c r="Y145" s="83"/>
      <c r="Z145" s="83"/>
      <c r="AA145" s="80"/>
      <c r="AB145" s="83"/>
      <c r="AC145" s="83"/>
      <c r="AD145" s="83"/>
      <c r="AE145" s="80"/>
    </row>
    <row r="146" spans="1:31" ht="15" x14ac:dyDescent="0.2">
      <c r="A146" s="39">
        <v>62</v>
      </c>
      <c r="B146" s="40">
        <f t="shared" si="54"/>
        <v>1</v>
      </c>
      <c r="C146" s="58" t="s">
        <v>35</v>
      </c>
      <c r="D146" s="41" t="str">
        <f t="shared" si="55"/>
        <v xml:space="preserve">      Interest</v>
      </c>
      <c r="E146" s="41"/>
      <c r="F146" s="41"/>
      <c r="G146" s="41"/>
      <c r="H146" s="45"/>
      <c r="I146" s="63"/>
      <c r="J146" s="51"/>
      <c r="K146" s="61"/>
      <c r="L146" s="51"/>
      <c r="M146" s="51"/>
      <c r="N146" s="51"/>
      <c r="O146" s="68"/>
      <c r="P146" s="51"/>
      <c r="Q146" s="61"/>
      <c r="R146" s="51"/>
      <c r="S146" s="51"/>
      <c r="T146" s="51"/>
      <c r="U146" s="80"/>
      <c r="V146" s="84"/>
      <c r="W146" s="84"/>
      <c r="X146" s="80"/>
      <c r="Y146" s="83"/>
      <c r="Z146" s="83"/>
      <c r="AA146" s="80"/>
      <c r="AB146" s="83"/>
      <c r="AC146" s="83"/>
      <c r="AD146" s="83"/>
      <c r="AE146" s="80"/>
    </row>
    <row r="147" spans="1:31" ht="15" x14ac:dyDescent="0.2">
      <c r="A147" s="39">
        <v>70</v>
      </c>
      <c r="B147" s="40">
        <f t="shared" si="54"/>
        <v>0</v>
      </c>
      <c r="C147" s="74" t="s">
        <v>36</v>
      </c>
      <c r="D147" s="41" t="str">
        <f t="shared" si="55"/>
        <v xml:space="preserve">Annualized O&amp;M Cost </v>
      </c>
      <c r="E147" s="41"/>
      <c r="F147" s="41"/>
      <c r="G147" s="41"/>
      <c r="H147" s="42"/>
      <c r="I147" s="42"/>
      <c r="J147" s="40"/>
      <c r="K147" s="43"/>
      <c r="L147" s="40"/>
      <c r="M147" s="40"/>
      <c r="N147" s="40"/>
      <c r="O147" s="42"/>
      <c r="P147" s="40"/>
      <c r="Q147" s="43"/>
      <c r="R147" s="40"/>
      <c r="S147" s="40"/>
      <c r="T147" s="40"/>
      <c r="U147" s="80"/>
      <c r="V147" s="84"/>
      <c r="W147" s="84"/>
      <c r="X147" s="80"/>
      <c r="Y147" s="83"/>
      <c r="Z147" s="83"/>
      <c r="AA147" s="80"/>
      <c r="AB147" s="83"/>
      <c r="AC147" s="83"/>
      <c r="AD147" s="83"/>
      <c r="AE147" s="80"/>
    </row>
    <row r="148" spans="1:31" ht="15" x14ac:dyDescent="0.2">
      <c r="A148" s="39">
        <v>71</v>
      </c>
      <c r="B148" s="40">
        <f t="shared" si="54"/>
        <v>1</v>
      </c>
      <c r="C148" s="58" t="s">
        <v>37</v>
      </c>
      <c r="D148" s="41" t="str">
        <f t="shared" si="55"/>
        <v xml:space="preserve">      O&amp;M Staff</v>
      </c>
      <c r="E148" s="41"/>
      <c r="F148" s="41"/>
      <c r="G148" s="41"/>
      <c r="H148" s="45"/>
      <c r="I148" s="63"/>
      <c r="J148" s="51"/>
      <c r="K148" s="61"/>
      <c r="L148" s="51"/>
      <c r="M148" s="51"/>
      <c r="N148" s="51"/>
      <c r="O148" s="68"/>
      <c r="P148" s="51"/>
      <c r="Q148" s="61"/>
      <c r="R148" s="51"/>
      <c r="S148" s="51"/>
      <c r="T148" s="51"/>
      <c r="U148" s="80"/>
      <c r="V148" s="84"/>
      <c r="W148" s="84"/>
      <c r="X148" s="80"/>
      <c r="Y148" s="83"/>
      <c r="Z148" s="83"/>
      <c r="AA148" s="80"/>
      <c r="AB148" s="83"/>
      <c r="AC148" s="83"/>
      <c r="AD148" s="83"/>
      <c r="AE148" s="80"/>
    </row>
    <row r="149" spans="1:31" ht="71" customHeight="1" x14ac:dyDescent="0.2">
      <c r="A149" s="55">
        <v>711</v>
      </c>
      <c r="B149" s="40">
        <f t="shared" si="54"/>
        <v>2</v>
      </c>
      <c r="C149" s="58" t="s">
        <v>38</v>
      </c>
      <c r="D149" s="41" t="str">
        <f t="shared" si="55"/>
        <v xml:space="preserve">            Operators </v>
      </c>
      <c r="E149" s="41" t="s">
        <v>342</v>
      </c>
      <c r="F149" s="41"/>
      <c r="G149" s="41"/>
      <c r="H149" s="45"/>
      <c r="I149" s="63">
        <v>178500</v>
      </c>
      <c r="J149" s="51" t="s">
        <v>383</v>
      </c>
      <c r="K149" s="61" t="s">
        <v>384</v>
      </c>
      <c r="L149" s="51"/>
      <c r="M149" s="51"/>
      <c r="N149" s="51">
        <v>1</v>
      </c>
      <c r="O149" s="68">
        <v>2024</v>
      </c>
      <c r="P149" s="51" t="s">
        <v>72</v>
      </c>
      <c r="Q149" s="61"/>
      <c r="R149" s="61" t="s">
        <v>385</v>
      </c>
      <c r="S149" s="51"/>
      <c r="T149" s="51"/>
      <c r="U149" s="80" t="s">
        <v>467</v>
      </c>
      <c r="V149" s="84">
        <f t="shared" ref="V149:V168" si="58">0.9*$H149</f>
        <v>0</v>
      </c>
      <c r="W149" s="84">
        <f t="shared" ref="W149:W168" si="59">1.5*H149</f>
        <v>0</v>
      </c>
      <c r="X149" s="80" t="s">
        <v>450</v>
      </c>
      <c r="Y149" s="83">
        <f t="shared" ref="Y149:Y168" si="60">0.9*I149</f>
        <v>160650</v>
      </c>
      <c r="Z149" s="83">
        <f t="shared" ref="Z149:Z168" si="61">1.3*I149</f>
        <v>232050</v>
      </c>
      <c r="AA149" s="80" t="s">
        <v>450</v>
      </c>
      <c r="AB149" s="83" t="s">
        <v>474</v>
      </c>
      <c r="AC149" s="83" t="s">
        <v>475</v>
      </c>
      <c r="AD149" s="83" t="s">
        <v>476</v>
      </c>
      <c r="AE149" s="80" t="s">
        <v>451</v>
      </c>
    </row>
    <row r="150" spans="1:31" ht="30" customHeight="1" x14ac:dyDescent="0.2">
      <c r="A150" s="55">
        <v>712</v>
      </c>
      <c r="B150" s="40">
        <f t="shared" si="54"/>
        <v>2</v>
      </c>
      <c r="C150" s="58" t="s">
        <v>39</v>
      </c>
      <c r="D150" s="41" t="str">
        <f t="shared" si="55"/>
        <v xml:space="preserve">            Remote Monitoring Technicians </v>
      </c>
      <c r="E150" s="41" t="s">
        <v>342</v>
      </c>
      <c r="F150" s="41" t="s">
        <v>388</v>
      </c>
      <c r="G150" s="41" t="s">
        <v>389</v>
      </c>
      <c r="H150" s="45"/>
      <c r="I150" s="63">
        <v>178500</v>
      </c>
      <c r="J150" s="51" t="s">
        <v>383</v>
      </c>
      <c r="K150" s="61" t="s">
        <v>387</v>
      </c>
      <c r="L150" s="51"/>
      <c r="M150" s="51"/>
      <c r="N150" s="51">
        <v>1</v>
      </c>
      <c r="O150" s="68">
        <v>2024</v>
      </c>
      <c r="P150" s="51" t="s">
        <v>72</v>
      </c>
      <c r="Q150" s="61"/>
      <c r="R150" s="61" t="s">
        <v>385</v>
      </c>
      <c r="S150" s="51"/>
      <c r="T150" s="51"/>
      <c r="U150" s="80" t="s">
        <v>467</v>
      </c>
      <c r="V150" s="84">
        <f t="shared" si="58"/>
        <v>0</v>
      </c>
      <c r="W150" s="84">
        <f t="shared" si="59"/>
        <v>0</v>
      </c>
      <c r="X150" s="80" t="s">
        <v>450</v>
      </c>
      <c r="Y150" s="83">
        <f t="shared" si="60"/>
        <v>160650</v>
      </c>
      <c r="Z150" s="83">
        <f t="shared" si="61"/>
        <v>232050</v>
      </c>
      <c r="AA150" s="80" t="s">
        <v>450</v>
      </c>
      <c r="AB150" s="83" t="s">
        <v>474</v>
      </c>
      <c r="AC150" s="83" t="s">
        <v>475</v>
      </c>
      <c r="AD150" s="83" t="s">
        <v>476</v>
      </c>
      <c r="AE150" s="80" t="s">
        <v>451</v>
      </c>
    </row>
    <row r="151" spans="1:31" ht="85" x14ac:dyDescent="0.2">
      <c r="A151" s="55">
        <v>713</v>
      </c>
      <c r="B151" s="40">
        <f t="shared" si="54"/>
        <v>2</v>
      </c>
      <c r="C151" s="58" t="s">
        <v>40</v>
      </c>
      <c r="D151" s="41" t="str">
        <f t="shared" si="55"/>
        <v xml:space="preserve">            Security Staff </v>
      </c>
      <c r="E151" s="41" t="s">
        <v>342</v>
      </c>
      <c r="F151" s="41"/>
      <c r="G151" s="41"/>
      <c r="H151" s="45"/>
      <c r="I151" s="63">
        <v>178500</v>
      </c>
      <c r="J151" s="51" t="s">
        <v>383</v>
      </c>
      <c r="K151" s="61" t="s">
        <v>390</v>
      </c>
      <c r="L151" s="51"/>
      <c r="M151" s="51"/>
      <c r="N151" s="51">
        <v>1</v>
      </c>
      <c r="O151" s="68">
        <v>2024</v>
      </c>
      <c r="P151" s="51" t="s">
        <v>72</v>
      </c>
      <c r="Q151" s="61"/>
      <c r="R151" s="61" t="s">
        <v>385</v>
      </c>
      <c r="S151" s="51"/>
      <c r="T151" s="51"/>
      <c r="U151" s="80" t="s">
        <v>467</v>
      </c>
      <c r="V151" s="84">
        <f t="shared" si="58"/>
        <v>0</v>
      </c>
      <c r="W151" s="84">
        <f t="shared" si="59"/>
        <v>0</v>
      </c>
      <c r="X151" s="80" t="s">
        <v>450</v>
      </c>
      <c r="Y151" s="83">
        <f t="shared" si="60"/>
        <v>160650</v>
      </c>
      <c r="Z151" s="83">
        <f t="shared" si="61"/>
        <v>232050</v>
      </c>
      <c r="AA151" s="80" t="s">
        <v>450</v>
      </c>
      <c r="AB151" s="83" t="s">
        <v>474</v>
      </c>
      <c r="AC151" s="83" t="s">
        <v>475</v>
      </c>
      <c r="AD151" s="83" t="s">
        <v>476</v>
      </c>
      <c r="AE151" s="80" t="s">
        <v>451</v>
      </c>
    </row>
    <row r="152" spans="1:31" ht="15" x14ac:dyDescent="0.2">
      <c r="A152" s="39">
        <v>72</v>
      </c>
      <c r="B152" s="40">
        <f t="shared" si="54"/>
        <v>1</v>
      </c>
      <c r="C152" s="58" t="s">
        <v>433</v>
      </c>
      <c r="D152" s="41" t="str">
        <f t="shared" si="55"/>
        <v xml:space="preserve">      Variable Non-Fuel Costs</v>
      </c>
      <c r="E152" s="41"/>
      <c r="F152" s="41"/>
      <c r="G152" s="41"/>
      <c r="H152" s="45"/>
      <c r="I152" s="63"/>
      <c r="J152" s="51"/>
      <c r="K152" s="61"/>
      <c r="L152" s="51"/>
      <c r="M152" s="51"/>
      <c r="N152" s="51"/>
      <c r="O152" s="68"/>
      <c r="P152" s="51"/>
      <c r="Q152" s="61"/>
      <c r="R152" s="61"/>
      <c r="S152" s="51"/>
      <c r="T152" s="51"/>
      <c r="U152" s="80"/>
      <c r="V152" s="84"/>
      <c r="W152" s="84"/>
      <c r="X152" s="80"/>
      <c r="Y152" s="83"/>
      <c r="Z152" s="83"/>
      <c r="AA152" s="80" t="s">
        <v>469</v>
      </c>
      <c r="AB152" s="83" t="s">
        <v>469</v>
      </c>
      <c r="AC152" s="83" t="s">
        <v>469</v>
      </c>
      <c r="AD152" s="83" t="s">
        <v>469</v>
      </c>
      <c r="AE152" s="80" t="s">
        <v>469</v>
      </c>
    </row>
    <row r="153" spans="1:31" ht="57" x14ac:dyDescent="0.2">
      <c r="A153" s="39">
        <v>721</v>
      </c>
      <c r="B153" s="40">
        <f t="shared" si="54"/>
        <v>2</v>
      </c>
      <c r="C153" s="58" t="s">
        <v>491</v>
      </c>
      <c r="D153" s="41" t="str">
        <f t="shared" si="55"/>
        <v xml:space="preserve">            Coolant</v>
      </c>
      <c r="E153" s="41" t="s">
        <v>342</v>
      </c>
      <c r="F153" s="41" t="s">
        <v>491</v>
      </c>
      <c r="G153" s="41" t="s">
        <v>492</v>
      </c>
      <c r="H153" s="45"/>
      <c r="I153" s="63">
        <v>170</v>
      </c>
      <c r="J153" s="51" t="s">
        <v>174</v>
      </c>
      <c r="K153" s="61" t="s">
        <v>545</v>
      </c>
      <c r="L153" s="51"/>
      <c r="M153" s="51" t="s">
        <v>173</v>
      </c>
      <c r="N153" s="51"/>
      <c r="O153" s="68">
        <v>2024</v>
      </c>
      <c r="P153" s="51" t="s">
        <v>73</v>
      </c>
      <c r="Q153" s="61" t="s">
        <v>494</v>
      </c>
      <c r="R153" s="65" t="s">
        <v>494</v>
      </c>
      <c r="S153" s="87" t="s">
        <v>493</v>
      </c>
      <c r="T153" s="51" t="s">
        <v>495</v>
      </c>
      <c r="U153" s="80" t="s">
        <v>467</v>
      </c>
      <c r="V153" s="84">
        <f t="shared" ref="V153:V155" si="62">0.9*$H153</f>
        <v>0</v>
      </c>
      <c r="W153" s="84">
        <f t="shared" ref="W153" si="63">1.5*H153</f>
        <v>0</v>
      </c>
      <c r="X153" s="80" t="s">
        <v>450</v>
      </c>
      <c r="Y153" s="83">
        <f>0.9*I153</f>
        <v>153</v>
      </c>
      <c r="Z153" s="83">
        <f t="shared" ref="Z153" si="64">1.3*I153</f>
        <v>221</v>
      </c>
      <c r="AA153" s="80" t="s">
        <v>450</v>
      </c>
      <c r="AB153" s="83" t="s">
        <v>474</v>
      </c>
      <c r="AC153" s="83" t="s">
        <v>475</v>
      </c>
      <c r="AD153" s="83" t="s">
        <v>476</v>
      </c>
      <c r="AE153" s="80" t="s">
        <v>451</v>
      </c>
    </row>
    <row r="154" spans="1:31" ht="29" x14ac:dyDescent="0.2">
      <c r="A154" s="39">
        <v>721</v>
      </c>
      <c r="B154" s="40">
        <f t="shared" ref="B154:B155" si="65">IF(ISNUMBER(A154),
    IF(AND(A154=INT(A154), MOD(A154, 10) = 0), 0,
        IF(AND(A154=INT(A154), LEN(A154)=2), 1,
            IF(AND(A154=INT(A154), LEN(A154)=3), 2,
                LEN(A154) - FIND(".", A154) + 2)
        )
    ),
"")</f>
        <v>2</v>
      </c>
      <c r="C154" s="58" t="s">
        <v>491</v>
      </c>
      <c r="D154" s="41" t="str">
        <f t="shared" ref="D154:D155" si="66">REPT("   ", B154*2) &amp; C154</f>
        <v xml:space="preserve">            Coolant</v>
      </c>
      <c r="E154" s="41" t="s">
        <v>342</v>
      </c>
      <c r="F154" s="41" t="s">
        <v>491</v>
      </c>
      <c r="G154" s="41" t="s">
        <v>529</v>
      </c>
      <c r="H154" s="45"/>
      <c r="I154" s="63">
        <v>118</v>
      </c>
      <c r="J154" s="51" t="s">
        <v>174</v>
      </c>
      <c r="K154" s="61" t="s">
        <v>545</v>
      </c>
      <c r="L154" s="51"/>
      <c r="M154" s="51" t="s">
        <v>173</v>
      </c>
      <c r="N154" s="51"/>
      <c r="O154" s="68">
        <v>2023</v>
      </c>
      <c r="P154" s="51" t="s">
        <v>73</v>
      </c>
      <c r="Q154" s="61" t="s">
        <v>530</v>
      </c>
      <c r="R154" s="65"/>
      <c r="S154" s="87"/>
      <c r="T154" s="51" t="s">
        <v>531</v>
      </c>
      <c r="U154" s="80" t="s">
        <v>467</v>
      </c>
      <c r="V154" s="84">
        <f t="shared" si="62"/>
        <v>0</v>
      </c>
      <c r="W154" s="84">
        <f t="shared" ref="W154:W155" si="67">1.5*H154</f>
        <v>0</v>
      </c>
      <c r="X154" s="80" t="s">
        <v>450</v>
      </c>
      <c r="Y154" s="83">
        <f t="shared" ref="Y154" si="68">0.9*I154</f>
        <v>106.2</v>
      </c>
      <c r="Z154" s="83">
        <f t="shared" ref="Z154" si="69">1.3*I154</f>
        <v>153.4</v>
      </c>
      <c r="AA154" s="80" t="s">
        <v>450</v>
      </c>
      <c r="AB154" s="83" t="s">
        <v>474</v>
      </c>
      <c r="AC154" s="83" t="s">
        <v>475</v>
      </c>
      <c r="AD154" s="83" t="s">
        <v>476</v>
      </c>
      <c r="AE154" s="80" t="s">
        <v>451</v>
      </c>
    </row>
    <row r="155" spans="1:31" ht="155" x14ac:dyDescent="0.2">
      <c r="A155" s="39">
        <v>73</v>
      </c>
      <c r="B155" s="40">
        <f t="shared" si="65"/>
        <v>1</v>
      </c>
      <c r="C155" s="58" t="s">
        <v>548</v>
      </c>
      <c r="D155" s="41" t="str">
        <f t="shared" si="66"/>
        <v xml:space="preserve">      Regulatory Costs</v>
      </c>
      <c r="E155" s="41" t="s">
        <v>341</v>
      </c>
      <c r="F155" s="41"/>
      <c r="G155" s="41"/>
      <c r="H155" s="45">
        <f>(2/100)*5359000</f>
        <v>107180</v>
      </c>
      <c r="I155" s="63"/>
      <c r="J155" s="51"/>
      <c r="K155" s="61"/>
      <c r="L155" s="51"/>
      <c r="M155" s="51"/>
      <c r="N155" s="51"/>
      <c r="O155" s="68">
        <v>2024</v>
      </c>
      <c r="P155" s="51" t="s">
        <v>72</v>
      </c>
      <c r="Q155" s="61" t="s">
        <v>549</v>
      </c>
      <c r="R155" s="65" t="s">
        <v>550</v>
      </c>
      <c r="S155" s="87" t="s">
        <v>550</v>
      </c>
      <c r="T155" s="51"/>
      <c r="U155" s="5" t="s">
        <v>468</v>
      </c>
      <c r="V155" s="84">
        <f t="shared" si="62"/>
        <v>96462</v>
      </c>
      <c r="W155" s="84">
        <f t="shared" si="67"/>
        <v>160770</v>
      </c>
      <c r="X155" s="80" t="s">
        <v>450</v>
      </c>
      <c r="Y155" s="83"/>
      <c r="Z155" s="83"/>
      <c r="AA155" s="80"/>
      <c r="AB155" s="83"/>
      <c r="AC155" s="83"/>
      <c r="AD155" s="83"/>
      <c r="AE155" s="80"/>
    </row>
    <row r="156" spans="1:31" ht="127" x14ac:dyDescent="0.2">
      <c r="A156" s="39">
        <v>75</v>
      </c>
      <c r="B156" s="40">
        <f t="shared" si="54"/>
        <v>1</v>
      </c>
      <c r="C156" s="58" t="s">
        <v>41</v>
      </c>
      <c r="D156" s="41" t="str">
        <f>REPT("   ", B156*2) &amp; C156</f>
        <v xml:space="preserve">      Capital Plant Expenditures</v>
      </c>
      <c r="E156" s="41"/>
      <c r="F156" s="41"/>
      <c r="G156" s="41"/>
      <c r="H156" s="45"/>
      <c r="I156" s="63"/>
      <c r="J156" s="51"/>
      <c r="K156" s="61"/>
      <c r="L156" s="51"/>
      <c r="M156" s="51"/>
      <c r="N156" s="51"/>
      <c r="O156" s="68"/>
      <c r="P156" s="51"/>
      <c r="Q156" s="61" t="s">
        <v>500</v>
      </c>
      <c r="R156" s="61" t="s">
        <v>500</v>
      </c>
      <c r="S156" s="51"/>
      <c r="T156" s="61" t="s">
        <v>501</v>
      </c>
      <c r="U156" s="80"/>
      <c r="V156" s="84"/>
      <c r="W156" s="84"/>
      <c r="X156" s="80"/>
      <c r="Y156" s="83"/>
      <c r="Z156" s="83"/>
      <c r="AA156" s="80"/>
      <c r="AB156" s="83"/>
      <c r="AC156" s="83"/>
      <c r="AD156" s="83"/>
      <c r="AE156" s="80"/>
    </row>
    <row r="157" spans="1:31" ht="12.75" customHeight="1" x14ac:dyDescent="0.2">
      <c r="A157" s="39">
        <v>751</v>
      </c>
      <c r="B157" s="40">
        <f t="shared" si="54"/>
        <v>2</v>
      </c>
      <c r="C157" s="58" t="s">
        <v>542</v>
      </c>
      <c r="D157" s="41" t="str">
        <f>REPT("   ", B157*2) &amp; C157</f>
        <v xml:space="preserve">            Annualized RPV Replacements</v>
      </c>
      <c r="E157" s="41"/>
      <c r="F157" s="41"/>
      <c r="G157" s="41"/>
      <c r="H157" s="45"/>
      <c r="I157" s="63"/>
      <c r="J157" s="51"/>
      <c r="K157" s="61"/>
      <c r="L157" s="51"/>
      <c r="M157" s="51"/>
      <c r="N157" s="51"/>
      <c r="O157" s="68"/>
      <c r="P157" s="51"/>
      <c r="Q157" s="108" t="s">
        <v>500</v>
      </c>
      <c r="R157" s="108" t="s">
        <v>500</v>
      </c>
      <c r="S157" s="51"/>
      <c r="T157" s="108" t="s">
        <v>501</v>
      </c>
      <c r="U157" s="80"/>
      <c r="V157" s="84"/>
      <c r="W157" s="84"/>
      <c r="X157" s="80"/>
      <c r="Y157" s="83"/>
      <c r="Z157" s="83"/>
      <c r="AA157" s="80"/>
      <c r="AB157" s="83"/>
      <c r="AC157" s="83"/>
      <c r="AD157" s="83"/>
      <c r="AE157" s="80"/>
    </row>
    <row r="158" spans="1:31" ht="15" x14ac:dyDescent="0.2">
      <c r="A158" s="39">
        <v>752</v>
      </c>
      <c r="B158" s="40">
        <f t="shared" si="54"/>
        <v>2</v>
      </c>
      <c r="C158" s="58" t="s">
        <v>543</v>
      </c>
      <c r="D158" s="41" t="str">
        <f t="shared" si="55"/>
        <v xml:space="preserve">            Annualized Core Barrel Replacements</v>
      </c>
      <c r="E158" s="41"/>
      <c r="F158" s="41"/>
      <c r="G158" s="41"/>
      <c r="H158" s="45"/>
      <c r="I158" s="63"/>
      <c r="J158" s="51"/>
      <c r="K158" s="61"/>
      <c r="L158" s="51"/>
      <c r="M158" s="51"/>
      <c r="N158" s="51"/>
      <c r="O158" s="68"/>
      <c r="P158" s="51"/>
      <c r="Q158" s="110"/>
      <c r="R158" s="110"/>
      <c r="S158" s="51"/>
      <c r="T158" s="110"/>
      <c r="U158" s="80"/>
      <c r="V158" s="84"/>
      <c r="W158" s="84"/>
      <c r="X158" s="80"/>
      <c r="Y158" s="83"/>
      <c r="Z158" s="83"/>
      <c r="AA158" s="80"/>
      <c r="AB158" s="83"/>
      <c r="AC158" s="83"/>
      <c r="AD158" s="83"/>
      <c r="AE158" s="80"/>
    </row>
    <row r="159" spans="1:31" ht="15" x14ac:dyDescent="0.2">
      <c r="A159" s="39">
        <v>753</v>
      </c>
      <c r="B159" s="40">
        <f t="shared" si="54"/>
        <v>2</v>
      </c>
      <c r="C159" s="58" t="s">
        <v>508</v>
      </c>
      <c r="D159" s="41" t="str">
        <f t="shared" si="55"/>
        <v xml:space="preserve">            Annualized Moderator Replacements</v>
      </c>
      <c r="E159" s="41"/>
      <c r="F159" s="41"/>
      <c r="G159" s="41"/>
      <c r="H159" s="45"/>
      <c r="I159" s="63"/>
      <c r="J159" s="51"/>
      <c r="K159" s="61"/>
      <c r="L159" s="51"/>
      <c r="M159" s="51"/>
      <c r="N159" s="51"/>
      <c r="O159" s="68"/>
      <c r="P159" s="51"/>
      <c r="Q159" s="110"/>
      <c r="R159" s="110"/>
      <c r="S159" s="51"/>
      <c r="T159" s="110"/>
      <c r="U159" s="80"/>
      <c r="V159" s="84"/>
      <c r="W159" s="84"/>
      <c r="X159" s="80"/>
      <c r="Y159" s="83"/>
      <c r="Z159" s="83"/>
      <c r="AA159" s="80"/>
      <c r="AB159" s="83"/>
      <c r="AC159" s="83"/>
      <c r="AD159" s="83"/>
      <c r="AE159" s="80"/>
    </row>
    <row r="160" spans="1:31" ht="15" x14ac:dyDescent="0.2">
      <c r="A160" s="39">
        <v>754</v>
      </c>
      <c r="B160" s="40">
        <f t="shared" si="54"/>
        <v>2</v>
      </c>
      <c r="C160" s="58" t="s">
        <v>509</v>
      </c>
      <c r="D160" s="41" t="str">
        <f t="shared" si="55"/>
        <v xml:space="preserve">            Annualized Reflector Replacements</v>
      </c>
      <c r="E160" s="41"/>
      <c r="F160" s="41"/>
      <c r="G160" s="41"/>
      <c r="H160" s="45"/>
      <c r="I160" s="63"/>
      <c r="J160" s="51"/>
      <c r="K160" s="61"/>
      <c r="L160" s="51"/>
      <c r="M160" s="51"/>
      <c r="N160" s="51"/>
      <c r="O160" s="68"/>
      <c r="P160" s="51"/>
      <c r="Q160" s="110"/>
      <c r="R160" s="110"/>
      <c r="S160" s="51"/>
      <c r="T160" s="110"/>
      <c r="U160" s="80"/>
      <c r="V160" s="84"/>
      <c r="W160" s="84"/>
      <c r="X160" s="80"/>
      <c r="Y160" s="83"/>
      <c r="Z160" s="83"/>
      <c r="AA160" s="80"/>
      <c r="AB160" s="83"/>
      <c r="AC160" s="83"/>
      <c r="AD160" s="83"/>
      <c r="AE160" s="80"/>
    </row>
    <row r="161" spans="1:31" ht="29" x14ac:dyDescent="0.2">
      <c r="A161" s="39">
        <v>755</v>
      </c>
      <c r="B161" s="40">
        <f t="shared" si="54"/>
        <v>2</v>
      </c>
      <c r="C161" s="58" t="s">
        <v>510</v>
      </c>
      <c r="D161" s="41" t="str">
        <f t="shared" si="55"/>
        <v xml:space="preserve">            Annualized Reactivity Control Replacements</v>
      </c>
      <c r="E161" s="41"/>
      <c r="F161" s="41"/>
      <c r="G161" s="41"/>
      <c r="H161" s="45"/>
      <c r="I161" s="63"/>
      <c r="J161" s="51"/>
      <c r="K161" s="61"/>
      <c r="L161" s="51"/>
      <c r="M161" s="51"/>
      <c r="N161" s="51"/>
      <c r="O161" s="68"/>
      <c r="P161" s="51"/>
      <c r="Q161" s="110"/>
      <c r="R161" s="110"/>
      <c r="S161" s="51"/>
      <c r="T161" s="110"/>
      <c r="U161" s="80"/>
      <c r="V161" s="84"/>
      <c r="W161" s="84"/>
      <c r="X161" s="80"/>
      <c r="Y161" s="83"/>
      <c r="Z161" s="83"/>
      <c r="AA161" s="80"/>
      <c r="AB161" s="83"/>
      <c r="AC161" s="83"/>
      <c r="AD161" s="83"/>
      <c r="AE161" s="80"/>
    </row>
    <row r="162" spans="1:31" ht="25.5" customHeight="1" x14ac:dyDescent="0.2">
      <c r="A162" s="39">
        <v>756</v>
      </c>
      <c r="B162" s="40">
        <f t="shared" si="54"/>
        <v>2</v>
      </c>
      <c r="C162" s="58" t="s">
        <v>511</v>
      </c>
      <c r="D162" s="41" t="str">
        <f>REPT("   ", B162*2) &amp; C162</f>
        <v xml:space="preserve">            Annualized Integrated Heat Transfer System Replacements</v>
      </c>
      <c r="E162" s="41"/>
      <c r="F162" s="41"/>
      <c r="G162" s="41"/>
      <c r="H162" s="45"/>
      <c r="I162" s="63"/>
      <c r="J162" s="51"/>
      <c r="K162" s="61"/>
      <c r="L162" s="51"/>
      <c r="M162" s="51"/>
      <c r="N162" s="51"/>
      <c r="O162" s="68"/>
      <c r="P162" s="51"/>
      <c r="Q162" s="110"/>
      <c r="R162" s="110"/>
      <c r="S162" s="51"/>
      <c r="T162" s="110"/>
      <c r="U162" s="80"/>
      <c r="V162" s="84"/>
      <c r="W162" s="84"/>
      <c r="X162" s="80"/>
      <c r="Y162" s="83"/>
      <c r="Z162" s="83"/>
      <c r="AA162" s="80"/>
      <c r="AB162" s="83"/>
      <c r="AC162" s="83"/>
      <c r="AD162" s="83"/>
      <c r="AE162" s="80"/>
    </row>
    <row r="163" spans="1:31" ht="25.5" customHeight="1" x14ac:dyDescent="0.2">
      <c r="A163" s="39">
        <v>759</v>
      </c>
      <c r="B163" s="40">
        <f t="shared" si="54"/>
        <v>2</v>
      </c>
      <c r="C163" s="58" t="s">
        <v>512</v>
      </c>
      <c r="D163" s="41" t="str">
        <f>REPT("   ", B163*2) &amp; C163</f>
        <v xml:space="preserve">            Annualized Misc. Replacements</v>
      </c>
      <c r="E163" s="41"/>
      <c r="F163" s="41"/>
      <c r="G163" s="41"/>
      <c r="H163" s="45"/>
      <c r="I163" s="63"/>
      <c r="J163" s="51"/>
      <c r="K163" s="61"/>
      <c r="L163" s="51"/>
      <c r="M163" s="51"/>
      <c r="N163" s="51"/>
      <c r="O163" s="68"/>
      <c r="P163" s="51"/>
      <c r="Q163" s="109"/>
      <c r="R163" s="109"/>
      <c r="S163" s="51"/>
      <c r="T163" s="109"/>
      <c r="U163" s="80"/>
      <c r="V163" s="84"/>
      <c r="W163" s="84"/>
      <c r="X163" s="80"/>
      <c r="Y163" s="83"/>
      <c r="Z163" s="83"/>
      <c r="AA163" s="80"/>
      <c r="AB163" s="83"/>
      <c r="AC163" s="83"/>
      <c r="AD163" s="83"/>
      <c r="AE163" s="80"/>
    </row>
    <row r="164" spans="1:31" ht="30" customHeight="1" x14ac:dyDescent="0.2">
      <c r="A164" s="39">
        <v>78</v>
      </c>
      <c r="B164" s="40">
        <f t="shared" ref="B164" si="70">IF(ISNUMBER(A164),
    IF(AND(A164=INT(A164), MOD(A164, 10) = 0), 0,
        IF(AND(A164=INT(A164), LEN(A164)=2), 1,
            IF(AND(A164=INT(A164), LEN(A164)=3), 2,
                LEN(A164) - FIND(".", A164) + 2)
        )
    ),
"")</f>
        <v>1</v>
      </c>
      <c r="C164" s="58" t="s">
        <v>42</v>
      </c>
      <c r="D164" s="41" t="str">
        <f t="shared" ref="D164" si="71">REPT("   ", B164*2) &amp; C164</f>
        <v xml:space="preserve">      Annualized Decommissioning Cost</v>
      </c>
      <c r="E164" s="41"/>
      <c r="F164" s="41"/>
      <c r="G164" s="41"/>
      <c r="H164" s="45"/>
      <c r="I164" s="75"/>
      <c r="J164" s="51"/>
      <c r="K164" s="47"/>
      <c r="L164" s="51"/>
      <c r="M164" s="51"/>
      <c r="N164" s="51"/>
      <c r="O164" s="68"/>
      <c r="P164" s="76"/>
      <c r="Q164" s="61"/>
      <c r="R164" s="61"/>
      <c r="S164" s="51"/>
      <c r="T164" s="61" t="s">
        <v>499</v>
      </c>
      <c r="U164" s="80"/>
      <c r="V164" s="84"/>
      <c r="W164" s="84"/>
      <c r="X164" s="80"/>
      <c r="Y164" s="83"/>
      <c r="Z164" s="83"/>
      <c r="AA164" s="80"/>
      <c r="AB164" s="83"/>
      <c r="AC164" s="83"/>
      <c r="AD164" s="83"/>
      <c r="AE164" s="80"/>
    </row>
    <row r="165" spans="1:31" ht="15" x14ac:dyDescent="0.2">
      <c r="A165" s="39">
        <v>80</v>
      </c>
      <c r="B165" s="40">
        <f t="shared" si="54"/>
        <v>0</v>
      </c>
      <c r="C165" s="74" t="s">
        <v>43</v>
      </c>
      <c r="D165" s="41" t="str">
        <f t="shared" si="55"/>
        <v>Annualized Fuel Cost</v>
      </c>
      <c r="E165" s="41"/>
      <c r="F165" s="41"/>
      <c r="G165" s="41"/>
      <c r="H165" s="42"/>
      <c r="I165" s="42"/>
      <c r="J165" s="40"/>
      <c r="K165" s="43"/>
      <c r="L165" s="40"/>
      <c r="M165" s="40"/>
      <c r="N165" s="40"/>
      <c r="O165" s="42"/>
      <c r="P165" s="40"/>
      <c r="Q165" s="43"/>
      <c r="R165" s="40"/>
      <c r="S165" s="40"/>
      <c r="T165" s="40"/>
      <c r="U165" s="80"/>
      <c r="V165" s="84"/>
      <c r="W165" s="84"/>
      <c r="X165" s="80"/>
      <c r="Y165" s="83"/>
      <c r="Z165" s="83"/>
      <c r="AA165" s="80"/>
      <c r="AB165" s="83"/>
      <c r="AC165" s="83"/>
      <c r="AD165" s="83"/>
      <c r="AE165" s="80"/>
    </row>
    <row r="166" spans="1:31" ht="85" x14ac:dyDescent="0.2">
      <c r="A166" s="39">
        <v>81</v>
      </c>
      <c r="B166" s="40">
        <f t="shared" si="54"/>
        <v>1</v>
      </c>
      <c r="C166" s="58" t="s">
        <v>44</v>
      </c>
      <c r="D166" s="41" t="str">
        <f t="shared" si="55"/>
        <v xml:space="preserve">      Refueling Operations</v>
      </c>
      <c r="E166" s="41" t="s">
        <v>342</v>
      </c>
      <c r="F166" s="41"/>
      <c r="G166" s="41"/>
      <c r="H166" s="45"/>
      <c r="I166" s="63">
        <v>178500</v>
      </c>
      <c r="J166" s="51" t="s">
        <v>383</v>
      </c>
      <c r="K166" s="61" t="s">
        <v>384</v>
      </c>
      <c r="L166" s="51"/>
      <c r="M166" s="51"/>
      <c r="N166" s="51">
        <v>1</v>
      </c>
      <c r="O166" s="68">
        <v>2024</v>
      </c>
      <c r="P166" s="76" t="s">
        <v>72</v>
      </c>
      <c r="Q166" s="61"/>
      <c r="R166" s="61" t="s">
        <v>385</v>
      </c>
      <c r="S166" s="51"/>
      <c r="T166" s="51"/>
      <c r="U166" s="80" t="s">
        <v>467</v>
      </c>
      <c r="V166" s="84">
        <f t="shared" si="58"/>
        <v>0</v>
      </c>
      <c r="W166" s="84">
        <f t="shared" si="59"/>
        <v>0</v>
      </c>
      <c r="X166" s="80" t="s">
        <v>450</v>
      </c>
      <c r="Y166" s="83">
        <f t="shared" si="60"/>
        <v>160650</v>
      </c>
      <c r="Z166" s="83">
        <f t="shared" si="61"/>
        <v>232050</v>
      </c>
      <c r="AA166" s="80" t="s">
        <v>450</v>
      </c>
      <c r="AB166" s="83" t="s">
        <v>474</v>
      </c>
      <c r="AC166" s="83" t="s">
        <v>475</v>
      </c>
      <c r="AD166" s="83" t="s">
        <v>476</v>
      </c>
      <c r="AE166" s="80" t="s">
        <v>451</v>
      </c>
    </row>
    <row r="167" spans="1:31" ht="15" x14ac:dyDescent="0.2">
      <c r="A167" s="39">
        <v>82</v>
      </c>
      <c r="B167" s="40">
        <f t="shared" si="54"/>
        <v>1</v>
      </c>
      <c r="C167" s="58" t="s">
        <v>45</v>
      </c>
      <c r="D167" s="41" t="str">
        <f t="shared" si="55"/>
        <v xml:space="preserve">      Additional Nuclear Fuel</v>
      </c>
      <c r="E167" s="41"/>
      <c r="F167" s="41"/>
      <c r="G167" s="41"/>
      <c r="H167" s="45"/>
      <c r="I167" s="63"/>
      <c r="J167" s="51"/>
      <c r="K167" s="61"/>
      <c r="L167" s="51"/>
      <c r="M167" s="51"/>
      <c r="N167" s="51"/>
      <c r="O167" s="68"/>
      <c r="P167" s="51"/>
      <c r="Q167" s="61"/>
      <c r="R167" s="51"/>
      <c r="S167" s="51"/>
      <c r="T167" s="51"/>
      <c r="U167" s="80"/>
      <c r="V167" s="84"/>
      <c r="W167" s="84"/>
      <c r="X167" s="80"/>
      <c r="Y167" s="83"/>
      <c r="Z167" s="83"/>
      <c r="AA167" s="80"/>
      <c r="AB167" s="83"/>
      <c r="AC167" s="83"/>
      <c r="AD167" s="83"/>
      <c r="AE167" s="80"/>
    </row>
    <row r="168" spans="1:31" ht="29" x14ac:dyDescent="0.2">
      <c r="A168" s="39">
        <v>83</v>
      </c>
      <c r="B168" s="40">
        <f t="shared" si="54"/>
        <v>1</v>
      </c>
      <c r="C168" s="58" t="s">
        <v>46</v>
      </c>
      <c r="D168" s="41" t="str">
        <f t="shared" si="55"/>
        <v xml:space="preserve">      Spent Fuel Management</v>
      </c>
      <c r="E168" s="41" t="s">
        <v>341</v>
      </c>
      <c r="F168" s="41"/>
      <c r="G168" s="41"/>
      <c r="H168" s="45"/>
      <c r="I168" s="63">
        <v>1</v>
      </c>
      <c r="J168" s="51" t="s">
        <v>396</v>
      </c>
      <c r="K168" s="61" t="s">
        <v>397</v>
      </c>
      <c r="L168" s="51"/>
      <c r="M168" s="51"/>
      <c r="N168" s="51">
        <v>1</v>
      </c>
      <c r="O168" s="68">
        <v>2024</v>
      </c>
      <c r="P168" s="51" t="s">
        <v>77</v>
      </c>
      <c r="Q168" s="61"/>
      <c r="R168" s="51"/>
      <c r="S168" s="51"/>
      <c r="T168" s="51"/>
      <c r="U168" s="80" t="s">
        <v>467</v>
      </c>
      <c r="V168" s="84">
        <f t="shared" si="58"/>
        <v>0</v>
      </c>
      <c r="W168" s="84">
        <f t="shared" si="59"/>
        <v>0</v>
      </c>
      <c r="X168" s="80" t="s">
        <v>450</v>
      </c>
      <c r="Y168" s="83">
        <f t="shared" si="60"/>
        <v>0.9</v>
      </c>
      <c r="Z168" s="83">
        <f t="shared" si="61"/>
        <v>1.3</v>
      </c>
      <c r="AA168" s="80" t="s">
        <v>450</v>
      </c>
      <c r="AB168" s="83" t="s">
        <v>474</v>
      </c>
      <c r="AC168" s="83" t="s">
        <v>475</v>
      </c>
      <c r="AD168" s="83" t="s">
        <v>476</v>
      </c>
      <c r="AE168" s="80" t="s">
        <v>451</v>
      </c>
    </row>
  </sheetData>
  <autoFilter ref="A1:Z168" xr:uid="{F5330BDA-7164-B946-A942-FFAE4F744BBA}"/>
  <mergeCells count="53">
    <mergeCell ref="T108:T109"/>
    <mergeCell ref="Q139:Q142"/>
    <mergeCell ref="Q157:Q163"/>
    <mergeCell ref="R157:R163"/>
    <mergeCell ref="T157:T163"/>
    <mergeCell ref="Q22:Q24"/>
    <mergeCell ref="Q26:Q28"/>
    <mergeCell ref="Q37:Q39"/>
    <mergeCell ref="Q41:Q43"/>
    <mergeCell ref="R130:R134"/>
    <mergeCell ref="R96:R97"/>
    <mergeCell ref="R123:R128"/>
    <mergeCell ref="Q52:Q54"/>
    <mergeCell ref="R52:R54"/>
    <mergeCell ref="R46:R48"/>
    <mergeCell ref="Q30:Q32"/>
    <mergeCell ref="Q46:Q48"/>
    <mergeCell ref="Q57:Q59"/>
    <mergeCell ref="Q61:Q63"/>
    <mergeCell ref="Q130:Q134"/>
    <mergeCell ref="Q123:Q128"/>
    <mergeCell ref="R3:R4"/>
    <mergeCell ref="S3:S4"/>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151:J155">
    <cfRule type="expression" dxfId="200" priority="125">
      <formula>$B151=0</formula>
    </cfRule>
  </conditionalFormatting>
  <conditionalFormatting sqref="A81:K81 A112:Q113 S112:T113 S153:T155">
    <cfRule type="expression" dxfId="199" priority="152">
      <formula>$B81=0</formula>
    </cfRule>
  </conditionalFormatting>
  <conditionalFormatting sqref="A133:P134">
    <cfRule type="expression" dxfId="198" priority="307">
      <formula>$B133=0</formula>
    </cfRule>
    <cfRule type="expression" dxfId="197" priority="306">
      <formula>$B133&lt;2</formula>
    </cfRule>
    <cfRule type="expression" dxfId="196" priority="305">
      <formula>$B133=2</formula>
    </cfRule>
    <cfRule type="expression" dxfId="195" priority="304">
      <formula>$B133=3</formula>
    </cfRule>
  </conditionalFormatting>
  <conditionalFormatting sqref="A137:P144">
    <cfRule type="expression" dxfId="194" priority="255">
      <formula>$B137=0</formula>
    </cfRule>
    <cfRule type="expression" dxfId="193" priority="252">
      <formula>$B137=3</formula>
    </cfRule>
    <cfRule type="expression" dxfId="192" priority="253">
      <formula>$B137=2</formula>
    </cfRule>
    <cfRule type="expression" dxfId="191" priority="254">
      <formula>$B137&lt;2</formula>
    </cfRule>
  </conditionalFormatting>
  <conditionalFormatting sqref="A157:P163">
    <cfRule type="expression" dxfId="190" priority="57">
      <formula>$B157=3</formula>
    </cfRule>
    <cfRule type="expression" dxfId="189" priority="58">
      <formula>$B157=2</formula>
    </cfRule>
    <cfRule type="expression" dxfId="188" priority="59">
      <formula>$B157&lt;2</formula>
    </cfRule>
  </conditionalFormatting>
  <conditionalFormatting sqref="A95:S95">
    <cfRule type="expression" dxfId="187" priority="360">
      <formula>$B95=3</formula>
    </cfRule>
    <cfRule type="expression" dxfId="186" priority="363">
      <formula>$B95=0</formula>
    </cfRule>
    <cfRule type="expression" dxfId="185" priority="362">
      <formula>$B95&lt;2</formula>
    </cfRule>
    <cfRule type="expression" dxfId="184" priority="361">
      <formula>$B95=2</formula>
    </cfRule>
  </conditionalFormatting>
  <conditionalFormatting sqref="A74:T94">
    <cfRule type="expression" dxfId="183" priority="145">
      <formula>$B74&lt;2</formula>
    </cfRule>
    <cfRule type="expression" dxfId="182" priority="144">
      <formula>$B74=2</formula>
    </cfRule>
    <cfRule type="expression" dxfId="181" priority="143">
      <formula>$B74=3</formula>
    </cfRule>
  </conditionalFormatting>
  <conditionalFormatting sqref="A83:T83">
    <cfRule type="expression" dxfId="180" priority="202">
      <formula>$B83=0</formula>
    </cfRule>
  </conditionalFormatting>
  <conditionalFormatting sqref="A99:T99 S101:T107 S108:S109 A112:Q113 S112:T113 A129:T129 L130:T130 L131:P131 S131:T135 I132:P132 A135:R135 R139:T144 A145:T148 A149:H150 A151:J155 S153:T155 A123:B128 S123:T128 A5:Q6 A96:F98 A1:AE4 S5:AE6">
    <cfRule type="expression" dxfId="179" priority="356">
      <formula>$B1=3</formula>
    </cfRule>
  </conditionalFormatting>
  <conditionalFormatting sqref="A110:T111 A114:T128">
    <cfRule type="expression" dxfId="178" priority="191">
      <formula>$B110=2</formula>
    </cfRule>
    <cfRule type="expression" dxfId="177" priority="192">
      <formula>$B110&lt;2</formula>
    </cfRule>
  </conditionalFormatting>
  <conditionalFormatting sqref="A110:T111">
    <cfRule type="expression" dxfId="176" priority="327">
      <formula>$B110=0</formula>
    </cfRule>
  </conditionalFormatting>
  <conditionalFormatting sqref="A114:T128 A110:T111">
    <cfRule type="expression" dxfId="175" priority="190">
      <formula>$B110=3</formula>
    </cfRule>
  </conditionalFormatting>
  <conditionalFormatting sqref="A136:T136">
    <cfRule type="expression" dxfId="174" priority="289">
      <formula>$B136=2</formula>
    </cfRule>
    <cfRule type="expression" dxfId="173" priority="290">
      <formula>$B136&lt;2</formula>
    </cfRule>
    <cfRule type="expression" dxfId="172" priority="291">
      <formula>$B136=0</formula>
    </cfRule>
    <cfRule type="expression" dxfId="171" priority="288">
      <formula>$B136=3</formula>
    </cfRule>
  </conditionalFormatting>
  <conditionalFormatting sqref="A165:T168">
    <cfRule type="expression" dxfId="170" priority="221">
      <formula>$B165=2</formula>
    </cfRule>
    <cfRule type="expression" dxfId="169" priority="220">
      <formula>$B165=3</formula>
    </cfRule>
    <cfRule type="expression" dxfId="168" priority="222">
      <formula>$B165&lt;2</formula>
    </cfRule>
    <cfRule type="expression" dxfId="167" priority="223">
      <formula>$B165=0</formula>
    </cfRule>
  </conditionalFormatting>
  <conditionalFormatting sqref="A1:AE4 A5:Q6 S5:AE6 A96:F98 A99:T99 S101:T107 S108:S109 A112:Q113 S112:T113 A123:B128 S123:T128 A129:T129 L130:T130 L131:P131 S131:T135 I132:P132 A135:R135 R139:T144 A145:T148 A149:H150 A151:J155 S153:T155">
    <cfRule type="expression" dxfId="166" priority="357">
      <formula>$B1=2</formula>
    </cfRule>
    <cfRule type="expression" dxfId="165" priority="358">
      <formula>$B1&lt;2</formula>
    </cfRule>
  </conditionalFormatting>
  <conditionalFormatting sqref="A1:AE4 A5:Q6 S5:AE6 A7:AE51 A157:C163">
    <cfRule type="expression" dxfId="164" priority="60">
      <formula>$B1=0</formula>
    </cfRule>
  </conditionalFormatting>
  <conditionalFormatting sqref="A7:AE48">
    <cfRule type="expression" dxfId="163" priority="122">
      <formula>$B7=3</formula>
    </cfRule>
    <cfRule type="expression" dxfId="162" priority="123">
      <formula>$B7=2</formula>
    </cfRule>
    <cfRule type="expression" dxfId="161" priority="124">
      <formula>$B7&lt;2</formula>
    </cfRule>
  </conditionalFormatting>
  <conditionalFormatting sqref="A49:AE51 F52:AE52 A52:E54 F53:S54 U53:AE54 A55:AE75 A76:T82 A83:AE84 A85:T88 A89:AE89 A90:T93 A94:AE95 A99:AE108 A109:S109 U109:AE109 A110:AE119 A120:T120 A122:AE122 A129:AE156 Q157:AE157 S158:S163 U158:AE163 A164:AE168 A121:W121 Y121:AE121">
    <cfRule type="expression" dxfId="160" priority="322">
      <formula>$B49&lt;2</formula>
    </cfRule>
    <cfRule type="expression" dxfId="159" priority="321">
      <formula>$B49=2</formula>
    </cfRule>
  </conditionalFormatting>
  <conditionalFormatting sqref="A96:AE98">
    <cfRule type="expression" dxfId="158" priority="79">
      <formula>$B96&lt;2</formula>
    </cfRule>
    <cfRule type="expression" dxfId="157" priority="78">
      <formula>$B96=2</formula>
    </cfRule>
    <cfRule type="expression" dxfId="156" priority="77">
      <formula>$B96=3</formula>
    </cfRule>
  </conditionalFormatting>
  <conditionalFormatting sqref="A129:AE156 A164:AE168 A55:AE75 A83:AE84 A110:AE119 A120:T120 A122:AE122 A99:AE108 A76:T82 A85:T88 A89:AE89 A90:T93 A94:AE95 A49:AE51 F52:AE52 F53:S54 A52:E54 U53:AE54 A109:S109 U109:AE109 Q157:AE157 S158:S163 U158:AE163 A121:W121 Y121:AE121">
    <cfRule type="expression" dxfId="155" priority="320">
      <formula>$B49=3</formula>
    </cfRule>
  </conditionalFormatting>
  <conditionalFormatting sqref="C123:R123 C124:P128">
    <cfRule type="expression" dxfId="154" priority="182">
      <formula>$B123=0</formula>
    </cfRule>
    <cfRule type="expression" dxfId="153" priority="181">
      <formula>$B123&lt;2</formula>
    </cfRule>
    <cfRule type="expression" dxfId="152" priority="179">
      <formula>$B123=3</formula>
    </cfRule>
    <cfRule type="expression" dxfId="151" priority="180">
      <formula>$B123=2</formula>
    </cfRule>
  </conditionalFormatting>
  <conditionalFormatting sqref="D2:D80 D82 D84:D122 D129:D168">
    <cfRule type="colorScale" priority="608">
      <colorScale>
        <cfvo type="min"/>
        <cfvo type="max"/>
        <color rgb="FFFF7128"/>
        <color rgb="FFFFEF9C"/>
      </colorScale>
    </cfRule>
  </conditionalFormatting>
  <conditionalFormatting sqref="D81">
    <cfRule type="colorScale" priority="157">
      <colorScale>
        <cfvo type="min"/>
        <cfvo type="max"/>
        <color rgb="FFFF7128"/>
        <color rgb="FFFFEF9C"/>
      </colorScale>
    </cfRule>
  </conditionalFormatting>
  <conditionalFormatting sqref="D83">
    <cfRule type="colorScale" priority="203">
      <colorScale>
        <cfvo type="min"/>
        <cfvo type="max"/>
        <color rgb="FFFF7128"/>
        <color rgb="FFFFEF9C"/>
      </colorScale>
    </cfRule>
  </conditionalFormatting>
  <conditionalFormatting sqref="D123:D128">
    <cfRule type="colorScale" priority="183">
      <colorScale>
        <cfvo type="min"/>
        <cfvo type="max"/>
        <color rgb="FFFF7128"/>
        <color rgb="FFFFEF9C"/>
      </colorScale>
    </cfRule>
  </conditionalFormatting>
  <conditionalFormatting sqref="E123:O128">
    <cfRule type="expression" dxfId="150" priority="178">
      <formula>_xlfn.ISFORMULA(E123)</formula>
    </cfRule>
  </conditionalFormatting>
  <conditionalFormatting sqref="F51:G54">
    <cfRule type="expression" dxfId="149" priority="127">
      <formula>$B51=3</formula>
    </cfRule>
    <cfRule type="expression" dxfId="148" priority="128">
      <formula>$B51=2</formula>
    </cfRule>
    <cfRule type="expression" dxfId="147" priority="129">
      <formula>$B51&lt;2</formula>
    </cfRule>
    <cfRule type="expression" dxfId="146" priority="130">
      <formula>$B51=0</formula>
    </cfRule>
  </conditionalFormatting>
  <conditionalFormatting sqref="F53:S54 A55:AE75 A76:T82 A83:AE84 A85:T88 A89:AE89 A90:T93 A94:AE95 A96:T99 A99:AE108 A109:S109 A110:AE119 A114:T129 A122:AE122 A129:AE156 D157:P163 A164:AE168 U53:AE54 U109:AE109 Q157:AE157 S158:S163 U158:AE163 A121:W121 Y121:AE121">
    <cfRule type="expression" dxfId="145" priority="323">
      <formula>$B53=0</formula>
    </cfRule>
  </conditionalFormatting>
  <conditionalFormatting sqref="F52:AE52 A52:E54">
    <cfRule type="expression" dxfId="144" priority="121">
      <formula>$B52=0</formula>
    </cfRule>
  </conditionalFormatting>
  <conditionalFormatting sqref="G96:G97">
    <cfRule type="expression" dxfId="143" priority="352">
      <formula>$B96=3</formula>
    </cfRule>
    <cfRule type="expression" dxfId="142" priority="355">
      <formula>$B96=0</formula>
    </cfRule>
    <cfRule type="expression" dxfId="141" priority="354">
      <formula>$B96&lt;2</formula>
    </cfRule>
    <cfRule type="expression" dxfId="140" priority="353">
      <formula>$B96=2</formula>
    </cfRule>
  </conditionalFormatting>
  <conditionalFormatting sqref="H5">
    <cfRule type="expression" dxfId="139" priority="161">
      <formula>$B5=0</formula>
    </cfRule>
    <cfRule type="expression" dxfId="138" priority="158">
      <formula>$B5=3</formula>
    </cfRule>
    <cfRule type="expression" dxfId="137" priority="160">
      <formula>$B5&lt;2</formula>
    </cfRule>
    <cfRule type="expression" dxfId="136" priority="159">
      <formula>$B5=2</formula>
    </cfRule>
  </conditionalFormatting>
  <conditionalFormatting sqref="H71:J73">
    <cfRule type="expression" dxfId="135" priority="209">
      <formula>_xlfn.ISFORMULA(H71)</formula>
    </cfRule>
    <cfRule type="expression" dxfId="134" priority="213">
      <formula>$B71=0</formula>
    </cfRule>
  </conditionalFormatting>
  <conditionalFormatting sqref="H1:O1048576">
    <cfRule type="expression" dxfId="133" priority="219">
      <formula>_xlfn.ISFORMULA(H1)</formula>
    </cfRule>
  </conditionalFormatting>
  <conditionalFormatting sqref="H68:O70">
    <cfRule type="expression" dxfId="132" priority="214">
      <formula>_xlfn.ISFORMULA(H68)</formula>
    </cfRule>
  </conditionalFormatting>
  <conditionalFormatting sqref="H69:Q73">
    <cfRule type="expression" dxfId="131" priority="205">
      <formula>$B69=3</formula>
    </cfRule>
    <cfRule type="expression" dxfId="130" priority="206">
      <formula>$B69=2</formula>
    </cfRule>
    <cfRule type="expression" dxfId="129" priority="207">
      <formula>$B69&lt;2</formula>
    </cfRule>
  </conditionalFormatting>
  <conditionalFormatting sqref="H68:T68 H69:Q70 S69:T73">
    <cfRule type="expression" dxfId="128" priority="218">
      <formula>$B68=0</formula>
    </cfRule>
  </conditionalFormatting>
  <conditionalFormatting sqref="H68:T68 S69:T73">
    <cfRule type="expression" dxfId="127" priority="215">
      <formula>$B68=3</formula>
    </cfRule>
    <cfRule type="expression" dxfId="126" priority="216">
      <formula>$B68=2</formula>
    </cfRule>
    <cfRule type="expression" dxfId="125" priority="217">
      <formula>$B68&lt;2</formula>
    </cfRule>
  </conditionalFormatting>
  <conditionalFormatting sqref="I81">
    <cfRule type="expression" dxfId="124" priority="151">
      <formula>_xlfn.ISFORMULA(I81)</formula>
    </cfRule>
  </conditionalFormatting>
  <conditionalFormatting sqref="I149:J150">
    <cfRule type="expression" dxfId="123" priority="238">
      <formula>$B150&lt;2</formula>
    </cfRule>
    <cfRule type="expression" dxfId="122" priority="239">
      <formula>$B150=0</formula>
    </cfRule>
    <cfRule type="expression" dxfId="121" priority="236">
      <formula>$B150=3</formula>
    </cfRule>
    <cfRule type="expression" dxfId="120" priority="237">
      <formula>$B150=2</formula>
    </cfRule>
  </conditionalFormatting>
  <conditionalFormatting sqref="I130:K131">
    <cfRule type="expression" dxfId="119" priority="316">
      <formula>$B130=3</formula>
    </cfRule>
    <cfRule type="expression" dxfId="118" priority="317">
      <formula>$B130=2</formula>
    </cfRule>
    <cfRule type="expression" dxfId="117" priority="318">
      <formula>$B130&lt;2</formula>
    </cfRule>
    <cfRule type="expression" dxfId="116" priority="319">
      <formula>$B130=0</formula>
    </cfRule>
  </conditionalFormatting>
  <conditionalFormatting sqref="J100">
    <cfRule type="expression" dxfId="115" priority="555">
      <formula>#REF!=2</formula>
    </cfRule>
    <cfRule type="expression" dxfId="114" priority="165">
      <formula>$B100=0</formula>
    </cfRule>
    <cfRule type="expression" dxfId="113" priority="558">
      <formula>#REF!=3</formula>
    </cfRule>
    <cfRule type="expression" dxfId="112" priority="557">
      <formula>#REF!=0</formula>
    </cfRule>
    <cfRule type="expression" dxfId="111" priority="556">
      <formula>#REF!&lt;2</formula>
    </cfRule>
  </conditionalFormatting>
  <conditionalFormatting sqref="J100:T100">
    <cfRule type="expression" dxfId="110" priority="162">
      <formula>$B100=3</formula>
    </cfRule>
    <cfRule type="expression" dxfId="109" priority="163">
      <formula>$B100=2</formula>
    </cfRule>
    <cfRule type="expression" dxfId="108" priority="164">
      <formula>$B100&lt;2</formula>
    </cfRule>
  </conditionalFormatting>
  <conditionalFormatting sqref="L81">
    <cfRule type="expression" dxfId="107" priority="146">
      <formula>_xlfn.ISFORMULA(L81)</formula>
    </cfRule>
  </conditionalFormatting>
  <conditionalFormatting sqref="L81:T81">
    <cfRule type="expression" dxfId="106" priority="147">
      <formula>$B81=0</formula>
    </cfRule>
  </conditionalFormatting>
  <conditionalFormatting sqref="L130:T130 L131:P131 I132:P132 A135:R135 A145:T148 A149:H150 A96:F98 S101:T107 S108:S109 A123:B128 S131:T135 R139:T144">
    <cfRule type="expression" dxfId="105" priority="359">
      <formula>$B96=0</formula>
    </cfRule>
  </conditionalFormatting>
  <conditionalFormatting sqref="O71:O73">
    <cfRule type="expression" dxfId="104" priority="204">
      <formula>_xlfn.ISFORMULA(O71)</formula>
    </cfRule>
  </conditionalFormatting>
  <conditionalFormatting sqref="O112:O113 E83:O83">
    <cfRule type="expression" dxfId="103" priority="198">
      <formula>_xlfn.ISFORMULA(E83)</formula>
    </cfRule>
  </conditionalFormatting>
  <conditionalFormatting sqref="O136">
    <cfRule type="expression" dxfId="102" priority="376">
      <formula>$B137=0</formula>
    </cfRule>
    <cfRule type="expression" dxfId="101" priority="375">
      <formula>$B137&lt;2</formula>
    </cfRule>
    <cfRule type="expression" dxfId="100" priority="374">
      <formula>$B137=2</formula>
    </cfRule>
    <cfRule type="expression" dxfId="99" priority="373">
      <formula>$B137=3</formula>
    </cfRule>
  </conditionalFormatting>
  <conditionalFormatting sqref="O71:Q73">
    <cfRule type="expression" dxfId="98" priority="208">
      <formula>$B71=0</formula>
    </cfRule>
  </conditionalFormatting>
  <conditionalFormatting sqref="Q139">
    <cfRule type="expression" dxfId="97" priority="300">
      <formula>$B139=3</formula>
    </cfRule>
    <cfRule type="expression" dxfId="96" priority="301">
      <formula>$B139=2</formula>
    </cfRule>
    <cfRule type="expression" dxfId="95" priority="302">
      <formula>$B139&lt;2</formula>
    </cfRule>
    <cfRule type="expression" dxfId="94" priority="303">
      <formula>$B139=0</formula>
    </cfRule>
  </conditionalFormatting>
  <conditionalFormatting sqref="Q143:Q144">
    <cfRule type="expression" dxfId="93" priority="296">
      <formula>$B143=3</formula>
    </cfRule>
    <cfRule type="expression" dxfId="92" priority="297">
      <formula>$B143=2</formula>
    </cfRule>
    <cfRule type="expression" dxfId="91" priority="298">
      <formula>$B143&lt;2</formula>
    </cfRule>
    <cfRule type="expression" dxfId="90" priority="299">
      <formula>$B143=0</formula>
    </cfRule>
  </conditionalFormatting>
  <conditionalFormatting sqref="Q87:T88">
    <cfRule type="expression" dxfId="89" priority="197">
      <formula>$B87=0</formula>
    </cfRule>
  </conditionalFormatting>
  <conditionalFormatting sqref="Q137:T138">
    <cfRule type="expression" dxfId="88" priority="263">
      <formula>$B137=0</formula>
    </cfRule>
    <cfRule type="expression" dxfId="87" priority="262">
      <formula>$B137&lt;2</formula>
    </cfRule>
    <cfRule type="expression" dxfId="86" priority="261">
      <formula>$B137=2</formula>
    </cfRule>
    <cfRule type="expression" dxfId="85" priority="260">
      <formula>$B137=3</formula>
    </cfRule>
  </conditionalFormatting>
  <conditionalFormatting sqref="R5">
    <cfRule type="expression" dxfId="84" priority="53">
      <formula>$B5=0</formula>
    </cfRule>
    <cfRule type="expression" dxfId="83" priority="55">
      <formula>$B5=2</formula>
    </cfRule>
    <cfRule type="expression" dxfId="82" priority="54">
      <formula>$B5=3</formula>
    </cfRule>
    <cfRule type="expression" dxfId="81" priority="56">
      <formula>$B5&lt;2</formula>
    </cfRule>
  </conditionalFormatting>
  <conditionalFormatting sqref="R6">
    <cfRule type="expression" dxfId="80" priority="616">
      <formula>$B5=3</formula>
    </cfRule>
    <cfRule type="expression" dxfId="79" priority="614">
      <formula>$B5=0</formula>
    </cfRule>
    <cfRule type="expression" dxfId="78" priority="612">
      <formula>$B5&lt;2</formula>
    </cfRule>
    <cfRule type="expression" dxfId="77" priority="611">
      <formula>$B5=2</formula>
    </cfRule>
  </conditionalFormatting>
  <conditionalFormatting sqref="S96">
    <cfRule type="expression" dxfId="76" priority="381">
      <formula>$B95=3</formula>
    </cfRule>
    <cfRule type="expression" dxfId="75" priority="382">
      <formula>$B95=2</formula>
    </cfRule>
    <cfRule type="expression" dxfId="74" priority="383">
      <formula>$B95&lt;2</formula>
    </cfRule>
    <cfRule type="expression" dxfId="73" priority="384">
      <formula>$B95=0</formula>
    </cfRule>
  </conditionalFormatting>
  <conditionalFormatting sqref="S123:Z128 AB123:AD128">
    <cfRule type="expression" dxfId="72" priority="72">
      <formula>$B123=0</formula>
    </cfRule>
  </conditionalFormatting>
  <conditionalFormatting sqref="U76:AE82">
    <cfRule type="expression" dxfId="71" priority="104">
      <formula>$B76=0</formula>
    </cfRule>
    <cfRule type="expression" dxfId="70" priority="101">
      <formula>$B76=3</formula>
    </cfRule>
    <cfRule type="expression" dxfId="69" priority="103">
      <formula>$B76&lt;2</formula>
    </cfRule>
    <cfRule type="expression" dxfId="68" priority="102">
      <formula>$B76=2</formula>
    </cfRule>
  </conditionalFormatting>
  <conditionalFormatting sqref="U85:AE88">
    <cfRule type="expression" dxfId="67" priority="96">
      <formula>$B85=0</formula>
    </cfRule>
    <cfRule type="expression" dxfId="66" priority="95">
      <formula>$B85&lt;2</formula>
    </cfRule>
    <cfRule type="expression" dxfId="65" priority="94">
      <formula>$B85=2</formula>
    </cfRule>
    <cfRule type="expression" dxfId="64" priority="93">
      <formula>$B85=3</formula>
    </cfRule>
  </conditionalFormatting>
  <conditionalFormatting sqref="U90:AE93">
    <cfRule type="expression" dxfId="63" priority="88">
      <formula>$B90=0</formula>
    </cfRule>
    <cfRule type="expression" dxfId="62" priority="87">
      <formula>$B90&lt;2</formula>
    </cfRule>
    <cfRule type="expression" dxfId="61" priority="86">
      <formula>$B90=2</formula>
    </cfRule>
    <cfRule type="expression" dxfId="60" priority="85">
      <formula>$B90=3</formula>
    </cfRule>
  </conditionalFormatting>
  <conditionalFormatting sqref="U96:AE98">
    <cfRule type="expression" dxfId="59" priority="80">
      <formula>$B96=0</formula>
    </cfRule>
  </conditionalFormatting>
  <conditionalFormatting sqref="U120:AE120">
    <cfRule type="expression" dxfId="58" priority="73">
      <formula>$B120=3</formula>
    </cfRule>
    <cfRule type="expression" dxfId="57" priority="74">
      <formula>$B120=2</formula>
    </cfRule>
    <cfRule type="expression" dxfId="56" priority="76">
      <formula>$B120=0</formula>
    </cfRule>
    <cfRule type="expression" dxfId="55" priority="75">
      <formula>$B120&lt;2</formula>
    </cfRule>
  </conditionalFormatting>
  <conditionalFormatting sqref="U123:Z128 AB123:AD128">
    <cfRule type="expression" dxfId="54" priority="69">
      <formula>$B123=3</formula>
    </cfRule>
    <cfRule type="expression" dxfId="53" priority="70">
      <formula>$B123=2</formula>
    </cfRule>
    <cfRule type="expression" dxfId="52" priority="71">
      <formula>$B123&lt;2</formula>
    </cfRule>
  </conditionalFormatting>
  <conditionalFormatting sqref="X121">
    <cfRule type="expression" dxfId="51" priority="49">
      <formula>$B121=3</formula>
    </cfRule>
    <cfRule type="expression" dxfId="50" priority="50">
      <formula>$B121=2</formula>
    </cfRule>
    <cfRule type="expression" dxfId="48" priority="51">
      <formula>$B121&lt;2</formula>
    </cfRule>
    <cfRule type="expression" dxfId="49" priority="52">
      <formula>$B121=0</formula>
    </cfRule>
  </conditionalFormatting>
  <conditionalFormatting sqref="AA123">
    <cfRule type="expression" dxfId="47" priority="45">
      <formula>$B123=3</formula>
    </cfRule>
    <cfRule type="expression" dxfId="46" priority="46">
      <formula>$B123=2</formula>
    </cfRule>
    <cfRule type="expression" dxfId="44" priority="47">
      <formula>$B123&lt;2</formula>
    </cfRule>
    <cfRule type="expression" dxfId="45" priority="48">
      <formula>$B123=0</formula>
    </cfRule>
  </conditionalFormatting>
  <conditionalFormatting sqref="AA124">
    <cfRule type="expression" dxfId="43" priority="41">
      <formula>$B124=3</formula>
    </cfRule>
    <cfRule type="expression" dxfId="42" priority="42">
      <formula>$B124=2</formula>
    </cfRule>
    <cfRule type="expression" dxfId="40" priority="43">
      <formula>$B124&lt;2</formula>
    </cfRule>
    <cfRule type="expression" dxfId="41" priority="44">
      <formula>$B124=0</formula>
    </cfRule>
  </conditionalFormatting>
  <conditionalFormatting sqref="AA125">
    <cfRule type="expression" dxfId="39" priority="37">
      <formula>$B125=3</formula>
    </cfRule>
    <cfRule type="expression" dxfId="38" priority="38">
      <formula>$B125=2</formula>
    </cfRule>
    <cfRule type="expression" dxfId="36" priority="39">
      <formula>$B125&lt;2</formula>
    </cfRule>
    <cfRule type="expression" dxfId="37" priority="40">
      <formula>$B125=0</formula>
    </cfRule>
  </conditionalFormatting>
  <conditionalFormatting sqref="AA126">
    <cfRule type="expression" dxfId="35" priority="33">
      <formula>$B126=3</formula>
    </cfRule>
    <cfRule type="expression" dxfId="34" priority="34">
      <formula>$B126=2</formula>
    </cfRule>
    <cfRule type="expression" dxfId="32" priority="35">
      <formula>$B126&lt;2</formula>
    </cfRule>
    <cfRule type="expression" dxfId="33" priority="36">
      <formula>$B126=0</formula>
    </cfRule>
  </conditionalFormatting>
  <conditionalFormatting sqref="AA127">
    <cfRule type="expression" dxfId="31" priority="29">
      <formula>$B127=3</formula>
    </cfRule>
    <cfRule type="expression" dxfId="30" priority="30">
      <formula>$B127=2</formula>
    </cfRule>
    <cfRule type="expression" dxfId="28" priority="31">
      <formula>$B127&lt;2</formula>
    </cfRule>
    <cfRule type="expression" dxfId="29" priority="32">
      <formula>$B127=0</formula>
    </cfRule>
  </conditionalFormatting>
  <conditionalFormatting sqref="AA128">
    <cfRule type="expression" dxfId="27" priority="25">
      <formula>$B128=3</formula>
    </cfRule>
    <cfRule type="expression" dxfId="26" priority="26">
      <formula>$B128=2</formula>
    </cfRule>
    <cfRule type="expression" dxfId="24" priority="27">
      <formula>$B128&lt;2</formula>
    </cfRule>
    <cfRule type="expression" dxfId="25" priority="28">
      <formula>$B128=0</formula>
    </cfRule>
  </conditionalFormatting>
  <conditionalFormatting sqref="AE123">
    <cfRule type="expression" dxfId="23" priority="21">
      <formula>$B123=3</formula>
    </cfRule>
    <cfRule type="expression" dxfId="22" priority="22">
      <formula>$B123=2</formula>
    </cfRule>
    <cfRule type="expression" dxfId="20" priority="23">
      <formula>$B123&lt;2</formula>
    </cfRule>
    <cfRule type="expression" dxfId="21" priority="24">
      <formula>$B123=0</formula>
    </cfRule>
  </conditionalFormatting>
  <conditionalFormatting sqref="AE124">
    <cfRule type="expression" dxfId="19" priority="17">
      <formula>$B124=3</formula>
    </cfRule>
    <cfRule type="expression" dxfId="18" priority="18">
      <formula>$B124=2</formula>
    </cfRule>
    <cfRule type="expression" dxfId="16" priority="19">
      <formula>$B124&lt;2</formula>
    </cfRule>
    <cfRule type="expression" dxfId="17" priority="20">
      <formula>$B124=0</formula>
    </cfRule>
  </conditionalFormatting>
  <conditionalFormatting sqref="AE125">
    <cfRule type="expression" dxfId="15" priority="13">
      <formula>$B125=3</formula>
    </cfRule>
    <cfRule type="expression" dxfId="14" priority="14">
      <formula>$B125=2</formula>
    </cfRule>
    <cfRule type="expression" dxfId="12" priority="15">
      <formula>$B125&lt;2</formula>
    </cfRule>
    <cfRule type="expression" dxfId="13" priority="16">
      <formula>$B125=0</formula>
    </cfRule>
  </conditionalFormatting>
  <conditionalFormatting sqref="AE126">
    <cfRule type="expression" dxfId="11" priority="9">
      <formula>$B126=3</formula>
    </cfRule>
    <cfRule type="expression" dxfId="10" priority="10">
      <formula>$B126=2</formula>
    </cfRule>
    <cfRule type="expression" dxfId="8" priority="11">
      <formula>$B126&lt;2</formula>
    </cfRule>
    <cfRule type="expression" dxfId="9" priority="12">
      <formula>$B126=0</formula>
    </cfRule>
  </conditionalFormatting>
  <conditionalFormatting sqref="AE127">
    <cfRule type="expression" dxfId="7" priority="5">
      <formula>$B127=3</formula>
    </cfRule>
    <cfRule type="expression" dxfId="6" priority="6">
      <formula>$B127=2</formula>
    </cfRule>
    <cfRule type="expression" dxfId="4" priority="7">
      <formula>$B127&lt;2</formula>
    </cfRule>
    <cfRule type="expression" dxfId="5" priority="8">
      <formula>$B127=0</formula>
    </cfRule>
  </conditionalFormatting>
  <conditionalFormatting sqref="AE128">
    <cfRule type="expression" dxfId="3" priority="1">
      <formula>$B128=3</formula>
    </cfRule>
    <cfRule type="expression" dxfId="2" priority="2">
      <formula>$B128=2</formula>
    </cfRule>
    <cfRule type="expression" dxfId="0" priority="3">
      <formula>$B128&lt;2</formula>
    </cfRule>
    <cfRule type="expression" dxfId="1" priority="4">
      <formula>$B128=0</formula>
    </cfRule>
  </conditionalFormatting>
  <dataValidations count="14">
    <dataValidation type="whole" allowBlank="1" showInputMessage="1" showErrorMessage="1" sqref="O169:P176 O2:O136 O138:O168" xr:uid="{7C199008-9AB6-6549-A861-AD474C13E949}">
      <formula1>1950</formula1>
      <formula2>2025</formula2>
    </dataValidation>
    <dataValidation type="decimal" operator="greaterThan" allowBlank="1" showInputMessage="1" showErrorMessage="1" sqref="I2:I9 I57:I59 I61:I63 I84 L85:L93 I89:I94 H118:H119 H122:H129 I67:I79 L71:L83 I52:I54 I96:I134 I11:I48 H2:H115 L1:L67 L95:L1048576 H133:H168 I136:I168" xr:uid="{66ABF627-CC97-3E44-B6AC-09E441BED0CD}">
      <formula1>0</formula1>
    </dataValidation>
    <dataValidation type="list" allowBlank="1" showInputMessage="1" showErrorMessage="1" sqref="K343:K353"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9:J1048576" xr:uid="{EEDF1E2A-32DC-6242-8EBD-BD01BBD19C77}">
      <formula1>"$/acres, $/MWe, $/m^3, $/MWt"</formula1>
    </dataValidation>
    <dataValidation type="whole" allowBlank="1" showInputMessage="1" showErrorMessage="1" sqref="N169:N322" xr:uid="{6D536505-A5B6-E145-A4B9-9C3C8E6B8527}">
      <formula1>0</formula1>
      <formula2>2</formula2>
    </dataValidation>
    <dataValidation type="decimal" allowBlank="1" showInputMessage="1" showErrorMessage="1" sqref="N2:N80 N82:N122 N129:N168" xr:uid="{1C0096F5-23AB-5A48-8F14-E27BC72A38A6}">
      <formula1>0</formula1>
      <formula2>2</formula2>
    </dataValidation>
    <dataValidation type="list" allowBlank="1" showInputMessage="1" showErrorMessage="1" sqref="M122 M129:M168 M2:M80 M82:M119" xr:uid="{127B7473-9D01-354E-A3BD-12180E660A5C}">
      <formula1>"acres, MWe, m^3, MWt, Kg, Drums, kW, $, m^2, kg/s"</formula1>
    </dataValidation>
    <dataValidation type="list" allowBlank="1" showInputMessage="1" showErrorMessage="1" sqref="J2:J80 J129:J168 J82:J122" xr:uid="{0FCCEC2F-487A-5A42-9C52-ED538456C753}">
      <formula1>"$/m^2,$/MWeHour,$/FTE, $/acres, $/MWe, $/m^3, $/MWt, $/Kg, $/Drum, $/(kg.sec), $/SWU, unitless, $/kWe"</formula1>
    </dataValidation>
    <dataValidation type="list" allowBlank="1" showInputMessage="1" showErrorMessage="1" sqref="M120:M121" xr:uid="{3DD8CB7E-F66A-4C30-8943-BB08D88ABA07}">
      <formula1>"acres, MWe, m^3, MWt, Kg, Drums, kW, $, m^2, kg/s, kWe"</formula1>
    </dataValidation>
    <dataValidation type="list" allowBlank="1" showInputMessage="1" showErrorMessage="1" sqref="J123:J128 J81" xr:uid="{C16DBC1B-3C9C-41C9-938B-EDB37E52B5AE}">
      <formula1>"$/MWeHour,$/FTE, $/acres, $/MWe, $/m^3, $/MWt, $/Kg, $/Drum, $/(kg.sec), $/SWU, unitless"</formula1>
    </dataValidation>
    <dataValidation type="list" allowBlank="1" showInputMessage="1" showErrorMessage="1" sqref="M123:M128 M81" xr:uid="{D3B885B1-E20F-47DA-80AD-4B608DA1A8DB}">
      <formula1>"acres, MWe, m^3, MWt, Kg, Drums, kW, $"</formula1>
    </dataValidation>
    <dataValidation type="decimal" allowBlank="1" showInputMessage="1" showErrorMessage="1" sqref="N123:N128 N81" xr:uid="{68CE29B1-8A74-4C55-81EE-3E98A1DF9596}">
      <formula1>0</formula1>
      <formula2>1</formula2>
    </dataValidation>
    <dataValidation type="list" allowBlank="1" showInputMessage="1" showErrorMessage="1" sqref="E2:E168" xr:uid="{E571E7A1-C2F9-2E4D-99A9-8FA0C5D45C39}">
      <formula1>"standard, nonstandard"</formula1>
    </dataValidation>
    <dataValidation type="list" allowBlank="1" showInputMessage="1" showErrorMessage="1" sqref="P2:P168"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5" r:id="rId4" xr:uid="{22457633-A12F-48B5-9254-21F42C65D36E}"/>
    <hyperlink ref="S120" r:id="rId5" xr:uid="{9733E874-F01F-4A23-AD17-429EACFE0390}"/>
    <hyperlink ref="S121" r:id="rId6" xr:uid="{9C11E421-3DD6-4772-9616-7E50D5AE12D8}"/>
    <hyperlink ref="S116" r:id="rId7" xr:uid="{393EA17C-0C00-46CE-9606-5006E4E9652C}"/>
    <hyperlink ref="S153"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11" t="s">
        <v>189</v>
      </c>
      <c r="B1" s="112" t="s">
        <v>1</v>
      </c>
      <c r="C1" s="113" t="s">
        <v>318</v>
      </c>
    </row>
    <row r="2" spans="1:5" x14ac:dyDescent="0.2">
      <c r="A2" s="111"/>
      <c r="B2" s="112"/>
      <c r="C2" s="114"/>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5" t="s">
        <v>240</v>
      </c>
      <c r="B2" s="116"/>
      <c r="C2" s="116"/>
      <c r="D2" s="117"/>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5" t="s">
        <v>249</v>
      </c>
      <c r="B7" s="116"/>
      <c r="C7" s="116"/>
      <c r="D7" s="117"/>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5" t="s">
        <v>13</v>
      </c>
      <c r="B12" s="116"/>
      <c r="C12" s="116"/>
      <c r="D12" s="117"/>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5" t="s">
        <v>272</v>
      </c>
      <c r="B20" s="116"/>
      <c r="C20" s="116"/>
      <c r="D20" s="117"/>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5" t="s">
        <v>285</v>
      </c>
      <c r="B30" s="116"/>
      <c r="C30" s="116"/>
      <c r="D30" s="117"/>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5" t="s">
        <v>292</v>
      </c>
      <c r="B37" s="116"/>
      <c r="C37" s="116"/>
      <c r="D37" s="117"/>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5" t="s">
        <v>305</v>
      </c>
      <c r="B44" s="116"/>
      <c r="C44" s="116"/>
      <c r="D44" s="117"/>
    </row>
    <row r="45" spans="1:4" ht="14" thickBot="1" x14ac:dyDescent="0.25">
      <c r="A45" s="22" t="s">
        <v>306</v>
      </c>
      <c r="B45" s="7">
        <v>8.3000000000000007</v>
      </c>
      <c r="C45" s="23" t="s">
        <v>271</v>
      </c>
      <c r="D45" s="23" t="s">
        <v>307</v>
      </c>
    </row>
    <row r="46" spans="1:4" ht="14" thickBot="1" x14ac:dyDescent="0.25">
      <c r="A46" s="115" t="s">
        <v>308</v>
      </c>
      <c r="B46" s="116"/>
      <c r="C46" s="116"/>
      <c r="D46" s="117"/>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5" t="s">
        <v>315</v>
      </c>
      <c r="B50" s="116"/>
      <c r="C50" s="116"/>
      <c r="D50" s="117"/>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30"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1" sqref="A11"/>
    </sheetView>
  </sheetViews>
  <sheetFormatPr baseColWidth="10" defaultColWidth="11.5" defaultRowHeight="15" x14ac:dyDescent="0.2"/>
  <cols>
    <col min="1" max="1" width="27.5" customWidth="1"/>
    <col min="2" max="2" width="6.5" customWidth="1"/>
  </cols>
  <sheetData>
    <row r="1" spans="1:5" s="36" customFormat="1" x14ac:dyDescent="0.2">
      <c r="A1" s="36" t="s">
        <v>382</v>
      </c>
      <c r="B1" s="36" t="s">
        <v>238</v>
      </c>
      <c r="C1" s="36" t="s">
        <v>532</v>
      </c>
      <c r="D1" s="36" t="s">
        <v>533</v>
      </c>
      <c r="E1" s="36" t="s">
        <v>62</v>
      </c>
    </row>
    <row r="2" spans="1:5" x14ac:dyDescent="0.2">
      <c r="A2" t="s">
        <v>381</v>
      </c>
      <c r="B2" s="4">
        <v>6.5389932052543287E-2</v>
      </c>
    </row>
    <row r="3" spans="1:5" x14ac:dyDescent="0.2">
      <c r="A3" t="s">
        <v>391</v>
      </c>
      <c r="B3">
        <v>5</v>
      </c>
    </row>
    <row r="4" spans="1:5" x14ac:dyDescent="0.2">
      <c r="A4" t="s">
        <v>392</v>
      </c>
      <c r="B4">
        <v>5</v>
      </c>
    </row>
    <row r="5" spans="1:5" x14ac:dyDescent="0.2">
      <c r="A5" t="s">
        <v>393</v>
      </c>
      <c r="B5">
        <v>5</v>
      </c>
    </row>
    <row r="6" spans="1:5" x14ac:dyDescent="0.2">
      <c r="A6" t="s">
        <v>394</v>
      </c>
      <c r="B6">
        <v>1800</v>
      </c>
    </row>
    <row r="7" spans="1:5" x14ac:dyDescent="0.2">
      <c r="A7" t="s">
        <v>386</v>
      </c>
      <c r="B7">
        <v>10</v>
      </c>
    </row>
    <row r="8" spans="1:5" x14ac:dyDescent="0.2">
      <c r="A8" t="s">
        <v>395</v>
      </c>
      <c r="B8">
        <v>0.01</v>
      </c>
    </row>
    <row r="9" spans="1:5" x14ac:dyDescent="0.2">
      <c r="A9" t="s">
        <v>470</v>
      </c>
      <c r="B9">
        <v>0.08</v>
      </c>
      <c r="C9" s="118" t="s">
        <v>534</v>
      </c>
      <c r="D9" s="118" t="s">
        <v>535</v>
      </c>
      <c r="E9" s="118" t="s">
        <v>536</v>
      </c>
    </row>
    <row r="10" spans="1:5" ht="15" customHeight="1" x14ac:dyDescent="0.2">
      <c r="A10" s="5" t="s">
        <v>467</v>
      </c>
      <c r="B10">
        <v>0</v>
      </c>
      <c r="C10" s="118"/>
      <c r="D10" s="118"/>
      <c r="E10" s="118"/>
    </row>
    <row r="11" spans="1:5" x14ac:dyDescent="0.2">
      <c r="A11" s="5" t="s">
        <v>468</v>
      </c>
      <c r="B11">
        <v>0</v>
      </c>
      <c r="C11" s="118"/>
      <c r="D11" s="118"/>
      <c r="E11" s="118"/>
    </row>
    <row r="12" spans="1:5" x14ac:dyDescent="0.2">
      <c r="A12" s="5" t="s">
        <v>471</v>
      </c>
      <c r="B12">
        <v>0.18443169820109745</v>
      </c>
      <c r="C12" s="118"/>
      <c r="D12" s="118"/>
      <c r="E12" s="118"/>
    </row>
    <row r="13" spans="1:5" x14ac:dyDescent="0.2">
      <c r="A13" s="5" t="s">
        <v>449</v>
      </c>
      <c r="B13">
        <v>0.24138000000000001</v>
      </c>
      <c r="C13" s="118"/>
      <c r="D13" s="118"/>
      <c r="E13" s="118"/>
    </row>
    <row r="14" spans="1:5" x14ac:dyDescent="0.2">
      <c r="A14" s="5" t="s">
        <v>466</v>
      </c>
      <c r="B14" s="89">
        <v>0.22962848022115534</v>
      </c>
      <c r="C14" s="118"/>
      <c r="D14" s="118"/>
      <c r="E14" s="118"/>
    </row>
    <row r="15" spans="1:5" x14ac:dyDescent="0.2">
      <c r="A15" s="5" t="s">
        <v>537</v>
      </c>
      <c r="B15">
        <v>0.41505377678599265</v>
      </c>
      <c r="C15" s="118"/>
      <c r="D15" s="118"/>
      <c r="E15" s="118"/>
    </row>
    <row r="16" spans="1:5" x14ac:dyDescent="0.2">
      <c r="A16" s="5" t="s">
        <v>538</v>
      </c>
      <c r="B16">
        <v>0.39914905811401724</v>
      </c>
      <c r="C16" s="118"/>
      <c r="D16" s="118"/>
      <c r="E16" s="118"/>
    </row>
    <row r="17" spans="1:5" x14ac:dyDescent="0.2">
      <c r="A17" s="5" t="s">
        <v>539</v>
      </c>
      <c r="B17">
        <v>0.05</v>
      </c>
      <c r="C17" s="118"/>
      <c r="D17" t="s">
        <v>540</v>
      </c>
      <c r="E17" t="s">
        <v>541</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2025-08-06T05:14:32Z</dcterms:modified>
</cp:coreProperties>
</file>