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AD2578F5-210F-6047-9898-5EBC420FCE1A}" xr6:coauthVersionLast="47" xr6:coauthVersionMax="47" xr10:uidLastSave="{00000000-0000-0000-0000-000000000000}"/>
  <bookViews>
    <workbookView xWindow="0" yWindow="740" windowWidth="30240" windowHeight="1890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 i="2" l="1"/>
  <c r="W5" i="2"/>
  <c r="H5" i="2"/>
  <c r="Y60" i="2"/>
  <c r="Z60" i="2"/>
  <c r="Y61" i="2"/>
  <c r="Z61" i="2"/>
  <c r="Y65" i="2"/>
  <c r="Z65" i="2"/>
  <c r="Y70" i="2"/>
  <c r="Z70" i="2"/>
  <c r="Y71" i="2"/>
  <c r="Z71" i="2"/>
  <c r="Y72" i="2"/>
  <c r="Z72" i="2"/>
  <c r="Y76" i="2"/>
  <c r="Z76" i="2"/>
  <c r="Y77" i="2"/>
  <c r="Z77" i="2"/>
  <c r="Y78" i="2"/>
  <c r="Z78" i="2"/>
  <c r="Y80" i="2"/>
  <c r="Z80" i="2"/>
  <c r="Y81" i="2"/>
  <c r="Z81" i="2"/>
  <c r="Y82" i="2"/>
  <c r="Z82" i="2"/>
  <c r="Y83" i="2"/>
  <c r="Z83" i="2"/>
  <c r="Y88" i="2"/>
  <c r="Z88" i="2"/>
  <c r="Y89" i="2"/>
  <c r="Z89" i="2"/>
  <c r="Y90" i="2"/>
  <c r="Z90" i="2"/>
  <c r="Y97" i="2"/>
  <c r="Z97" i="2"/>
  <c r="Y98" i="2"/>
  <c r="Z98" i="2"/>
  <c r="Y99" i="2"/>
  <c r="Z99" i="2"/>
  <c r="Y100" i="2"/>
  <c r="Z100" i="2"/>
  <c r="Y101" i="2"/>
  <c r="Z101" i="2"/>
  <c r="Y102" i="2"/>
  <c r="Z102" i="2"/>
  <c r="Y106" i="2"/>
  <c r="Z106" i="2"/>
  <c r="Y107" i="2"/>
  <c r="Z107" i="2"/>
  <c r="Y108" i="2"/>
  <c r="Z108" i="2"/>
  <c r="Y109" i="2"/>
  <c r="Z109" i="2"/>
  <c r="Y111" i="2"/>
  <c r="Z111" i="2"/>
  <c r="Y116" i="2"/>
  <c r="Z116" i="2"/>
  <c r="Y117" i="2"/>
  <c r="Z117" i="2"/>
  <c r="Y118" i="2"/>
  <c r="Z118" i="2"/>
  <c r="Y122" i="2"/>
  <c r="Z122" i="2"/>
  <c r="Y124" i="2"/>
  <c r="Z124" i="2"/>
  <c r="Y3" i="2"/>
  <c r="Z3" i="2"/>
  <c r="Y5" i="2"/>
  <c r="Z5" i="2"/>
  <c r="Y6" i="2"/>
  <c r="Z6" i="2"/>
  <c r="Y7" i="2"/>
  <c r="Z7" i="2"/>
  <c r="W3" i="2"/>
  <c r="W4" i="2"/>
  <c r="W6" i="2"/>
  <c r="W11" i="2"/>
  <c r="W12" i="2"/>
  <c r="W13" i="2"/>
  <c r="W15" i="2"/>
  <c r="W16" i="2"/>
  <c r="W17" i="2"/>
  <c r="W20" i="2"/>
  <c r="W21" i="2"/>
  <c r="W22" i="2"/>
  <c r="W24" i="2"/>
  <c r="W25" i="2"/>
  <c r="W26" i="2"/>
  <c r="W31" i="2"/>
  <c r="W32" i="2"/>
  <c r="W34" i="2"/>
  <c r="W35" i="2"/>
  <c r="W36" i="2"/>
  <c r="W39" i="2"/>
  <c r="W40" i="2"/>
  <c r="W41" i="2"/>
  <c r="W42" i="2"/>
  <c r="W45" i="2"/>
  <c r="W46" i="2"/>
  <c r="W47" i="2"/>
  <c r="W49" i="2"/>
  <c r="W50" i="2"/>
  <c r="W51" i="2"/>
  <c r="W55" i="2"/>
  <c r="W56" i="2"/>
  <c r="W62" i="2"/>
  <c r="W63" i="2"/>
  <c r="W64" i="2"/>
  <c r="W65" i="2"/>
  <c r="W67" i="2"/>
  <c r="W70" i="2"/>
  <c r="W71" i="2"/>
  <c r="W72" i="2"/>
  <c r="W75" i="2"/>
  <c r="W76" i="2"/>
  <c r="W77" i="2"/>
  <c r="W78" i="2"/>
  <c r="W80" i="2"/>
  <c r="W81" i="2"/>
  <c r="W82" i="2"/>
  <c r="W83" i="2"/>
  <c r="W86" i="2"/>
  <c r="W87" i="2"/>
  <c r="W91" i="2"/>
  <c r="W92" i="2"/>
  <c r="W93" i="2"/>
  <c r="W95" i="2"/>
  <c r="W96" i="2"/>
  <c r="W97" i="2"/>
  <c r="W98" i="2"/>
  <c r="W99" i="2"/>
  <c r="W100" i="2"/>
  <c r="W101" i="2"/>
  <c r="W102" i="2"/>
  <c r="W111" i="2"/>
  <c r="W116" i="2"/>
  <c r="W117" i="2"/>
  <c r="W118" i="2"/>
  <c r="W120" i="2"/>
  <c r="W122" i="2"/>
  <c r="W124" i="2"/>
  <c r="V6" i="2"/>
  <c r="V8" i="2"/>
  <c r="V9" i="2"/>
  <c r="V10" i="2"/>
  <c r="V11" i="2"/>
  <c r="V12" i="2"/>
  <c r="V13" i="2"/>
  <c r="V14" i="2"/>
  <c r="V15" i="2"/>
  <c r="V16" i="2"/>
  <c r="V17"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8" i="2"/>
  <c r="V59" i="2"/>
  <c r="V62" i="2"/>
  <c r="V63" i="2"/>
  <c r="V64" i="2"/>
  <c r="V65" i="2"/>
  <c r="V67" i="2"/>
  <c r="V70" i="2"/>
  <c r="V71" i="2"/>
  <c r="V72" i="2"/>
  <c r="V73" i="2"/>
  <c r="V74" i="2"/>
  <c r="V75" i="2"/>
  <c r="V76" i="2"/>
  <c r="V77" i="2"/>
  <c r="V78" i="2"/>
  <c r="V79" i="2"/>
  <c r="V80" i="2"/>
  <c r="V81" i="2"/>
  <c r="V82" i="2"/>
  <c r="V83" i="2"/>
  <c r="V84" i="2"/>
  <c r="V85" i="2"/>
  <c r="V86" i="2"/>
  <c r="V87" i="2"/>
  <c r="V91" i="2"/>
  <c r="V92" i="2"/>
  <c r="V93" i="2"/>
  <c r="V94" i="2"/>
  <c r="V95" i="2"/>
  <c r="V96" i="2"/>
  <c r="V97" i="2"/>
  <c r="V98" i="2"/>
  <c r="V99" i="2"/>
  <c r="V100" i="2"/>
  <c r="V101" i="2"/>
  <c r="V102" i="2"/>
  <c r="V103" i="2"/>
  <c r="V104" i="2"/>
  <c r="V105" i="2"/>
  <c r="V110" i="2"/>
  <c r="V111" i="2"/>
  <c r="V112" i="2"/>
  <c r="V113" i="2"/>
  <c r="V114" i="2"/>
  <c r="V115" i="2"/>
  <c r="V116" i="2"/>
  <c r="V117" i="2"/>
  <c r="V118" i="2"/>
  <c r="V119" i="2"/>
  <c r="V120" i="2"/>
  <c r="V121" i="2"/>
  <c r="V122" i="2"/>
  <c r="V124" i="2"/>
  <c r="V3" i="2"/>
  <c r="V4" i="2"/>
  <c r="H107" i="2"/>
  <c r="W107" i="2" s="1"/>
  <c r="B67" i="2"/>
  <c r="D67" i="2" s="1"/>
  <c r="V107" i="2" l="1"/>
  <c r="L64" i="2"/>
  <c r="B64" i="2"/>
  <c r="D64" i="2" s="1"/>
  <c r="I120" i="2"/>
  <c r="B2" i="7"/>
  <c r="Y120" i="2" l="1"/>
  <c r="Z120" i="2"/>
  <c r="I64" i="2"/>
  <c r="L67" i="2"/>
  <c r="B2" i="2"/>
  <c r="B103" i="2"/>
  <c r="B8" i="2"/>
  <c r="H7" i="2"/>
  <c r="B111" i="2"/>
  <c r="D111" i="2" s="1"/>
  <c r="B110" i="2"/>
  <c r="D110" i="2" s="1"/>
  <c r="D104" i="2"/>
  <c r="D105" i="2"/>
  <c r="H109" i="2"/>
  <c r="H108" i="2"/>
  <c r="H106" i="2"/>
  <c r="B101" i="2"/>
  <c r="D101" i="2" s="1"/>
  <c r="L95" i="2"/>
  <c r="I95" i="2" s="1"/>
  <c r="B95" i="2"/>
  <c r="D95" i="2" s="1"/>
  <c r="W108" i="2" l="1"/>
  <c r="V108" i="2"/>
  <c r="W7" i="2"/>
  <c r="V7" i="2"/>
  <c r="Y95" i="2"/>
  <c r="Z95" i="2"/>
  <c r="W106" i="2"/>
  <c r="V106" i="2"/>
  <c r="W109" i="2"/>
  <c r="V109" i="2"/>
  <c r="I67" i="2"/>
  <c r="Y64" i="2"/>
  <c r="Z64" i="2"/>
  <c r="I93" i="2"/>
  <c r="H90" i="2"/>
  <c r="Y67" i="2" l="1"/>
  <c r="Z67" i="2"/>
  <c r="W90" i="2"/>
  <c r="V90" i="2"/>
  <c r="Y93" i="2"/>
  <c r="Z93" i="2"/>
  <c r="B90" i="2"/>
  <c r="D90" i="2" s="1"/>
  <c r="H89" i="2"/>
  <c r="H88" i="2"/>
  <c r="B88" i="2"/>
  <c r="D88" i="2" s="1"/>
  <c r="B83" i="2"/>
  <c r="D83" i="2" s="1"/>
  <c r="B81" i="2"/>
  <c r="D81" i="2" s="1"/>
  <c r="B77" i="2"/>
  <c r="D77" i="2" s="1"/>
  <c r="W89" i="2" l="1"/>
  <c r="V89" i="2"/>
  <c r="W88" i="2"/>
  <c r="V88" i="2"/>
  <c r="B80" i="2"/>
  <c r="B76" i="2"/>
  <c r="B74" i="2"/>
  <c r="B75" i="2"/>
  <c r="D75" i="2" s="1"/>
  <c r="B79" i="2"/>
  <c r="B78" i="2"/>
  <c r="I75" i="2"/>
  <c r="Y75" i="2" l="1"/>
  <c r="Z75" i="2"/>
  <c r="C3" i="4"/>
  <c r="B72" i="2"/>
  <c r="D71" i="2" s="1"/>
  <c r="B71" i="2"/>
  <c r="L70" i="2"/>
  <c r="L66" i="2" l="1"/>
  <c r="I66" i="2" s="1"/>
  <c r="H66" i="2"/>
  <c r="H60" i="2"/>
  <c r="H61" i="2"/>
  <c r="L55" i="2"/>
  <c r="L42" i="2"/>
  <c r="L63" i="2"/>
  <c r="I63" i="2" s="1"/>
  <c r="L62" i="2"/>
  <c r="C20" i="4"/>
  <c r="L57" i="2"/>
  <c r="I57" i="2" s="1"/>
  <c r="H57" i="2"/>
  <c r="Y57" i="2" l="1"/>
  <c r="Z57" i="2"/>
  <c r="Y63" i="2"/>
  <c r="Z63" i="2"/>
  <c r="W61" i="2"/>
  <c r="V61" i="2"/>
  <c r="W60" i="2"/>
  <c r="V60" i="2"/>
  <c r="V66" i="2"/>
  <c r="W66" i="2"/>
  <c r="W57" i="2"/>
  <c r="V57" i="2"/>
  <c r="Y66" i="2"/>
  <c r="Z66" i="2"/>
  <c r="I62" i="2"/>
  <c r="L69" i="2"/>
  <c r="L56" i="2"/>
  <c r="I69" i="2" l="1"/>
  <c r="Y62" i="2"/>
  <c r="Z62" i="2"/>
  <c r="L86" i="2"/>
  <c r="L87" i="2" s="1"/>
  <c r="I56" i="2"/>
  <c r="C19" i="4"/>
  <c r="C77" i="4"/>
  <c r="C73" i="4"/>
  <c r="I55" i="2"/>
  <c r="C52" i="4"/>
  <c r="C68" i="4"/>
  <c r="C71" i="4"/>
  <c r="C75" i="4"/>
  <c r="C46" i="4"/>
  <c r="C45" i="4" s="1"/>
  <c r="I42" i="2"/>
  <c r="Y55" i="2" l="1"/>
  <c r="Z55" i="2"/>
  <c r="Y42" i="2"/>
  <c r="Z42" i="2"/>
  <c r="I86" i="2"/>
  <c r="Y56" i="2"/>
  <c r="Z56" i="2"/>
  <c r="Y69" i="2"/>
  <c r="Z69" i="2"/>
  <c r="C48" i="4"/>
  <c r="C15" i="4"/>
  <c r="C10" i="4"/>
  <c r="C6" i="4" s="1"/>
  <c r="C65" i="4"/>
  <c r="C59" i="4"/>
  <c r="C58" i="4" s="1"/>
  <c r="C32" i="4"/>
  <c r="I87" i="2" l="1"/>
  <c r="Y86" i="2"/>
  <c r="Z86" i="2"/>
  <c r="C62" i="4"/>
  <c r="C56" i="4"/>
  <c r="Y87" i="2" l="1"/>
  <c r="Z87" i="2"/>
  <c r="C55" i="4"/>
  <c r="C25" i="4" l="1"/>
  <c r="C14" i="4" s="1"/>
  <c r="C13" i="4" s="1"/>
  <c r="C5" i="4" s="1"/>
  <c r="H69"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5" i="2"/>
  <c r="D65" i="2" s="1"/>
  <c r="B66" i="2"/>
  <c r="D66" i="2" s="1"/>
  <c r="B68" i="2"/>
  <c r="D68" i="2" s="1"/>
  <c r="B69" i="2"/>
  <c r="D69" i="2" s="1"/>
  <c r="B70" i="2"/>
  <c r="D70" i="2" s="1"/>
  <c r="B73" i="2"/>
  <c r="D74" i="2"/>
  <c r="D76" i="2"/>
  <c r="D78" i="2"/>
  <c r="D79" i="2"/>
  <c r="D80" i="2"/>
  <c r="B82" i="2"/>
  <c r="D82" i="2" s="1"/>
  <c r="B84" i="2"/>
  <c r="D84" i="2" s="1"/>
  <c r="B85" i="2"/>
  <c r="D85" i="2" s="1"/>
  <c r="B86" i="2"/>
  <c r="D86" i="2" s="1"/>
  <c r="B87" i="2"/>
  <c r="D87" i="2" s="1"/>
  <c r="B89" i="2"/>
  <c r="D89" i="2" s="1"/>
  <c r="B91" i="2"/>
  <c r="D91" i="2" s="1"/>
  <c r="B92" i="2"/>
  <c r="D92" i="2" s="1"/>
  <c r="B93" i="2"/>
  <c r="D93" i="2" s="1"/>
  <c r="B94" i="2"/>
  <c r="D94" i="2" s="1"/>
  <c r="B96" i="2"/>
  <c r="D96" i="2" s="1"/>
  <c r="B97" i="2"/>
  <c r="D97" i="2" s="1"/>
  <c r="B98" i="2"/>
  <c r="D98" i="2" s="1"/>
  <c r="B99" i="2"/>
  <c r="D99" i="2" s="1"/>
  <c r="B100" i="2"/>
  <c r="D100" i="2" s="1"/>
  <c r="B102" i="2"/>
  <c r="D102" i="2" s="1"/>
  <c r="D103" i="2"/>
  <c r="B106" i="2"/>
  <c r="D106" i="2" s="1"/>
  <c r="B107" i="2"/>
  <c r="D107" i="2" s="1"/>
  <c r="B108" i="2"/>
  <c r="D108" i="2" s="1"/>
  <c r="B109" i="2"/>
  <c r="D109"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B123" i="2"/>
  <c r="D123" i="2" s="1"/>
  <c r="B124" i="2"/>
  <c r="D124" i="2" s="1"/>
  <c r="D2" i="2"/>
  <c r="Y41" i="2" l="1"/>
  <c r="Z41" i="2"/>
  <c r="Y45" i="2"/>
  <c r="Z45" i="2"/>
  <c r="Y12" i="2"/>
  <c r="Z12" i="2"/>
  <c r="Y46" i="2"/>
  <c r="Z46" i="2"/>
  <c r="Y47" i="2"/>
  <c r="Z47" i="2"/>
  <c r="Y49" i="2"/>
  <c r="Z49" i="2"/>
  <c r="Y39" i="2"/>
  <c r="Z39" i="2"/>
  <c r="Y50" i="2"/>
  <c r="Z50" i="2"/>
  <c r="Y51" i="2"/>
  <c r="Z51" i="2"/>
  <c r="Y40" i="2"/>
  <c r="Z40" i="2"/>
  <c r="W69" i="2"/>
  <c r="V69" i="2"/>
  <c r="D73" i="2"/>
  <c r="D72" i="2"/>
  <c r="I36" i="2"/>
  <c r="I35" i="2"/>
  <c r="I34" i="2"/>
  <c r="I32" i="2"/>
  <c r="I31" i="2"/>
  <c r="I30" i="2"/>
  <c r="I26" i="2"/>
  <c r="I25" i="2"/>
  <c r="I24" i="2"/>
  <c r="I22" i="2"/>
  <c r="I21" i="2"/>
  <c r="I20" i="2"/>
  <c r="Y25" i="2" l="1"/>
  <c r="Z25" i="2"/>
  <c r="Y26" i="2"/>
  <c r="Z26" i="2"/>
  <c r="Y31" i="2"/>
  <c r="Z31" i="2"/>
  <c r="Y32" i="2"/>
  <c r="Z32" i="2"/>
  <c r="Y34" i="2"/>
  <c r="Z34" i="2"/>
  <c r="Y20" i="2"/>
  <c r="Z20" i="2"/>
  <c r="Y35" i="2"/>
  <c r="Z35" i="2"/>
  <c r="Y21" i="2"/>
  <c r="Z21" i="2"/>
  <c r="Y36" i="2"/>
  <c r="Z36" i="2"/>
  <c r="Y22" i="2"/>
  <c r="Z22" i="2"/>
  <c r="Y24" i="2"/>
  <c r="Z24"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Y16" i="2"/>
  <c r="Z16" i="2"/>
  <c r="Y15" i="2"/>
  <c r="Z15" i="2"/>
  <c r="I13" i="2"/>
  <c r="I11" i="2"/>
  <c r="Z11" i="2" l="1"/>
  <c r="Y11" i="2"/>
  <c r="Y13" i="2"/>
  <c r="Z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Y4" i="2" l="1"/>
  <c r="Z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tc={1D24D34C-842E-414E-BE3E-0CF48975B672}</author>
    <author>tc={1B3BEBC6-8301-0940-8823-166952F6D7FC}</author>
    <author>tc={F26C2C60-5554-7C46-A2DA-9CC485CDD5A5}</author>
    <author>tc={6A4E3BDC-584F-1346-BF51-598A89836273}</author>
    <author>tc={368934F8-D933-024D-9355-5B191B79D6E7}</author>
    <author>tc={6E7B8F31-3BA2-6E43-928D-71FCFDC70463}</author>
  </authors>
  <commentList>
    <comment ref="H5" authorId="0" shapeId="0" xr:uid="{1D24D34C-842E-414E-BE3E-0CF48975B672}">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63"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4" authorId="2" shapeId="0" xr:uid="{F26C2C60-5554-7C46-A2DA-9CC485CDD5A5}">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3"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5" authorId="4"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H107" authorId="5" shapeId="0" xr:uid="{6E7B8F31-3BA2-6E43-928D-71FCFDC70463}">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List>
</comments>
</file>

<file path=xl/sharedStrings.xml><?xml version="1.0" encoding="utf-8"?>
<sst xmlns="http://schemas.openxmlformats.org/spreadsheetml/2006/main" count="1199" uniqueCount="444">
  <si>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</si>
  <si>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</si>
  <si>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</si>
  <si>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</si>
  <si>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</si>
  <si>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</si>
  <si>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</si>
  <si>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</si>
  <si>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</si>
  <si>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</si>
  <si>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</si>
  <si>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</si>
  <si>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</si>
  <si>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</si>
  <si>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</si>
  <si>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</si>
  <si>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</si>
  <si>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</si>
  <si>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</si>
  <si>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</si>
  <si>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</si>
  <si>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</si>
  <si>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</si>
  <si>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</si>
  <si>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</si>
  <si>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</si>
  <si>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</si>
  <si>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</si>
  <si>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</si>
  <si>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</si>
  <si>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</si>
  <si>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</si>
  <si>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</si>
  <si>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</si>
  <si>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</si>
  <si>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</si>
  <si>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</si>
  <si>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</si>
  <si>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</si>
  <si>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</si>
  <si>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</si>
  <si>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</si>
  <si>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</si>
  <si>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</si>
  <si>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</si>
  <si>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</si>
  <si>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</si>
  <si>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</si>
  <si>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</si>
  <si>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</si>
  <si>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</si>
  <si>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</si>
  <si>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</si>
  <si>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</si>
  <si>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</si>
  <si>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</si>
  <si>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</si>
  <si>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</si>
  <si>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</si>
  <si>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</si>
  <si>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</si>
  <si>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</si>
  <si>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</si>
  <si>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</si>
  <si>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</si>
  <si>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</si>
  <si>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</si>
  <si>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</si>
  <si>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</si>
  <si>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</si>
  <si>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</si>
  <si>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</si>
  <si>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</si>
  <si>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</si>
  <si>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</si>
  <si>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</si>
  <si>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</si>
  <si>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</si>
  <si>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</si>
  <si>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</si>
  <si>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</si>
  <si>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</si>
  <si>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</si>
  <si>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</si>
  <si>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</si>
  <si>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</si>
  <si>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</si>
  <si>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</si>
  <si>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</si>
  <si>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</si>
  <si>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</si>
  <si>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</si>
  <si>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</si>
  <si>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</si>
  <si>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</si>
  <si>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</si>
  <si>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</si>
  <si>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</si>
  <si>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</si>
  <si>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</si>
  <si>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</si>
  <si>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</si>
  <si>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</si>
  <si>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</si>
  <si>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</si>
  <si>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</si>
  <si>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</si>
  <si>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</si>
  <si>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</si>
  <si>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</si>
  <si>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</si>
  <si>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</si>
  <si>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</si>
  <si>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</si>
  <si>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</si>
  <si>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</si>
  <si>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</si>
  <si>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</si>
  <si>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</si>
  <si>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</si>
  <si>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</si>
  <si>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</si>
  <si>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</si>
  <si>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</si>
  <si>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</si>
  <si>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</si>
  <si>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</si>
  <si>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</si>
  <si>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</si>
  <si>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</si>
  <si>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</si>
  <si>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</si>
  <si>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</si>
  <si>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</si>
  <si>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</si>
  <si>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</si>
  <si>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</si>
  <si>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</si>
  <si>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</si>
  <si>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</si>
  <si>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</si>
  <si>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</si>
  <si>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</si>
  <si>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</si>
  <si>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</si>
  <si>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</si>
  <si>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</si>
  <si>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</si>
  <si>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</si>
  <si>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</si>
  <si>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</si>
  <si>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</si>
  <si>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</si>
  <si>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</si>
  <si>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</si>
  <si>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</si>
  <si>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</si>
  <si>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</si>
  <si>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</si>
  <si>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</si>
  <si>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</si>
  <si>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</si>
  <si>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</si>
  <si>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</si>
  <si>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</si>
  <si>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</si>
  <si>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</si>
  <si>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</si>
  <si>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</si>
  <si>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</si>
  <si>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</si>
  <si>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</si>
  <si>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</si>
  <si>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</si>
  <si>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</si>
  <si>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</si>
  <si>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</si>
  <si>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</si>
  <si>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</si>
  <si>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</si>
  <si>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</si>
  <si>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</si>
  <si>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</si>
  <si>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</si>
  <si>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</si>
  <si>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</si>
  <si>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</si>
  <si>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</si>
  <si>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</si>
  <si>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</si>
  <si>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</si>
  <si>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</si>
  <si>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</si>
  <si>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</si>
  <si>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</si>
  <si>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</si>
  <si>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</si>
  <si>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</si>
  <si>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</si>
  <si>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</si>
  <si>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</si>
  <si>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</si>
  <si>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</si>
  <si>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</si>
  <si>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</si>
  <si>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</si>
  <si>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</si>
  <si>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</si>
  <si>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</si>
  <si>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</si>
  <si>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</si>
  <si>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</si>
  <si>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</si>
  <si>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</si>
  <si>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</si>
  <si>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</si>
  <si>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</si>
  <si>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</si>
  <si>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</si>
  <si>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</si>
  <si>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</si>
  <si>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</si>
  <si>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</si>
  <si>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</si>
  <si>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</si>
  <si>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</si>
  <si>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</si>
  <si>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</si>
  <si>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</si>
  <si>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</si>
  <si>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</si>
  <si>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</si>
  <si>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</si>
  <si>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</si>
  <si>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</si>
  <si>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</si>
  <si>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</si>
  <si>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</si>
  <si>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</si>
  <si>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</si>
  <si>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</si>
  <si>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</si>
  <si>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</si>
  <si>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</si>
  <si>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</si>
  <si>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</si>
  <si>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</si>
  <si>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</si>
  <si>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</si>
  <si>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</si>
  <si>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</si>
  <si>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</si>
  <si>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</si>
  <si>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</si>
  <si>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</si>
  <si>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</si>
  <si>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</si>
  <si>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</si>
  <si>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</si>
  <si>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</si>
  <si>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</si>
  <si>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</si>
  <si>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</si>
  <si>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</si>
  <si>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</si>
  <si>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</si>
  <si>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</si>
  <si>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</si>
  <si>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</si>
  <si>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</si>
  <si>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</si>
  <si>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</si>
  <si>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</si>
  <si>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</si>
  <si>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</si>
  <si>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</si>
  <si>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</si>
  <si>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</si>
  <si>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</si>
  <si>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</si>
  <si>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</si>
  <si>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</si>
  <si>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</si>
  <si>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</si>
  <si>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</si>
  <si>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</si>
  <si>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</si>
  <si>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</si>
  <si>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</si>
  <si>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</si>
  <si>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</si>
  <si>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</si>
  <si>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</si>
  <si>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</si>
  <si>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</si>
  <si>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</si>
  <si>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</si>
  <si>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</si>
  <si>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</si>
  <si>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</si>
  <si>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</si>
  <si>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</si>
  <si>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</si>
  <si>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</si>
  <si>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</si>
  <si>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</si>
  <si>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</si>
  <si>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</si>
  <si>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</si>
  <si>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</si>
  <si>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</si>
  <si>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</si>
  <si>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</si>
  <si>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</si>
  <si>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</si>
  <si>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</si>
  <si>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</si>
  <si>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</si>
  <si>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</si>
  <si>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</si>
  <si>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</si>
  <si>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</si>
  <si>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</si>
  <si>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</si>
  <si>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</si>
  <si>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</si>
  <si>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</si>
  <si>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</si>
  <si>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</si>
  <si>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</si>
  <si>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</si>
  <si>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</si>
  <si>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</si>
  <si>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</si>
  <si>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</si>
  <si>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</si>
  <si>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</si>
  <si>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</si>
  <si>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</si>
  <si>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</si>
  <si>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</si>
  <si>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</si>
  <si>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</si>
  <si>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</si>
  <si>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</si>
  <si>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</si>
  <si>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</si>
  <si>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</si>
  <si>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</si>
  <si>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</si>
  <si>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</si>
  <si>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</si>
  <si>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</si>
  <si>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</si>
  <si>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</si>
  <si>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</si>
  <si>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</si>
  <si>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</si>
  <si>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</si>
  <si>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</si>
  <si>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</si>
  <si>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</si>
  <si>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</si>
  <si>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</si>
  <si>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</si>
  <si>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</si>
  <si>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</si>
  <si>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</si>
  <si>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</si>
  <si>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</si>
  <si>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</si>
  <si>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</si>
  <si>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</si>
  <si>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</si>
  <si>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</si>
  <si>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</si>
  <si>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</si>
  <si>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</si>
  <si>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</si>
  <si>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</si>
  <si>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</si>
  <si>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</si>
  <si>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</si>
  <si>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</si>
  <si>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</si>
  <si>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</si>
  <si>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</si>
  <si>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</si>
  <si>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</si>
  <si>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</si>
  <si>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</si>
  <si>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</si>
  <si>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</si>
  <si>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</si>
  <si>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</si>
  <si>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</si>
  <si>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</si>
  <si>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</si>
  <si>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</si>
  <si>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</si>
  <si>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</si>
  <si>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</si>
  <si>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</si>
  <si>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</si>
  <si>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</si>
  <si>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</si>
  <si>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</si>
  <si>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</si>
  <si>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</si>
  <si>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</si>
  <si>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</si>
  <si>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In Vessel Shield Mass</t>
  </si>
  <si>
    <t>Out Of Vessel Shield Mass</t>
  </si>
  <si>
    <t>Turbine Building Exterior Walls Volume</t>
  </si>
  <si>
    <t>Be</t>
  </si>
  <si>
    <t>In Vessel Shield Material</t>
  </si>
  <si>
    <t>Out Of Vessel Shield Material</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</si>
  <si>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</si>
  <si>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</si>
  <si>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</si>
  <si>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No Learning</t>
  </si>
  <si>
    <t>Onsite Learning</t>
  </si>
  <si>
    <t>Factory Primary Structure</t>
  </si>
  <si>
    <t>Factory Drums</t>
  </si>
  <si>
    <t>Factory Other</t>
  </si>
  <si>
    <t>NRC Website</t>
  </si>
  <si>
    <t>https://www.nrc.gov/about-nrc/regulatory/licensing/general-fee-questions.pdf</t>
  </si>
  <si>
    <t>Licensing Learning</t>
  </si>
  <si>
    <t>Assumed Onsite Learning Rate</t>
  </si>
  <si>
    <t>FOAK to NOAK Multipliers</t>
  </si>
  <si>
    <t>Assumed Number Of Units For Onsite Learning</t>
  </si>
  <si>
    <t>Exponent Min</t>
  </si>
  <si>
    <t>Exponent Max</t>
  </si>
  <si>
    <t>Exponent std</t>
  </si>
  <si>
    <t>Fixed Cost Low End</t>
  </si>
  <si>
    <t>Fixed Cost High End</t>
  </si>
  <si>
    <t>Unit Cost Low End</t>
  </si>
  <si>
    <t>Unit Cost High End</t>
  </si>
  <si>
    <t>Fixed Cost Distribution</t>
  </si>
  <si>
    <t>Lognormal</t>
  </si>
  <si>
    <t>Unit Cost Distribution</t>
  </si>
  <si>
    <t>Exponent Distribution</t>
  </si>
  <si>
    <t>Truncated Normal</t>
  </si>
  <si>
    <t>Uniform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</si>
</sst>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36"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383A42"/>
      <name val="Menlo"/>
      <family val="2"/>
    </font>
    <font>
      <sz val="10"/>
      <color rgb="FF000000"/>
      <name val="Tahoma"/>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6">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28" fillId="0" borderId="2" xfId="0" applyFont="1" applyBorder="1" applyAlignment="1">
      <alignment horizontal="center" vertical="center" wrapText="1"/>
    </xf>
    <xf numFmtId="0" fontId="31" fillId="0" borderId="2" xfId="0" applyFont="1" applyBorder="1" applyAlignment="1">
      <alignment horizontal="center" wrapText="1"/>
    </xf>
    <xf numFmtId="0" fontId="19" fillId="0" borderId="1" xfId="2" applyFont="1" applyFill="1" applyBorder="1" applyAlignment="1">
      <alignment horizontal="left" wrapText="1"/>
    </xf>
    <xf numFmtId="169" fontId="10" fillId="0" borderId="0" xfId="0" applyNumberFormat="1" applyFont="1"/>
    <xf numFmtId="0" fontId="34" fillId="0" borderId="0" xfId="0" applyFont="1"/>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0" fillId="0" borderId="0" xfId="0" applyAlignment="1">
      <alignment horizontal="center" wrapText="1"/>
    </xf>
    <xf numFmtId="0" fontId="5" fillId="0" borderId="1" xfId="2" applyBorder="1" applyAlignment="1">
      <alignment horizontal="left"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5">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theme="6" tint="0.7999816888943144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D24D34C-842E-414E-BE3E-0CF48975B672}">
    <text>the average of two values in the NRC website</text>
  </threadedComment>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4" dT="2025-05-24T19:25:31.03" personId="{84112BF8-C915-7B4B-BE8E-B816F75B981C}" id="{F26C2C60-5554-7C46-A2DA-9CC485CDD5A5}">
    <text xml:space="preserve">Since the cost of the BeO of the drums was not available, the cost of the BeO reflector is divided by its mass to get a unit cost for the BeO
</text>
  </threadedComment>
  <threadedComment ref="L69" dT="2025-05-27T17:51:06.88" personId="{84112BF8-C915-7B4B-BE8E-B816F75B981C}" id="{6A4E3BDC-584F-1346-BF51-598A89836273}">
    <text>Cost data about B4C are based on the B4C of the control drums</text>
  </threadedComment>
  <threadedComment ref="J75" dT="2025-05-27T22:16:31.29" personId="{84112BF8-C915-7B4B-BE8E-B816F75B981C}" id="{368934F8-D933-024D-9355-5B191B79D6E7}">
    <text xml:space="preserve">The primary pump needs to be expensive!!
</text>
  </threadedComment>
  <threadedComment ref="H107" dT="2025-06-19T23:17:33.50" personId="{84112BF8-C915-7B4B-BE8E-B816F75B981C}" id="{6E7B8F31-3BA2-6E43-928D-71FCFDC70463}">
    <text>The cost is multiplied by 0.5 since the
 shipping included international shipping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7" Type="http://schemas.microsoft.com/office/2017/10/relationships/threadedComment" Target="../threadedComments/threadedComment1.xm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nrc.gov/about-nrc/regulatory/licensing/general-fee-questions.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24"/>
  <sheetViews>
    <sheetView tabSelected="1" zoomScale="125" zoomScaleNormal="63" workbookViewId="0">
      <pane xSplit="1" topLeftCell="S1" activePane="topRight" state="frozen"/>
      <selection pane="topRight" activeCell="V6" sqref="V6"/>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22" width="16" style="6" customWidth="1"/>
    <col min="23" max="24" width="13.6640625" style="6" customWidth="1"/>
    <col min="25" max="25" width="10.83203125" style="6"/>
    <col min="26" max="27" width="14.33203125" style="6" customWidth="1"/>
    <col min="28" max="28" width="12.6640625" style="6" customWidth="1"/>
    <col min="29" max="29" width="14.33203125" style="6" customWidth="1"/>
    <col min="30" max="30" width="10.83203125" style="6"/>
    <col min="31" max="31" width="14.33203125" style="6" customWidth="1"/>
    <col min="32" max="16384" width="10.83203125" style="6"/>
  </cols>
  <sheetData>
    <row r="1" spans="1:34" s="10" customFormat="1" ht="31" customHeight="1" thickBot="1" x14ac:dyDescent="0.25">
      <c r="A1" s="13" t="s">
        <v>0</v>
      </c>
      <c r="B1" s="14" t="s">
        <v>116</v>
      </c>
      <c r="C1" s="13" t="s">
        <v>117</v>
      </c>
      <c r="D1" s="14" t="s">
        <v>1</v>
      </c>
      <c r="E1" s="14" t="s">
        <v>344</v>
      </c>
      <c r="F1" s="14" t="s">
        <v>328</v>
      </c>
      <c r="G1" s="14" t="s">
        <v>329</v>
      </c>
      <c r="H1" s="13" t="s">
        <v>352</v>
      </c>
      <c r="I1" s="13" t="s">
        <v>393</v>
      </c>
      <c r="J1" s="13" t="s">
        <v>50</v>
      </c>
      <c r="K1" s="15" t="s">
        <v>64</v>
      </c>
      <c r="L1" s="13" t="s">
        <v>65</v>
      </c>
      <c r="M1" s="13" t="s">
        <v>66</v>
      </c>
      <c r="N1" s="13" t="s">
        <v>48</v>
      </c>
      <c r="O1" s="13" t="s">
        <v>49</v>
      </c>
      <c r="P1" s="13" t="s">
        <v>76</v>
      </c>
      <c r="Q1" s="13" t="s">
        <v>51</v>
      </c>
      <c r="R1" s="13" t="s">
        <v>54</v>
      </c>
      <c r="S1" s="13" t="s">
        <v>55</v>
      </c>
      <c r="T1" s="13" t="s">
        <v>62</v>
      </c>
      <c r="U1" s="10" t="s">
        <v>419</v>
      </c>
      <c r="V1" s="10" t="s">
        <v>434</v>
      </c>
      <c r="W1" s="10" t="s">
        <v>435</v>
      </c>
      <c r="X1" s="10" t="s">
        <v>438</v>
      </c>
      <c r="Y1" s="10" t="s">
        <v>436</v>
      </c>
      <c r="Z1" s="10" t="s">
        <v>437</v>
      </c>
      <c r="AA1" s="10" t="s">
        <v>440</v>
      </c>
      <c r="AB1" s="10" t="s">
        <v>433</v>
      </c>
      <c r="AC1" s="10" t="s">
        <v>432</v>
      </c>
      <c r="AD1" s="10" t="s">
        <v>431</v>
      </c>
      <c r="AE1" s="10" t="s">
        <v>441</v>
      </c>
    </row>
    <row r="2" spans="1:34"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c r="U2" s="6"/>
      <c r="V2" s="6"/>
      <c r="W2" s="6"/>
      <c r="X2" s="6"/>
      <c r="Y2" s="6"/>
      <c r="Z2" s="6"/>
      <c r="AA2" s="6"/>
      <c r="AB2" s="6"/>
      <c r="AC2" s="6"/>
      <c r="AD2" s="6"/>
      <c r="AE2" s="6"/>
      <c r="AH2" s="107"/>
    </row>
    <row r="3" spans="1:34" ht="25" customHeight="1" thickBot="1" x14ac:dyDescent="0.25">
      <c r="A3" s="21">
        <v>11</v>
      </c>
      <c r="B3" s="17">
        <f t="shared" ref="B3:B88" si="0">IF(ISNUMBER(A3),
    IF(AND(A3=INT(A3), MOD(A3, 10) = 0), 0,
        IF(AND(A3=INT(A3), LEN(A3)=2), 1,
            IF(AND(A3=INT(A3), LEN(A3)=3), 2,
                LEN(A3) - FIND(".", A3) + 2)
        )
    ),
"")</f>
        <v>1</v>
      </c>
      <c r="C3" s="22" t="s">
        <v>3</v>
      </c>
      <c r="D3" s="19" t="str">
        <f t="shared" ref="D3:D86" si="1">REPT("   ", B3*2) &amp; C3</f>
        <v xml:space="preserve">      Land Cost</v>
      </c>
      <c r="E3" s="19" t="s">
        <v>345</v>
      </c>
      <c r="F3" s="19"/>
      <c r="G3" s="19"/>
      <c r="H3" s="5"/>
      <c r="I3" s="65">
        <v>3800</v>
      </c>
      <c r="J3" s="23" t="s">
        <v>70</v>
      </c>
      <c r="K3" s="23" t="s">
        <v>68</v>
      </c>
      <c r="L3" s="24">
        <v>1</v>
      </c>
      <c r="M3" s="23" t="s">
        <v>78</v>
      </c>
      <c r="N3" s="23">
        <v>1</v>
      </c>
      <c r="O3" s="23">
        <v>2022</v>
      </c>
      <c r="P3" s="23" t="s">
        <v>75</v>
      </c>
      <c r="Q3" s="25" t="s">
        <v>53</v>
      </c>
      <c r="R3" s="110" t="s">
        <v>141</v>
      </c>
      <c r="S3" s="126" t="s">
        <v>56</v>
      </c>
      <c r="T3" s="26"/>
      <c r="U3" s="6" t="s">
        <v>420</v>
      </c>
      <c r="V3" s="6">
        <f t="shared" ref="V3:V4" si="2">0.9*H3</f>
        <v>0</v>
      </c>
      <c r="W3" s="6">
        <f t="shared" ref="W3:W66" si="3">1.3*H3</f>
        <v>0</v>
      </c>
      <c r="X3" s="6" t="s">
        <v>439</v>
      </c>
      <c r="Y3" s="6">
        <f t="shared" ref="Y3:Y7" si="4">0.9*I3</f>
        <v>3420</v>
      </c>
      <c r="Z3" s="6">
        <f t="shared" ref="Z3:Z7" si="5">1.3*I3</f>
        <v>4940</v>
      </c>
      <c r="AA3" s="6" t="s">
        <v>439</v>
      </c>
      <c r="AB3" s="6">
        <v>0.1</v>
      </c>
      <c r="AC3" s="6">
        <v>1</v>
      </c>
      <c r="AD3" s="6">
        <v>0</v>
      </c>
      <c r="AE3" s="6" t="s">
        <v>442</v>
      </c>
      <c r="AH3" s="107"/>
    </row>
    <row r="4" spans="1:34" ht="16" thickBot="1" x14ac:dyDescent="0.25">
      <c r="A4" s="21">
        <v>12</v>
      </c>
      <c r="B4" s="17">
        <f t="shared" si="0"/>
        <v>1</v>
      </c>
      <c r="C4" s="22" t="s">
        <v>52</v>
      </c>
      <c r="D4" s="19" t="str">
        <f t="shared" si="1"/>
        <v xml:space="preserve">      Site Permits</v>
      </c>
      <c r="E4" s="19" t="s">
        <v>345</v>
      </c>
      <c r="F4" s="19"/>
      <c r="G4" s="19"/>
      <c r="H4" s="5"/>
      <c r="I4" s="65">
        <f>10.03*1000</f>
        <v>10030</v>
      </c>
      <c r="J4" s="23" t="s">
        <v>67</v>
      </c>
      <c r="K4" s="23" t="s">
        <v>71</v>
      </c>
      <c r="L4" s="24">
        <v>1</v>
      </c>
      <c r="M4" s="23" t="s">
        <v>69</v>
      </c>
      <c r="N4" s="23">
        <v>0.7</v>
      </c>
      <c r="O4" s="23">
        <v>2022</v>
      </c>
      <c r="P4" s="23" t="s">
        <v>72</v>
      </c>
      <c r="Q4" s="25" t="s">
        <v>57</v>
      </c>
      <c r="R4" s="110"/>
      <c r="S4" s="126"/>
      <c r="T4" s="26"/>
      <c r="U4" s="6" t="s">
        <v>420</v>
      </c>
      <c r="V4" s="6">
        <f t="shared" si="2"/>
        <v>0</v>
      </c>
      <c r="W4" s="6">
        <f t="shared" si="3"/>
        <v>0</v>
      </c>
      <c r="X4" s="6" t="s">
        <v>439</v>
      </c>
      <c r="Y4" s="6">
        <f t="shared" si="4"/>
        <v>9027</v>
      </c>
      <c r="Z4" s="6">
        <f t="shared" si="5"/>
        <v>13039</v>
      </c>
      <c r="AA4" s="6" t="s">
        <v>439</v>
      </c>
      <c r="AB4" s="6">
        <v>0.1</v>
      </c>
      <c r="AC4" s="6">
        <v>1</v>
      </c>
      <c r="AD4" s="6">
        <v>0</v>
      </c>
      <c r="AE4" s="6" t="s">
        <v>442</v>
      </c>
      <c r="AH4" s="107"/>
    </row>
    <row r="5" spans="1:34" ht="16" customHeight="1" thickBot="1" x14ac:dyDescent="0.25">
      <c r="A5" s="21">
        <v>13</v>
      </c>
      <c r="B5" s="17">
        <f t="shared" si="0"/>
        <v>1</v>
      </c>
      <c r="C5" s="22" t="s">
        <v>4</v>
      </c>
      <c r="D5" s="19" t="str">
        <f t="shared" si="1"/>
        <v xml:space="preserve">      Plant Licensing</v>
      </c>
      <c r="E5" s="19" t="s">
        <v>345</v>
      </c>
      <c r="F5" s="19"/>
      <c r="G5" s="19"/>
      <c r="H5" s="27">
        <f>1000000*(45+70)/2</f>
        <v>57500000</v>
      </c>
      <c r="I5" s="66"/>
      <c r="J5" s="24"/>
      <c r="K5" s="5"/>
      <c r="L5" s="24"/>
      <c r="M5" s="23"/>
      <c r="N5" s="23"/>
      <c r="O5" s="23">
        <v>2024</v>
      </c>
      <c r="P5" s="23" t="s">
        <v>72</v>
      </c>
      <c r="Q5" s="28" t="s">
        <v>425</v>
      </c>
      <c r="R5" s="145" t="s">
        <v>426</v>
      </c>
      <c r="S5" s="17" t="s">
        <v>426</v>
      </c>
      <c r="T5" s="26"/>
      <c r="U5" s="6" t="s">
        <v>427</v>
      </c>
      <c r="V5" s="106">
        <f>45*1000000</f>
        <v>45000000</v>
      </c>
      <c r="W5" s="6">
        <f>70*1000000</f>
        <v>70000000</v>
      </c>
      <c r="X5" s="6" t="s">
        <v>443</v>
      </c>
      <c r="Y5" s="6">
        <f t="shared" si="4"/>
        <v>0</v>
      </c>
      <c r="Z5" s="6">
        <f t="shared" si="5"/>
        <v>0</v>
      </c>
      <c r="AA5" s="6" t="s">
        <v>439</v>
      </c>
      <c r="AB5" s="6">
        <v>0.1</v>
      </c>
      <c r="AC5" s="6">
        <v>1</v>
      </c>
      <c r="AD5" s="6">
        <v>0</v>
      </c>
      <c r="AE5" s="6" t="s">
        <v>442</v>
      </c>
      <c r="AH5" s="107"/>
    </row>
    <row r="6" spans="1:34" ht="76" thickBot="1" x14ac:dyDescent="0.25">
      <c r="A6" s="21">
        <v>14</v>
      </c>
      <c r="B6" s="17">
        <f t="shared" si="0"/>
        <v>1</v>
      </c>
      <c r="C6" s="22" t="s">
        <v>120</v>
      </c>
      <c r="D6" s="19" t="str">
        <f t="shared" si="1"/>
        <v xml:space="preserve">      Plant Permits</v>
      </c>
      <c r="E6" s="19" t="s">
        <v>345</v>
      </c>
      <c r="F6" s="19"/>
      <c r="G6" s="19"/>
      <c r="H6" s="27">
        <v>3000000</v>
      </c>
      <c r="I6" s="66"/>
      <c r="J6" s="24"/>
      <c r="K6" s="5"/>
      <c r="L6" s="24"/>
      <c r="M6" s="23"/>
      <c r="N6" s="23"/>
      <c r="O6" s="23">
        <v>2009</v>
      </c>
      <c r="P6" s="23" t="s">
        <v>72</v>
      </c>
      <c r="Q6" s="28" t="s">
        <v>58</v>
      </c>
      <c r="R6" s="25" t="s">
        <v>142</v>
      </c>
      <c r="S6" s="105" t="s">
        <v>59</v>
      </c>
      <c r="T6" s="26"/>
      <c r="U6" s="6" t="s">
        <v>420</v>
      </c>
      <c r="V6" s="106">
        <f t="shared" ref="V6:V69" si="6">0.9*H6</f>
        <v>2700000</v>
      </c>
      <c r="W6" s="6">
        <f t="shared" si="3"/>
        <v>3900000</v>
      </c>
      <c r="X6" s="6" t="s">
        <v>439</v>
      </c>
      <c r="Y6" s="6">
        <f t="shared" si="4"/>
        <v>0</v>
      </c>
      <c r="Z6" s="6">
        <f t="shared" si="5"/>
        <v>0</v>
      </c>
      <c r="AA6" s="6" t="s">
        <v>439</v>
      </c>
      <c r="AB6" s="6">
        <v>0.1</v>
      </c>
      <c r="AC6" s="6">
        <v>1</v>
      </c>
      <c r="AD6" s="6">
        <v>0</v>
      </c>
      <c r="AE6" s="6" t="s">
        <v>442</v>
      </c>
      <c r="AH6" s="107"/>
    </row>
    <row r="7" spans="1:34" ht="24" customHeight="1" thickBot="1" x14ac:dyDescent="0.25">
      <c r="A7" s="21">
        <v>15</v>
      </c>
      <c r="B7" s="17">
        <f t="shared" si="0"/>
        <v>1</v>
      </c>
      <c r="C7" s="22" t="s">
        <v>5</v>
      </c>
      <c r="D7" s="19" t="str">
        <f t="shared" si="1"/>
        <v xml:space="preserve">      Plant Studies</v>
      </c>
      <c r="E7" s="19" t="s">
        <v>345</v>
      </c>
      <c r="F7" s="19"/>
      <c r="G7" s="19"/>
      <c r="H7" s="27">
        <f>MARVEL_Cost!C4</f>
        <v>5210451</v>
      </c>
      <c r="I7" s="66"/>
      <c r="J7" s="24"/>
      <c r="K7" s="5"/>
      <c r="L7" s="24"/>
      <c r="M7" s="23"/>
      <c r="N7" s="23"/>
      <c r="O7" s="23">
        <v>2024</v>
      </c>
      <c r="P7" s="23" t="s">
        <v>72</v>
      </c>
      <c r="Q7" s="25" t="s">
        <v>60</v>
      </c>
      <c r="R7" s="25" t="s">
        <v>143</v>
      </c>
      <c r="S7" s="26" t="s">
        <v>61</v>
      </c>
      <c r="T7" s="23" t="s">
        <v>63</v>
      </c>
      <c r="U7" s="6" t="s">
        <v>420</v>
      </c>
      <c r="V7" s="106">
        <f t="shared" si="6"/>
        <v>4689405.9000000004</v>
      </c>
      <c r="W7" s="6">
        <f t="shared" si="3"/>
        <v>6773586.2999999998</v>
      </c>
      <c r="X7" s="6" t="s">
        <v>439</v>
      </c>
      <c r="Y7" s="6">
        <f t="shared" si="4"/>
        <v>0</v>
      </c>
      <c r="Z7" s="6">
        <f t="shared" si="5"/>
        <v>0</v>
      </c>
      <c r="AA7" s="6" t="s">
        <v>439</v>
      </c>
      <c r="AB7" s="6">
        <v>0.1</v>
      </c>
      <c r="AC7" s="6">
        <v>1</v>
      </c>
      <c r="AD7" s="6">
        <v>0</v>
      </c>
      <c r="AE7" s="6" t="s">
        <v>442</v>
      </c>
      <c r="AH7" s="107"/>
    </row>
    <row r="8" spans="1:34"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c r="V8" s="106">
        <f t="shared" si="6"/>
        <v>0</v>
      </c>
      <c r="AH8" s="107"/>
    </row>
    <row r="9" spans="1:34"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c r="V9" s="106">
        <f t="shared" si="6"/>
        <v>0</v>
      </c>
      <c r="AH9" s="107"/>
    </row>
    <row r="10" spans="1:34" ht="16" thickBot="1" x14ac:dyDescent="0.25">
      <c r="A10" s="32">
        <v>211</v>
      </c>
      <c r="B10" s="17">
        <f t="shared" si="0"/>
        <v>2</v>
      </c>
      <c r="C10" s="22" t="s">
        <v>99</v>
      </c>
      <c r="D10" s="19" t="str">
        <f t="shared" si="1"/>
        <v xml:space="preserve">            Site Preparation/ Yard Work</v>
      </c>
      <c r="E10" s="19"/>
      <c r="F10" s="19"/>
      <c r="G10" s="19"/>
      <c r="H10" s="27"/>
      <c r="I10" s="67"/>
      <c r="J10" s="5"/>
      <c r="K10" s="5"/>
      <c r="L10" s="5"/>
      <c r="M10" s="5"/>
      <c r="N10" s="5"/>
      <c r="O10" s="5"/>
      <c r="P10" s="5"/>
      <c r="Q10" s="31"/>
      <c r="R10" s="5"/>
      <c r="S10" s="5"/>
      <c r="T10" s="26"/>
      <c r="V10" s="106">
        <f t="shared" si="6"/>
        <v>0</v>
      </c>
      <c r="AH10" s="107"/>
    </row>
    <row r="11" spans="1:34" ht="16" thickBot="1" x14ac:dyDescent="0.25">
      <c r="A11" s="33">
        <v>211.1</v>
      </c>
      <c r="B11" s="17">
        <f t="shared" si="0"/>
        <v>3</v>
      </c>
      <c r="C11" s="22" t="s">
        <v>100</v>
      </c>
      <c r="D11" s="19" t="str">
        <f t="shared" si="1"/>
        <v xml:space="preserve">                  Cleaning and Grubbing</v>
      </c>
      <c r="E11" s="19" t="s">
        <v>345</v>
      </c>
      <c r="F11" s="19"/>
      <c r="G11" s="19"/>
      <c r="H11" s="27"/>
      <c r="I11" s="65">
        <f>4408.18*1.33</f>
        <v>5862.8794000000007</v>
      </c>
      <c r="J11" s="23" t="s">
        <v>70</v>
      </c>
      <c r="K11" s="23" t="s">
        <v>68</v>
      </c>
      <c r="L11" s="5">
        <v>1</v>
      </c>
      <c r="M11" s="23" t="s">
        <v>78</v>
      </c>
      <c r="N11" s="5">
        <v>1</v>
      </c>
      <c r="O11" s="23">
        <v>2024</v>
      </c>
      <c r="P11" s="34" t="s">
        <v>85</v>
      </c>
      <c r="Q11" s="122" t="s">
        <v>82</v>
      </c>
      <c r="R11" s="110" t="s">
        <v>83</v>
      </c>
      <c r="S11" s="111" t="s">
        <v>84</v>
      </c>
      <c r="T11" s="26"/>
      <c r="U11" s="6" t="s">
        <v>421</v>
      </c>
      <c r="V11" s="106">
        <f t="shared" si="6"/>
        <v>0</v>
      </c>
      <c r="W11" s="6">
        <f t="shared" si="3"/>
        <v>0</v>
      </c>
      <c r="X11" s="6" t="s">
        <v>439</v>
      </c>
      <c r="Y11" s="6">
        <f t="shared" ref="Y11:Y72" si="7">0.9*I11</f>
        <v>5276.5914600000006</v>
      </c>
      <c r="Z11" s="6">
        <f t="shared" ref="Z11:Z72" si="8">1.3*I11</f>
        <v>7621.7432200000012</v>
      </c>
      <c r="AA11" s="6" t="s">
        <v>439</v>
      </c>
      <c r="AB11" s="6">
        <v>0.1</v>
      </c>
      <c r="AC11" s="6">
        <v>1</v>
      </c>
      <c r="AD11" s="6">
        <v>0</v>
      </c>
      <c r="AE11" s="6" t="s">
        <v>442</v>
      </c>
      <c r="AH11" s="107"/>
    </row>
    <row r="12" spans="1:34" ht="16" thickBot="1" x14ac:dyDescent="0.25">
      <c r="A12" s="32">
        <v>211.2</v>
      </c>
      <c r="B12" s="17">
        <f>IF(ISNUMBER(A12),
    IF(AND(A12=INT(A12), MOD(A12, 10) = 0), 0,
        IF(AND(A12=INT(A12), LEN(A12)=2), 1,
            IF(AND(A12=INT(A12), LEN(A12)=3), 2,
                LEN(A12) - FIND(".", A12) + 2)
        )
    ),
"")</f>
        <v>3</v>
      </c>
      <c r="C12" s="22" t="s">
        <v>101</v>
      </c>
      <c r="D12" s="19" t="str">
        <f t="shared" si="1"/>
        <v xml:space="preserve">                  Stripping Topsoil</v>
      </c>
      <c r="E12" s="19" t="s">
        <v>345</v>
      </c>
      <c r="F12" s="19"/>
      <c r="G12" s="19"/>
      <c r="H12" s="27"/>
      <c r="I12" s="65">
        <f>2565.2*1.33</f>
        <v>3411.7159999999999</v>
      </c>
      <c r="J12" s="23" t="s">
        <v>70</v>
      </c>
      <c r="K12" s="23" t="s">
        <v>68</v>
      </c>
      <c r="L12" s="5">
        <v>1</v>
      </c>
      <c r="M12" s="23" t="s">
        <v>78</v>
      </c>
      <c r="N12" s="5">
        <v>1</v>
      </c>
      <c r="O12" s="23">
        <v>2024</v>
      </c>
      <c r="P12" s="34" t="s">
        <v>85</v>
      </c>
      <c r="Q12" s="122"/>
      <c r="R12" s="110"/>
      <c r="S12" s="112"/>
      <c r="T12" s="26"/>
      <c r="U12" s="6" t="s">
        <v>421</v>
      </c>
      <c r="V12" s="106">
        <f t="shared" si="6"/>
        <v>0</v>
      </c>
      <c r="W12" s="6">
        <f t="shared" si="3"/>
        <v>0</v>
      </c>
      <c r="X12" s="6" t="s">
        <v>439</v>
      </c>
      <c r="Y12" s="6">
        <f t="shared" si="7"/>
        <v>3070.5443999999998</v>
      </c>
      <c r="Z12" s="6">
        <f t="shared" si="8"/>
        <v>4435.2308000000003</v>
      </c>
      <c r="AA12" s="6" t="s">
        <v>439</v>
      </c>
      <c r="AB12" s="6">
        <v>0.1</v>
      </c>
      <c r="AC12" s="6">
        <v>1</v>
      </c>
      <c r="AD12" s="6">
        <v>0</v>
      </c>
      <c r="AE12" s="6" t="s">
        <v>442</v>
      </c>
      <c r="AH12" s="107"/>
    </row>
    <row r="13" spans="1:34" ht="16" thickBot="1" x14ac:dyDescent="0.25">
      <c r="A13" s="32">
        <v>211.3</v>
      </c>
      <c r="B13" s="17">
        <f t="shared" si="0"/>
        <v>3</v>
      </c>
      <c r="C13" s="22" t="s">
        <v>102</v>
      </c>
      <c r="D13" s="19" t="str">
        <f t="shared" si="1"/>
        <v xml:space="preserve">                  Excavation</v>
      </c>
      <c r="E13" s="19" t="s">
        <v>345</v>
      </c>
      <c r="F13" s="19"/>
      <c r="G13" s="19"/>
      <c r="H13" s="27"/>
      <c r="I13" s="65">
        <f>22.86*1.4</f>
        <v>32.003999999999998</v>
      </c>
      <c r="J13" s="23" t="s">
        <v>79</v>
      </c>
      <c r="K13" s="23" t="s">
        <v>80</v>
      </c>
      <c r="L13" s="5">
        <v>1</v>
      </c>
      <c r="M13" s="23" t="s">
        <v>81</v>
      </c>
      <c r="N13" s="5">
        <v>1</v>
      </c>
      <c r="O13" s="23">
        <v>2024</v>
      </c>
      <c r="P13" s="34" t="s">
        <v>85</v>
      </c>
      <c r="Q13" s="122"/>
      <c r="R13" s="110"/>
      <c r="S13" s="112"/>
      <c r="T13" s="26"/>
      <c r="U13" s="6" t="s">
        <v>421</v>
      </c>
      <c r="V13" s="106">
        <f t="shared" si="6"/>
        <v>0</v>
      </c>
      <c r="W13" s="6">
        <f t="shared" si="3"/>
        <v>0</v>
      </c>
      <c r="X13" s="6" t="s">
        <v>439</v>
      </c>
      <c r="Y13" s="6">
        <f t="shared" si="7"/>
        <v>28.803599999999999</v>
      </c>
      <c r="Z13" s="6">
        <f t="shared" si="8"/>
        <v>41.605199999999996</v>
      </c>
      <c r="AA13" s="6" t="s">
        <v>439</v>
      </c>
      <c r="AB13" s="6">
        <v>0.1</v>
      </c>
      <c r="AC13" s="6">
        <v>1</v>
      </c>
      <c r="AD13" s="6">
        <v>0</v>
      </c>
      <c r="AE13" s="6" t="s">
        <v>442</v>
      </c>
      <c r="AH13" s="107"/>
    </row>
    <row r="14" spans="1:34"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c r="V14" s="106">
        <f t="shared" si="6"/>
        <v>0</v>
      </c>
      <c r="AH14" s="107"/>
    </row>
    <row r="15" spans="1:34" ht="31" thickBot="1" x14ac:dyDescent="0.25">
      <c r="A15" s="36">
        <v>212.1</v>
      </c>
      <c r="B15" s="17">
        <f t="shared" si="0"/>
        <v>3</v>
      </c>
      <c r="C15" s="30" t="s">
        <v>103</v>
      </c>
      <c r="D15" s="19" t="str">
        <f t="shared" si="1"/>
        <v xml:space="preserve">                  Reactor Building Slab Roof</v>
      </c>
      <c r="E15" s="19" t="s">
        <v>345</v>
      </c>
      <c r="G15" s="19"/>
      <c r="H15" s="27"/>
      <c r="I15" s="65">
        <f>1200 *1.53</f>
        <v>1836</v>
      </c>
      <c r="J15" s="23" t="s">
        <v>79</v>
      </c>
      <c r="K15" s="25" t="s">
        <v>86</v>
      </c>
      <c r="L15" s="5">
        <v>1</v>
      </c>
      <c r="M15" s="23" t="s">
        <v>81</v>
      </c>
      <c r="N15" s="5">
        <v>1</v>
      </c>
      <c r="O15" s="23">
        <v>2024</v>
      </c>
      <c r="P15" s="23" t="s">
        <v>77</v>
      </c>
      <c r="Q15" s="122" t="s">
        <v>82</v>
      </c>
      <c r="R15" s="110" t="s">
        <v>83</v>
      </c>
      <c r="S15" s="111" t="s">
        <v>84</v>
      </c>
      <c r="T15" s="26"/>
      <c r="U15" s="6" t="s">
        <v>421</v>
      </c>
      <c r="V15" s="106">
        <f t="shared" si="6"/>
        <v>0</v>
      </c>
      <c r="W15" s="6">
        <f t="shared" si="3"/>
        <v>0</v>
      </c>
      <c r="X15" s="6" t="s">
        <v>439</v>
      </c>
      <c r="Y15" s="6">
        <f t="shared" si="7"/>
        <v>1652.4</v>
      </c>
      <c r="Z15" s="6">
        <f t="shared" si="8"/>
        <v>2386.8000000000002</v>
      </c>
      <c r="AA15" s="6" t="s">
        <v>439</v>
      </c>
      <c r="AB15" s="6">
        <v>0.1</v>
      </c>
      <c r="AC15" s="6">
        <v>1</v>
      </c>
      <c r="AD15" s="6">
        <v>0</v>
      </c>
      <c r="AE15" s="6" t="s">
        <v>442</v>
      </c>
      <c r="AH15" s="107"/>
    </row>
    <row r="16" spans="1:34" ht="31" thickBot="1" x14ac:dyDescent="0.25">
      <c r="A16" s="36">
        <v>212.2</v>
      </c>
      <c r="B16" s="17">
        <f t="shared" si="0"/>
        <v>3</v>
      </c>
      <c r="C16" s="30" t="s">
        <v>121</v>
      </c>
      <c r="D16" s="19" t="str">
        <f t="shared" si="1"/>
        <v xml:space="preserve">                  Reactor Building Basement</v>
      </c>
      <c r="E16" s="19" t="s">
        <v>345</v>
      </c>
      <c r="F16" s="19"/>
      <c r="G16" s="19"/>
      <c r="H16" s="27"/>
      <c r="I16" s="65">
        <f>943.9*1.53</f>
        <v>1444.1669999999999</v>
      </c>
      <c r="J16" s="23" t="s">
        <v>79</v>
      </c>
      <c r="K16" s="25" t="s">
        <v>91</v>
      </c>
      <c r="L16" s="5">
        <v>1</v>
      </c>
      <c r="M16" s="23" t="s">
        <v>81</v>
      </c>
      <c r="N16" s="5">
        <v>1</v>
      </c>
      <c r="O16" s="23">
        <v>2024</v>
      </c>
      <c r="P16" s="23" t="s">
        <v>77</v>
      </c>
      <c r="Q16" s="122"/>
      <c r="R16" s="110"/>
      <c r="S16" s="112"/>
      <c r="T16" s="26"/>
      <c r="U16" s="6" t="s">
        <v>421</v>
      </c>
      <c r="V16" s="106">
        <f t="shared" si="6"/>
        <v>0</v>
      </c>
      <c r="W16" s="6">
        <f t="shared" si="3"/>
        <v>0</v>
      </c>
      <c r="X16" s="6" t="s">
        <v>439</v>
      </c>
      <c r="Y16" s="6">
        <f t="shared" si="7"/>
        <v>1299.7502999999999</v>
      </c>
      <c r="Z16" s="6">
        <f t="shared" si="8"/>
        <v>1877.4170999999999</v>
      </c>
      <c r="AA16" s="6" t="s">
        <v>439</v>
      </c>
      <c r="AB16" s="6">
        <v>0.1</v>
      </c>
      <c r="AC16" s="6">
        <v>1</v>
      </c>
      <c r="AD16" s="6">
        <v>0</v>
      </c>
      <c r="AE16" s="6" t="s">
        <v>442</v>
      </c>
      <c r="AH16" s="107"/>
    </row>
    <row r="17" spans="1:34" ht="31" thickBot="1" x14ac:dyDescent="0.25">
      <c r="A17" s="36">
        <v>212.3</v>
      </c>
      <c r="B17" s="17">
        <f t="shared" si="0"/>
        <v>3</v>
      </c>
      <c r="C17" s="30" t="s">
        <v>104</v>
      </c>
      <c r="D17" s="19" t="str">
        <f>REPT("   ", B17*2) &amp; C17</f>
        <v xml:space="preserve">                  Reactor Building Walls</v>
      </c>
      <c r="E17" s="19" t="s">
        <v>345</v>
      </c>
      <c r="F17" s="19"/>
      <c r="G17" s="19"/>
      <c r="H17" s="27"/>
      <c r="I17" s="65">
        <f>721.21*1.53</f>
        <v>1103.4513000000002</v>
      </c>
      <c r="J17" s="23" t="s">
        <v>79</v>
      </c>
      <c r="K17" s="25" t="s">
        <v>92</v>
      </c>
      <c r="L17" s="5">
        <v>1</v>
      </c>
      <c r="M17" s="23" t="s">
        <v>81</v>
      </c>
      <c r="N17" s="5">
        <v>1</v>
      </c>
      <c r="O17" s="23">
        <v>2024</v>
      </c>
      <c r="P17" s="23" t="s">
        <v>77</v>
      </c>
      <c r="Q17" s="122"/>
      <c r="R17" s="110"/>
      <c r="S17" s="112"/>
      <c r="T17" s="26"/>
      <c r="U17" s="6" t="s">
        <v>421</v>
      </c>
      <c r="V17" s="106">
        <f t="shared" si="6"/>
        <v>0</v>
      </c>
      <c r="W17" s="6">
        <f t="shared" si="3"/>
        <v>0</v>
      </c>
      <c r="X17" s="6" t="s">
        <v>439</v>
      </c>
      <c r="Y17" s="6">
        <f t="shared" si="7"/>
        <v>993.10617000000013</v>
      </c>
      <c r="Z17" s="6">
        <f t="shared" si="8"/>
        <v>1434.4866900000002</v>
      </c>
      <c r="AA17" s="6" t="s">
        <v>439</v>
      </c>
      <c r="AB17" s="6">
        <v>0.1</v>
      </c>
      <c r="AC17" s="6">
        <v>1</v>
      </c>
      <c r="AD17" s="6">
        <v>0</v>
      </c>
      <c r="AE17" s="6" t="s">
        <v>442</v>
      </c>
      <c r="AH17" s="107"/>
    </row>
    <row r="18" spans="1:34" ht="16" thickBot="1" x14ac:dyDescent="0.25">
      <c r="A18" s="36">
        <v>213</v>
      </c>
      <c r="B18" s="17">
        <f t="shared" si="0"/>
        <v>2</v>
      </c>
      <c r="C18" s="30" t="s">
        <v>122</v>
      </c>
      <c r="D18" s="19" t="str">
        <f t="shared" si="1"/>
        <v xml:space="preserve">            Main Function Buildings</v>
      </c>
      <c r="E18" s="19"/>
      <c r="F18" s="19"/>
      <c r="G18" s="19"/>
      <c r="H18" s="27"/>
      <c r="I18" s="67"/>
      <c r="J18" s="5"/>
      <c r="K18" s="31"/>
      <c r="L18" s="5"/>
      <c r="M18" s="5"/>
      <c r="N18" s="5"/>
      <c r="O18" s="5"/>
      <c r="P18" s="5"/>
      <c r="Q18" s="31"/>
      <c r="R18" s="25"/>
      <c r="S18" s="35"/>
      <c r="T18" s="26"/>
      <c r="V18" s="106"/>
      <c r="AH18" s="107"/>
    </row>
    <row r="19" spans="1:34" ht="16" thickBot="1" x14ac:dyDescent="0.25">
      <c r="A19" s="36">
        <v>213.1</v>
      </c>
      <c r="B19" s="17">
        <f t="shared" si="0"/>
        <v>3</v>
      </c>
      <c r="C19" s="30" t="s">
        <v>123</v>
      </c>
      <c r="D19" s="19" t="str">
        <f t="shared" si="1"/>
        <v xml:space="preserve">                  Energy conversion Building</v>
      </c>
      <c r="E19" s="19"/>
      <c r="F19" s="19"/>
      <c r="G19" s="19"/>
      <c r="H19" s="5"/>
      <c r="I19" s="67"/>
      <c r="J19" s="5"/>
      <c r="K19" s="31"/>
      <c r="L19" s="5"/>
      <c r="M19" s="5"/>
      <c r="N19" s="5"/>
      <c r="O19" s="5"/>
      <c r="P19" s="5"/>
      <c r="Q19" s="31"/>
      <c r="R19" s="25"/>
      <c r="S19" s="35"/>
      <c r="T19" s="26"/>
      <c r="V19" s="106"/>
      <c r="AH19" s="107"/>
    </row>
    <row r="20" spans="1:34" ht="31" thickBot="1" x14ac:dyDescent="0.25">
      <c r="A20" s="36">
        <v>213.11</v>
      </c>
      <c r="B20" s="17">
        <f t="shared" si="0"/>
        <v>4</v>
      </c>
      <c r="C20" s="30" t="s">
        <v>110</v>
      </c>
      <c r="D20" s="19" t="str">
        <f t="shared" si="1"/>
        <v xml:space="preserve">                        Energy Conversion Building Slab Roof</v>
      </c>
      <c r="E20" s="19" t="s">
        <v>345</v>
      </c>
      <c r="F20" s="19"/>
      <c r="G20" s="19"/>
      <c r="H20" s="5"/>
      <c r="I20" s="65">
        <f>1200 *1.53</f>
        <v>1836</v>
      </c>
      <c r="J20" s="23" t="s">
        <v>79</v>
      </c>
      <c r="K20" s="25" t="s">
        <v>90</v>
      </c>
      <c r="L20" s="5">
        <v>1</v>
      </c>
      <c r="M20" s="23" t="s">
        <v>81</v>
      </c>
      <c r="N20" s="5">
        <v>1</v>
      </c>
      <c r="O20" s="23">
        <v>2024</v>
      </c>
      <c r="P20" s="23" t="s">
        <v>77</v>
      </c>
      <c r="Q20" s="122" t="s">
        <v>82</v>
      </c>
      <c r="R20" s="110" t="s">
        <v>83</v>
      </c>
      <c r="S20" s="111" t="s">
        <v>84</v>
      </c>
      <c r="T20" s="26"/>
      <c r="U20" s="6" t="s">
        <v>421</v>
      </c>
      <c r="V20" s="106">
        <f t="shared" si="6"/>
        <v>0</v>
      </c>
      <c r="W20" s="6">
        <f t="shared" si="3"/>
        <v>0</v>
      </c>
      <c r="X20" s="6" t="s">
        <v>439</v>
      </c>
      <c r="Y20" s="6">
        <f t="shared" si="7"/>
        <v>1652.4</v>
      </c>
      <c r="Z20" s="6">
        <f t="shared" si="8"/>
        <v>2386.8000000000002</v>
      </c>
      <c r="AA20" s="6" t="s">
        <v>439</v>
      </c>
      <c r="AB20" s="6">
        <v>0.1</v>
      </c>
      <c r="AC20" s="6">
        <v>1</v>
      </c>
      <c r="AD20" s="6">
        <v>0</v>
      </c>
      <c r="AE20" s="6" t="s">
        <v>442</v>
      </c>
      <c r="AH20" s="107"/>
    </row>
    <row r="21" spans="1:34" ht="31" thickBot="1" x14ac:dyDescent="0.25">
      <c r="A21" s="36">
        <v>213.12</v>
      </c>
      <c r="B21" s="17">
        <f t="shared" si="0"/>
        <v>4</v>
      </c>
      <c r="C21" s="30" t="s">
        <v>118</v>
      </c>
      <c r="D21" s="19" t="str">
        <f>REPT("   ", B21*2) &amp; C21</f>
        <v xml:space="preserve">                        Energy Conversion Building Basement</v>
      </c>
      <c r="E21" s="19" t="s">
        <v>345</v>
      </c>
      <c r="F21" s="19"/>
      <c r="G21" s="19"/>
      <c r="H21" s="5"/>
      <c r="I21" s="65">
        <f>943.9*1.53</f>
        <v>1444.1669999999999</v>
      </c>
      <c r="J21" s="23" t="s">
        <v>79</v>
      </c>
      <c r="K21" s="25" t="s">
        <v>93</v>
      </c>
      <c r="L21" s="5">
        <v>1</v>
      </c>
      <c r="M21" s="23" t="s">
        <v>81</v>
      </c>
      <c r="N21" s="5">
        <v>1</v>
      </c>
      <c r="O21" s="23">
        <v>2024</v>
      </c>
      <c r="P21" s="23" t="s">
        <v>77</v>
      </c>
      <c r="Q21" s="122"/>
      <c r="R21" s="110"/>
      <c r="S21" s="112"/>
      <c r="T21" s="26"/>
      <c r="U21" s="6" t="s">
        <v>421</v>
      </c>
      <c r="V21" s="106">
        <f t="shared" si="6"/>
        <v>0</v>
      </c>
      <c r="W21" s="6">
        <f t="shared" si="3"/>
        <v>0</v>
      </c>
      <c r="X21" s="6" t="s">
        <v>439</v>
      </c>
      <c r="Y21" s="6">
        <f t="shared" si="7"/>
        <v>1299.7502999999999</v>
      </c>
      <c r="Z21" s="6">
        <f t="shared" si="8"/>
        <v>1877.4170999999999</v>
      </c>
      <c r="AA21" s="6" t="s">
        <v>439</v>
      </c>
      <c r="AB21" s="6">
        <v>0.1</v>
      </c>
      <c r="AC21" s="6">
        <v>1</v>
      </c>
      <c r="AD21" s="6">
        <v>0</v>
      </c>
      <c r="AE21" s="6" t="s">
        <v>442</v>
      </c>
      <c r="AH21" s="107"/>
    </row>
    <row r="22" spans="1:34" ht="31" thickBot="1" x14ac:dyDescent="0.25">
      <c r="A22" s="36">
        <v>213.13</v>
      </c>
      <c r="B22" s="17">
        <f t="shared" si="0"/>
        <v>4</v>
      </c>
      <c r="C22" s="30" t="s">
        <v>111</v>
      </c>
      <c r="D22" s="19" t="str">
        <f t="shared" si="1"/>
        <v xml:space="preserve">                        Energy Conversion Building Walls</v>
      </c>
      <c r="E22" s="19" t="s">
        <v>345</v>
      </c>
      <c r="F22" s="19"/>
      <c r="G22" s="19"/>
      <c r="H22" s="5"/>
      <c r="I22" s="65">
        <f>721.21*1.53</f>
        <v>1103.4513000000002</v>
      </c>
      <c r="J22" s="23" t="s">
        <v>79</v>
      </c>
      <c r="K22" s="25" t="s">
        <v>413</v>
      </c>
      <c r="L22" s="5">
        <v>1</v>
      </c>
      <c r="M22" s="23" t="s">
        <v>81</v>
      </c>
      <c r="N22" s="5">
        <v>1</v>
      </c>
      <c r="O22" s="23">
        <v>2024</v>
      </c>
      <c r="P22" s="23" t="s">
        <v>77</v>
      </c>
      <c r="Q22" s="122"/>
      <c r="R22" s="110"/>
      <c r="S22" s="112"/>
      <c r="T22" s="26"/>
      <c r="U22" s="6" t="s">
        <v>421</v>
      </c>
      <c r="V22" s="106">
        <f t="shared" si="6"/>
        <v>0</v>
      </c>
      <c r="W22" s="6">
        <f t="shared" si="3"/>
        <v>0</v>
      </c>
      <c r="X22" s="6" t="s">
        <v>439</v>
      </c>
      <c r="Y22" s="6">
        <f t="shared" si="7"/>
        <v>993.10617000000013</v>
      </c>
      <c r="Z22" s="6">
        <f t="shared" si="8"/>
        <v>1434.4866900000002</v>
      </c>
      <c r="AA22" s="6" t="s">
        <v>439</v>
      </c>
      <c r="AB22" s="6">
        <v>0.1</v>
      </c>
      <c r="AC22" s="6">
        <v>1</v>
      </c>
      <c r="AD22" s="6">
        <v>0</v>
      </c>
      <c r="AE22" s="6" t="s">
        <v>442</v>
      </c>
      <c r="AH22" s="107"/>
    </row>
    <row r="23" spans="1:34" ht="16" thickBot="1" x14ac:dyDescent="0.25">
      <c r="A23" s="36">
        <v>213.2</v>
      </c>
      <c r="B23" s="17">
        <f t="shared" si="0"/>
        <v>3</v>
      </c>
      <c r="C23" s="30" t="s">
        <v>105</v>
      </c>
      <c r="D23" s="19" t="str">
        <f t="shared" si="1"/>
        <v xml:space="preserve">                  Control building</v>
      </c>
      <c r="E23" s="19"/>
      <c r="F23" s="19"/>
      <c r="G23" s="19"/>
      <c r="H23" s="5"/>
      <c r="I23" s="67"/>
      <c r="J23" s="5"/>
      <c r="K23" s="31"/>
      <c r="L23" s="5"/>
      <c r="M23" s="5"/>
      <c r="N23" s="5"/>
      <c r="O23" s="5"/>
      <c r="P23" s="5"/>
      <c r="Q23" s="31"/>
      <c r="R23" s="25"/>
      <c r="S23" s="35"/>
      <c r="T23" s="26"/>
      <c r="V23" s="106">
        <f t="shared" si="6"/>
        <v>0</v>
      </c>
      <c r="AH23" s="107"/>
    </row>
    <row r="24" spans="1:34" ht="31" thickBot="1" x14ac:dyDescent="0.25">
      <c r="A24" s="36">
        <v>213.21</v>
      </c>
      <c r="B24" s="17">
        <f t="shared" si="0"/>
        <v>4</v>
      </c>
      <c r="C24" s="30" t="s">
        <v>112</v>
      </c>
      <c r="D24" s="19" t="str">
        <f t="shared" si="1"/>
        <v xml:space="preserve">                        Control Building Slab Roof</v>
      </c>
      <c r="E24" s="19" t="s">
        <v>345</v>
      </c>
      <c r="F24" s="19"/>
      <c r="G24" s="19"/>
      <c r="H24" s="5"/>
      <c r="I24" s="65">
        <f>1200 *1.53</f>
        <v>1836</v>
      </c>
      <c r="J24" s="23" t="s">
        <v>79</v>
      </c>
      <c r="K24" s="25" t="s">
        <v>87</v>
      </c>
      <c r="L24" s="5">
        <v>1</v>
      </c>
      <c r="M24" s="23" t="s">
        <v>81</v>
      </c>
      <c r="N24" s="5">
        <v>1</v>
      </c>
      <c r="O24" s="23">
        <v>2024</v>
      </c>
      <c r="P24" s="23" t="s">
        <v>77</v>
      </c>
      <c r="Q24" s="122" t="s">
        <v>82</v>
      </c>
      <c r="R24" s="110" t="s">
        <v>83</v>
      </c>
      <c r="S24" s="111" t="s">
        <v>84</v>
      </c>
      <c r="T24" s="26"/>
      <c r="U24" s="6" t="s">
        <v>421</v>
      </c>
      <c r="V24" s="106">
        <f t="shared" si="6"/>
        <v>0</v>
      </c>
      <c r="W24" s="6">
        <f t="shared" si="3"/>
        <v>0</v>
      </c>
      <c r="X24" s="6" t="s">
        <v>439</v>
      </c>
      <c r="Y24" s="6">
        <f t="shared" si="7"/>
        <v>1652.4</v>
      </c>
      <c r="Z24" s="6">
        <f t="shared" si="8"/>
        <v>2386.8000000000002</v>
      </c>
      <c r="AA24" s="6" t="s">
        <v>439</v>
      </c>
      <c r="AB24" s="6">
        <v>0.1</v>
      </c>
      <c r="AC24" s="6">
        <v>1</v>
      </c>
      <c r="AD24" s="6">
        <v>0</v>
      </c>
      <c r="AE24" s="6" t="s">
        <v>442</v>
      </c>
      <c r="AH24" s="107"/>
    </row>
    <row r="25" spans="1:34" ht="31" thickBot="1" x14ac:dyDescent="0.25">
      <c r="A25" s="36">
        <v>213.22</v>
      </c>
      <c r="B25" s="17">
        <f t="shared" si="0"/>
        <v>4</v>
      </c>
      <c r="C25" s="30" t="s">
        <v>124</v>
      </c>
      <c r="D25" s="19" t="str">
        <f t="shared" si="1"/>
        <v xml:space="preserve">                        Control Building Basement</v>
      </c>
      <c r="E25" s="19" t="s">
        <v>345</v>
      </c>
      <c r="F25" s="19"/>
      <c r="G25" s="19"/>
      <c r="H25" s="5"/>
      <c r="I25" s="65">
        <f>943.9*1.53</f>
        <v>1444.1669999999999</v>
      </c>
      <c r="J25" s="23" t="s">
        <v>79</v>
      </c>
      <c r="K25" s="25" t="s">
        <v>94</v>
      </c>
      <c r="L25" s="5">
        <v>1</v>
      </c>
      <c r="M25" s="23" t="s">
        <v>81</v>
      </c>
      <c r="N25" s="5">
        <v>1</v>
      </c>
      <c r="O25" s="23">
        <v>2024</v>
      </c>
      <c r="P25" s="23" t="s">
        <v>77</v>
      </c>
      <c r="Q25" s="122"/>
      <c r="R25" s="110"/>
      <c r="S25" s="112"/>
      <c r="T25" s="26"/>
      <c r="U25" s="6" t="s">
        <v>421</v>
      </c>
      <c r="V25" s="106">
        <f t="shared" si="6"/>
        <v>0</v>
      </c>
      <c r="W25" s="6">
        <f t="shared" si="3"/>
        <v>0</v>
      </c>
      <c r="X25" s="6" t="s">
        <v>439</v>
      </c>
      <c r="Y25" s="6">
        <f t="shared" si="7"/>
        <v>1299.7502999999999</v>
      </c>
      <c r="Z25" s="6">
        <f t="shared" si="8"/>
        <v>1877.4170999999999</v>
      </c>
      <c r="AA25" s="6" t="s">
        <v>439</v>
      </c>
      <c r="AB25" s="6">
        <v>0.1</v>
      </c>
      <c r="AC25" s="6">
        <v>1</v>
      </c>
      <c r="AD25" s="6">
        <v>0</v>
      </c>
      <c r="AE25" s="6" t="s">
        <v>442</v>
      </c>
      <c r="AH25" s="107"/>
    </row>
    <row r="26" spans="1:34" ht="31" thickBot="1" x14ac:dyDescent="0.25">
      <c r="A26" s="36">
        <v>213.23</v>
      </c>
      <c r="B26" s="17">
        <f t="shared" si="0"/>
        <v>4</v>
      </c>
      <c r="C26" s="30" t="s">
        <v>113</v>
      </c>
      <c r="D26" s="19" t="str">
        <f t="shared" si="1"/>
        <v xml:space="preserve">                        Control Building Walls</v>
      </c>
      <c r="E26" s="19" t="s">
        <v>345</v>
      </c>
      <c r="F26" s="19"/>
      <c r="G26" s="19"/>
      <c r="H26" s="5"/>
      <c r="I26" s="65">
        <f>721.21*1.53</f>
        <v>1103.4513000000002</v>
      </c>
      <c r="J26" s="23" t="s">
        <v>79</v>
      </c>
      <c r="K26" s="25" t="s">
        <v>144</v>
      </c>
      <c r="L26" s="5">
        <v>1</v>
      </c>
      <c r="M26" s="23" t="s">
        <v>81</v>
      </c>
      <c r="N26" s="5">
        <v>1</v>
      </c>
      <c r="O26" s="23">
        <v>2024</v>
      </c>
      <c r="P26" s="23" t="s">
        <v>77</v>
      </c>
      <c r="Q26" s="122"/>
      <c r="R26" s="110"/>
      <c r="S26" s="112"/>
      <c r="T26" s="26"/>
      <c r="U26" s="6" t="s">
        <v>421</v>
      </c>
      <c r="V26" s="106">
        <f t="shared" si="6"/>
        <v>0</v>
      </c>
      <c r="W26" s="6">
        <f t="shared" si="3"/>
        <v>0</v>
      </c>
      <c r="X26" s="6" t="s">
        <v>439</v>
      </c>
      <c r="Y26" s="6">
        <f t="shared" si="7"/>
        <v>993.10617000000013</v>
      </c>
      <c r="Z26" s="6">
        <f t="shared" si="8"/>
        <v>1434.4866900000002</v>
      </c>
      <c r="AA26" s="6" t="s">
        <v>439</v>
      </c>
      <c r="AB26" s="6">
        <v>0.1</v>
      </c>
      <c r="AC26" s="6">
        <v>1</v>
      </c>
      <c r="AD26" s="6">
        <v>0</v>
      </c>
      <c r="AE26" s="6" t="s">
        <v>442</v>
      </c>
      <c r="AH26" s="107"/>
    </row>
    <row r="27" spans="1:34"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c r="V27" s="106">
        <f t="shared" si="6"/>
        <v>0</v>
      </c>
      <c r="AH27" s="107"/>
    </row>
    <row r="28" spans="1:34" ht="16" thickBot="1" x14ac:dyDescent="0.25">
      <c r="A28" s="36">
        <v>214.1</v>
      </c>
      <c r="B28" s="17">
        <f t="shared" si="0"/>
        <v>3</v>
      </c>
      <c r="C28" s="30" t="s">
        <v>125</v>
      </c>
      <c r="D28" s="19" t="str">
        <f t="shared" si="1"/>
        <v xml:space="preserve">                  Fuel Management Buildings</v>
      </c>
      <c r="E28" s="19"/>
      <c r="F28" s="19"/>
      <c r="G28" s="19"/>
      <c r="H28" s="5"/>
      <c r="I28" s="67"/>
      <c r="J28" s="5"/>
      <c r="K28" s="31"/>
      <c r="L28" s="5"/>
      <c r="M28" s="5"/>
      <c r="N28" s="5"/>
      <c r="O28" s="5"/>
      <c r="P28" s="5"/>
      <c r="Q28" s="31"/>
      <c r="R28" s="23"/>
      <c r="S28" s="26"/>
      <c r="T28" s="26"/>
      <c r="V28" s="106">
        <f t="shared" si="6"/>
        <v>0</v>
      </c>
      <c r="AH28" s="107"/>
    </row>
    <row r="29" spans="1:34" ht="16" thickBot="1" x14ac:dyDescent="0.25">
      <c r="A29" s="36">
        <v>214.11</v>
      </c>
      <c r="B29" s="17">
        <f t="shared" si="0"/>
        <v>4</v>
      </c>
      <c r="C29" s="30" t="s">
        <v>114</v>
      </c>
      <c r="D29" s="19" t="str">
        <f t="shared" si="1"/>
        <v xml:space="preserve">                        Refueling Building</v>
      </c>
      <c r="E29" s="19"/>
      <c r="F29" s="19"/>
      <c r="G29" s="19"/>
      <c r="H29" s="5"/>
      <c r="I29" s="67"/>
      <c r="J29" s="5"/>
      <c r="K29" s="31"/>
      <c r="L29" s="5"/>
      <c r="M29" s="5"/>
      <c r="N29" s="5"/>
      <c r="O29" s="5"/>
      <c r="P29" s="5"/>
      <c r="Q29" s="31"/>
      <c r="R29" s="23"/>
      <c r="S29" s="26"/>
      <c r="T29" s="26"/>
      <c r="V29" s="106">
        <f t="shared" si="6"/>
        <v>0</v>
      </c>
      <c r="AH29" s="107"/>
    </row>
    <row r="30" spans="1:34" s="86" customFormat="1" ht="28" thickBot="1" x14ac:dyDescent="0.25">
      <c r="A30" s="77">
        <v>214.11099999999999</v>
      </c>
      <c r="B30" s="78">
        <f t="shared" si="0"/>
        <v>5</v>
      </c>
      <c r="C30" s="79" t="s">
        <v>106</v>
      </c>
      <c r="D30" s="80" t="str">
        <f t="shared" si="1"/>
        <v xml:space="preserve">                              Refueling Building Slab Roof</v>
      </c>
      <c r="E30" s="80" t="s">
        <v>345</v>
      </c>
      <c r="F30" s="80"/>
      <c r="G30" s="80"/>
      <c r="H30" s="81"/>
      <c r="I30" s="82">
        <f>1200 *1.53</f>
        <v>1836</v>
      </c>
      <c r="J30" s="83" t="s">
        <v>79</v>
      </c>
      <c r="K30" s="84" t="s">
        <v>88</v>
      </c>
      <c r="L30" s="81">
        <v>1</v>
      </c>
      <c r="M30" s="83" t="s">
        <v>81</v>
      </c>
      <c r="N30" s="81">
        <v>1</v>
      </c>
      <c r="O30" s="83">
        <v>2024</v>
      </c>
      <c r="P30" s="83" t="s">
        <v>77</v>
      </c>
      <c r="Q30" s="133" t="s">
        <v>82</v>
      </c>
      <c r="R30" s="132" t="s">
        <v>83</v>
      </c>
      <c r="S30" s="130" t="s">
        <v>84</v>
      </c>
      <c r="T30" s="85"/>
      <c r="U30" s="6" t="s">
        <v>421</v>
      </c>
      <c r="V30" s="106">
        <f t="shared" si="6"/>
        <v>0</v>
      </c>
      <c r="W30" s="6"/>
      <c r="X30" s="6"/>
      <c r="Y30" s="6"/>
      <c r="Z30" s="6"/>
      <c r="AA30" s="6"/>
      <c r="AB30" s="6"/>
      <c r="AC30" s="6"/>
      <c r="AD30" s="6"/>
      <c r="AE30" s="6"/>
      <c r="AH30" s="107"/>
    </row>
    <row r="31" spans="1:34" s="86" customFormat="1" ht="28" thickBot="1" x14ac:dyDescent="0.25">
      <c r="A31" s="77">
        <v>214.11199999999999</v>
      </c>
      <c r="B31" s="78">
        <f t="shared" si="0"/>
        <v>5</v>
      </c>
      <c r="C31" s="79" t="s">
        <v>119</v>
      </c>
      <c r="D31" s="80" t="str">
        <f t="shared" si="1"/>
        <v xml:space="preserve">                              Refueling Building Basement</v>
      </c>
      <c r="E31" s="80" t="s">
        <v>345</v>
      </c>
      <c r="F31" s="80"/>
      <c r="G31" s="80"/>
      <c r="H31" s="81"/>
      <c r="I31" s="82">
        <f>943.9*1.53</f>
        <v>1444.1669999999999</v>
      </c>
      <c r="J31" s="83" t="s">
        <v>79</v>
      </c>
      <c r="K31" s="84" t="s">
        <v>95</v>
      </c>
      <c r="L31" s="81">
        <v>1</v>
      </c>
      <c r="M31" s="83" t="s">
        <v>81</v>
      </c>
      <c r="N31" s="81">
        <v>1</v>
      </c>
      <c r="O31" s="83">
        <v>2024</v>
      </c>
      <c r="P31" s="83" t="s">
        <v>77</v>
      </c>
      <c r="Q31" s="133"/>
      <c r="R31" s="132"/>
      <c r="S31" s="131"/>
      <c r="T31" s="85"/>
      <c r="U31" s="6" t="s">
        <v>421</v>
      </c>
      <c r="V31" s="106">
        <f t="shared" si="6"/>
        <v>0</v>
      </c>
      <c r="W31" s="6">
        <f t="shared" si="3"/>
        <v>0</v>
      </c>
      <c r="X31" s="6" t="s">
        <v>439</v>
      </c>
      <c r="Y31" s="6">
        <f t="shared" si="7"/>
        <v>1299.7502999999999</v>
      </c>
      <c r="Z31" s="6">
        <f t="shared" si="8"/>
        <v>1877.4170999999999</v>
      </c>
      <c r="AA31" s="6" t="s">
        <v>439</v>
      </c>
      <c r="AB31" s="6">
        <v>0.1</v>
      </c>
      <c r="AC31" s="6">
        <v>1</v>
      </c>
      <c r="AD31" s="6">
        <v>0</v>
      </c>
      <c r="AE31" s="6" t="s">
        <v>442</v>
      </c>
      <c r="AH31" s="107"/>
    </row>
    <row r="32" spans="1:34" s="86" customFormat="1" ht="28" thickBot="1" x14ac:dyDescent="0.25">
      <c r="A32" s="77">
        <v>214.113</v>
      </c>
      <c r="B32" s="78">
        <f t="shared" si="0"/>
        <v>5</v>
      </c>
      <c r="C32" s="79" t="s">
        <v>107</v>
      </c>
      <c r="D32" s="80" t="str">
        <f t="shared" si="1"/>
        <v xml:space="preserve">                              Refueling Building Walls</v>
      </c>
      <c r="E32" s="80" t="s">
        <v>345</v>
      </c>
      <c r="F32" s="80"/>
      <c r="G32" s="80"/>
      <c r="H32" s="81"/>
      <c r="I32" s="82">
        <f>721.21*1.53</f>
        <v>1103.4513000000002</v>
      </c>
      <c r="J32" s="83" t="s">
        <v>79</v>
      </c>
      <c r="K32" s="84" t="s">
        <v>96</v>
      </c>
      <c r="L32" s="81">
        <v>1</v>
      </c>
      <c r="M32" s="83" t="s">
        <v>81</v>
      </c>
      <c r="N32" s="81">
        <v>1</v>
      </c>
      <c r="O32" s="83">
        <v>2024</v>
      </c>
      <c r="P32" s="83" t="s">
        <v>77</v>
      </c>
      <c r="Q32" s="133"/>
      <c r="R32" s="132"/>
      <c r="S32" s="131"/>
      <c r="T32" s="85"/>
      <c r="U32" s="6" t="s">
        <v>421</v>
      </c>
      <c r="V32" s="106">
        <f t="shared" si="6"/>
        <v>0</v>
      </c>
      <c r="W32" s="6">
        <f t="shared" si="3"/>
        <v>0</v>
      </c>
      <c r="X32" s="6" t="s">
        <v>439</v>
      </c>
      <c r="Y32" s="6">
        <f t="shared" si="7"/>
        <v>993.10617000000013</v>
      </c>
      <c r="Z32" s="6">
        <f t="shared" si="8"/>
        <v>1434.4866900000002</v>
      </c>
      <c r="AA32" s="6" t="s">
        <v>439</v>
      </c>
      <c r="AB32" s="6">
        <v>0.1</v>
      </c>
      <c r="AC32" s="6">
        <v>1</v>
      </c>
      <c r="AD32" s="6">
        <v>0</v>
      </c>
      <c r="AE32" s="6" t="s">
        <v>442</v>
      </c>
      <c r="AH32" s="107"/>
    </row>
    <row r="33" spans="1:34" ht="16" thickBot="1" x14ac:dyDescent="0.25">
      <c r="A33" s="36">
        <v>214.12</v>
      </c>
      <c r="B33" s="17">
        <f t="shared" si="0"/>
        <v>4</v>
      </c>
      <c r="C33" s="30" t="s">
        <v>115</v>
      </c>
      <c r="D33" s="19" t="str">
        <f t="shared" si="1"/>
        <v xml:space="preserve">                        Spent Fuel Building</v>
      </c>
      <c r="E33" s="19"/>
      <c r="F33" s="19"/>
      <c r="G33" s="19"/>
      <c r="H33" s="5"/>
      <c r="I33" s="67"/>
      <c r="J33" s="5"/>
      <c r="K33" s="31"/>
      <c r="L33" s="5"/>
      <c r="M33" s="5"/>
      <c r="N33" s="5"/>
      <c r="O33" s="5"/>
      <c r="P33" s="5"/>
      <c r="Q33" s="31"/>
      <c r="R33" s="23"/>
      <c r="S33" s="26"/>
      <c r="T33" s="26"/>
      <c r="V33" s="106">
        <f t="shared" si="6"/>
        <v>0</v>
      </c>
      <c r="AH33" s="107"/>
    </row>
    <row r="34" spans="1:34" s="86" customFormat="1" ht="28" thickBot="1" x14ac:dyDescent="0.25">
      <c r="A34" s="77">
        <v>214.12100000000001</v>
      </c>
      <c r="B34" s="78">
        <f t="shared" si="0"/>
        <v>5</v>
      </c>
      <c r="C34" s="79" t="s">
        <v>108</v>
      </c>
      <c r="D34" s="80" t="str">
        <f t="shared" si="1"/>
        <v xml:space="preserve">                              Spent Fuel Building Slab Roof</v>
      </c>
      <c r="E34" s="80" t="s">
        <v>345</v>
      </c>
      <c r="F34" s="80"/>
      <c r="G34" s="80"/>
      <c r="H34" s="81"/>
      <c r="I34" s="82">
        <f>1200 *1.53</f>
        <v>1836</v>
      </c>
      <c r="J34" s="83" t="s">
        <v>79</v>
      </c>
      <c r="K34" s="84" t="s">
        <v>89</v>
      </c>
      <c r="L34" s="81">
        <v>1</v>
      </c>
      <c r="M34" s="83" t="s">
        <v>81</v>
      </c>
      <c r="N34" s="81">
        <v>1</v>
      </c>
      <c r="O34" s="83">
        <v>2024</v>
      </c>
      <c r="P34" s="81" t="s">
        <v>77</v>
      </c>
      <c r="Q34" s="133" t="s">
        <v>82</v>
      </c>
      <c r="R34" s="132" t="s">
        <v>83</v>
      </c>
      <c r="S34" s="130" t="s">
        <v>84</v>
      </c>
      <c r="T34" s="85"/>
      <c r="U34" s="6" t="s">
        <v>421</v>
      </c>
      <c r="V34" s="106">
        <f t="shared" si="6"/>
        <v>0</v>
      </c>
      <c r="W34" s="6">
        <f t="shared" si="3"/>
        <v>0</v>
      </c>
      <c r="X34" s="6" t="s">
        <v>439</v>
      </c>
      <c r="Y34" s="6">
        <f t="shared" si="7"/>
        <v>1652.4</v>
      </c>
      <c r="Z34" s="6">
        <f t="shared" si="8"/>
        <v>2386.8000000000002</v>
      </c>
      <c r="AA34" s="6" t="s">
        <v>439</v>
      </c>
      <c r="AB34" s="6">
        <v>0.1</v>
      </c>
      <c r="AC34" s="6">
        <v>1</v>
      </c>
      <c r="AD34" s="6">
        <v>0</v>
      </c>
      <c r="AE34" s="6" t="s">
        <v>442</v>
      </c>
      <c r="AH34" s="107"/>
    </row>
    <row r="35" spans="1:34" s="86" customFormat="1" ht="28" thickBot="1" x14ac:dyDescent="0.25">
      <c r="A35" s="77">
        <v>214.12200000000001</v>
      </c>
      <c r="B35" s="78">
        <f t="shared" si="0"/>
        <v>5</v>
      </c>
      <c r="C35" s="79" t="s">
        <v>126</v>
      </c>
      <c r="D35" s="80" t="str">
        <f t="shared" si="1"/>
        <v xml:space="preserve">                              Spent Fuel Building Basement</v>
      </c>
      <c r="E35" s="80" t="s">
        <v>345</v>
      </c>
      <c r="F35" s="80"/>
      <c r="G35" s="80"/>
      <c r="H35" s="81"/>
      <c r="I35" s="82">
        <f>943.9*1.53</f>
        <v>1444.1669999999999</v>
      </c>
      <c r="J35" s="83" t="s">
        <v>79</v>
      </c>
      <c r="K35" s="84" t="s">
        <v>97</v>
      </c>
      <c r="L35" s="81">
        <v>1</v>
      </c>
      <c r="M35" s="83" t="s">
        <v>81</v>
      </c>
      <c r="N35" s="81">
        <v>1</v>
      </c>
      <c r="O35" s="83">
        <v>2024</v>
      </c>
      <c r="P35" s="81" t="s">
        <v>77</v>
      </c>
      <c r="Q35" s="133"/>
      <c r="R35" s="132"/>
      <c r="S35" s="131"/>
      <c r="T35" s="85"/>
      <c r="U35" s="6" t="s">
        <v>421</v>
      </c>
      <c r="V35" s="106">
        <f t="shared" si="6"/>
        <v>0</v>
      </c>
      <c r="W35" s="6">
        <f t="shared" si="3"/>
        <v>0</v>
      </c>
      <c r="X35" s="6" t="s">
        <v>439</v>
      </c>
      <c r="Y35" s="6">
        <f t="shared" si="7"/>
        <v>1299.7502999999999</v>
      </c>
      <c r="Z35" s="6">
        <f t="shared" si="8"/>
        <v>1877.4170999999999</v>
      </c>
      <c r="AA35" s="6" t="s">
        <v>439</v>
      </c>
      <c r="AB35" s="6">
        <v>0.1</v>
      </c>
      <c r="AC35" s="6">
        <v>1</v>
      </c>
      <c r="AD35" s="6">
        <v>0</v>
      </c>
      <c r="AE35" s="6" t="s">
        <v>442</v>
      </c>
      <c r="AH35" s="107"/>
    </row>
    <row r="36" spans="1:34" s="86" customFormat="1" ht="28" thickBot="1" x14ac:dyDescent="0.25">
      <c r="A36" s="77">
        <v>214.12299999999999</v>
      </c>
      <c r="B36" s="78">
        <f t="shared" si="0"/>
        <v>5</v>
      </c>
      <c r="C36" s="79" t="s">
        <v>109</v>
      </c>
      <c r="D36" s="80" t="str">
        <f t="shared" si="1"/>
        <v xml:space="preserve">                              Spent Fuel Building Walls</v>
      </c>
      <c r="E36" s="80" t="s">
        <v>345</v>
      </c>
      <c r="F36" s="80"/>
      <c r="G36" s="80"/>
      <c r="H36" s="81"/>
      <c r="I36" s="82">
        <f>721.21*1.53</f>
        <v>1103.4513000000002</v>
      </c>
      <c r="J36" s="83" t="s">
        <v>79</v>
      </c>
      <c r="K36" s="84" t="s">
        <v>98</v>
      </c>
      <c r="L36" s="81">
        <v>1</v>
      </c>
      <c r="M36" s="83" t="s">
        <v>81</v>
      </c>
      <c r="N36" s="81">
        <v>1</v>
      </c>
      <c r="O36" s="83">
        <v>2024</v>
      </c>
      <c r="P36" s="83" t="s">
        <v>77</v>
      </c>
      <c r="Q36" s="133"/>
      <c r="R36" s="132"/>
      <c r="S36" s="131"/>
      <c r="T36" s="85"/>
      <c r="U36" s="6" t="s">
        <v>421</v>
      </c>
      <c r="V36" s="106">
        <f t="shared" si="6"/>
        <v>0</v>
      </c>
      <c r="W36" s="6">
        <f t="shared" si="3"/>
        <v>0</v>
      </c>
      <c r="X36" s="6" t="s">
        <v>439</v>
      </c>
      <c r="Y36" s="6">
        <f t="shared" si="7"/>
        <v>993.10617000000013</v>
      </c>
      <c r="Z36" s="6">
        <f t="shared" si="8"/>
        <v>1434.4866900000002</v>
      </c>
      <c r="AA36" s="6" t="s">
        <v>439</v>
      </c>
      <c r="AB36" s="6">
        <v>0.1</v>
      </c>
      <c r="AC36" s="6">
        <v>1</v>
      </c>
      <c r="AD36" s="6">
        <v>0</v>
      </c>
      <c r="AE36" s="6" t="s">
        <v>442</v>
      </c>
      <c r="AH36" s="107"/>
    </row>
    <row r="37" spans="1:34" ht="30" thickBot="1" x14ac:dyDescent="0.25">
      <c r="A37" s="36">
        <v>214.7</v>
      </c>
      <c r="B37" s="17">
        <f t="shared" si="0"/>
        <v>3</v>
      </c>
      <c r="C37" s="30" t="s">
        <v>146</v>
      </c>
      <c r="D37" s="19" t="str">
        <f t="shared" si="1"/>
        <v xml:space="preserve">                  Emergency and Start-up Power Systems Building</v>
      </c>
      <c r="E37" s="19"/>
      <c r="F37" s="19"/>
      <c r="G37" s="19"/>
      <c r="H37" s="5"/>
      <c r="I37" s="67"/>
      <c r="J37" s="23"/>
      <c r="K37" s="25"/>
      <c r="L37" s="5"/>
      <c r="M37" s="23"/>
      <c r="N37" s="5"/>
      <c r="O37" s="23"/>
      <c r="P37" s="23"/>
      <c r="Q37" s="25"/>
      <c r="R37" s="23"/>
      <c r="S37" s="26"/>
      <c r="T37" s="26"/>
      <c r="V37" s="106">
        <f t="shared" si="6"/>
        <v>0</v>
      </c>
      <c r="AH37" s="107"/>
    </row>
    <row r="38" spans="1:34" ht="16" thickBot="1" x14ac:dyDescent="0.25">
      <c r="A38" s="36">
        <v>214.71</v>
      </c>
      <c r="B38" s="17">
        <f t="shared" si="0"/>
        <v>4</v>
      </c>
      <c r="C38" s="30" t="s">
        <v>145</v>
      </c>
      <c r="D38" s="19" t="str">
        <f t="shared" si="1"/>
        <v xml:space="preserve">                        Emergency Building</v>
      </c>
      <c r="E38" s="19"/>
      <c r="F38" s="19"/>
      <c r="G38" s="19"/>
      <c r="H38" s="5"/>
      <c r="I38" s="67"/>
      <c r="J38" s="23"/>
      <c r="K38" s="25"/>
      <c r="L38" s="5"/>
      <c r="M38" s="23"/>
      <c r="N38" s="5"/>
      <c r="O38" s="23"/>
      <c r="P38" s="23"/>
      <c r="Q38" s="25"/>
      <c r="R38" s="23"/>
      <c r="S38" s="26"/>
      <c r="T38" s="26"/>
      <c r="V38" s="106">
        <f t="shared" si="6"/>
        <v>0</v>
      </c>
      <c r="AH38" s="107"/>
    </row>
    <row r="39" spans="1:34" s="86" customFormat="1" ht="28" thickBot="1" x14ac:dyDescent="0.25">
      <c r="A39" s="77">
        <v>214.71100000000001</v>
      </c>
      <c r="B39" s="78">
        <f t="shared" si="0"/>
        <v>5</v>
      </c>
      <c r="C39" s="79" t="s">
        <v>148</v>
      </c>
      <c r="D39" s="80" t="str">
        <f t="shared" si="1"/>
        <v xml:space="preserve">                              Emergency Building Slab Roof</v>
      </c>
      <c r="E39" s="80" t="s">
        <v>345</v>
      </c>
      <c r="F39" s="80"/>
      <c r="G39" s="80"/>
      <c r="H39" s="81"/>
      <c r="I39" s="82">
        <f>1200 *1.53</f>
        <v>1836</v>
      </c>
      <c r="J39" s="83" t="s">
        <v>79</v>
      </c>
      <c r="K39" s="84" t="s">
        <v>151</v>
      </c>
      <c r="L39" s="81">
        <v>1</v>
      </c>
      <c r="M39" s="83" t="s">
        <v>81</v>
      </c>
      <c r="N39" s="81">
        <v>1</v>
      </c>
      <c r="O39" s="83">
        <v>2024</v>
      </c>
      <c r="P39" s="81" t="s">
        <v>77</v>
      </c>
      <c r="Q39" s="133" t="s">
        <v>82</v>
      </c>
      <c r="R39" s="132" t="s">
        <v>83</v>
      </c>
      <c r="S39" s="130" t="s">
        <v>84</v>
      </c>
      <c r="T39" s="85"/>
      <c r="U39" s="6" t="s">
        <v>424</v>
      </c>
      <c r="V39" s="106">
        <f t="shared" si="6"/>
        <v>0</v>
      </c>
      <c r="W39" s="6">
        <f t="shared" si="3"/>
        <v>0</v>
      </c>
      <c r="X39" s="6" t="s">
        <v>439</v>
      </c>
      <c r="Y39" s="6">
        <f t="shared" si="7"/>
        <v>1652.4</v>
      </c>
      <c r="Z39" s="6">
        <f t="shared" si="8"/>
        <v>2386.8000000000002</v>
      </c>
      <c r="AA39" s="6" t="s">
        <v>439</v>
      </c>
      <c r="AB39" s="6">
        <v>0.1</v>
      </c>
      <c r="AC39" s="6">
        <v>1</v>
      </c>
      <c r="AD39" s="6">
        <v>0</v>
      </c>
      <c r="AE39" s="6" t="s">
        <v>442</v>
      </c>
      <c r="AH39" s="107"/>
    </row>
    <row r="40" spans="1:34" s="86" customFormat="1" ht="28" thickBot="1" x14ac:dyDescent="0.25">
      <c r="A40" s="77">
        <v>214.71199999999999</v>
      </c>
      <c r="B40" s="78">
        <f t="shared" si="0"/>
        <v>5</v>
      </c>
      <c r="C40" s="79" t="s">
        <v>149</v>
      </c>
      <c r="D40" s="80" t="str">
        <f t="shared" si="1"/>
        <v xml:space="preserve">                              Emergency Building Basement</v>
      </c>
      <c r="E40" s="80" t="s">
        <v>345</v>
      </c>
      <c r="F40" s="80"/>
      <c r="G40" s="80"/>
      <c r="H40" s="81"/>
      <c r="I40" s="82">
        <f>943.9*1.53</f>
        <v>1444.1669999999999</v>
      </c>
      <c r="J40" s="83" t="s">
        <v>79</v>
      </c>
      <c r="K40" s="84" t="s">
        <v>152</v>
      </c>
      <c r="L40" s="81">
        <v>1</v>
      </c>
      <c r="M40" s="83" t="s">
        <v>81</v>
      </c>
      <c r="N40" s="81">
        <v>1</v>
      </c>
      <c r="O40" s="83">
        <v>2024</v>
      </c>
      <c r="P40" s="81" t="s">
        <v>77</v>
      </c>
      <c r="Q40" s="133"/>
      <c r="R40" s="132"/>
      <c r="S40" s="131"/>
      <c r="T40" s="85"/>
      <c r="U40" s="6" t="s">
        <v>424</v>
      </c>
      <c r="V40" s="106">
        <f t="shared" si="6"/>
        <v>0</v>
      </c>
      <c r="W40" s="6">
        <f t="shared" si="3"/>
        <v>0</v>
      </c>
      <c r="X40" s="6" t="s">
        <v>439</v>
      </c>
      <c r="Y40" s="6">
        <f t="shared" si="7"/>
        <v>1299.7502999999999</v>
      </c>
      <c r="Z40" s="6">
        <f t="shared" si="8"/>
        <v>1877.4170999999999</v>
      </c>
      <c r="AA40" s="6" t="s">
        <v>439</v>
      </c>
      <c r="AB40" s="6">
        <v>0.1</v>
      </c>
      <c r="AC40" s="6">
        <v>1</v>
      </c>
      <c r="AD40" s="6">
        <v>0</v>
      </c>
      <c r="AE40" s="6" t="s">
        <v>442</v>
      </c>
      <c r="AH40" s="107"/>
    </row>
    <row r="41" spans="1:34" s="86" customFormat="1" ht="28" thickBot="1" x14ac:dyDescent="0.25">
      <c r="A41" s="77">
        <v>214.71299999999999</v>
      </c>
      <c r="B41" s="78">
        <f t="shared" si="0"/>
        <v>5</v>
      </c>
      <c r="C41" s="79" t="s">
        <v>150</v>
      </c>
      <c r="D41" s="80" t="str">
        <f t="shared" si="1"/>
        <v xml:space="preserve">                              Emergency Building Walls</v>
      </c>
      <c r="E41" s="80" t="s">
        <v>345</v>
      </c>
      <c r="F41" s="80"/>
      <c r="G41" s="80"/>
      <c r="H41" s="81"/>
      <c r="I41" s="82">
        <f>721.21*1.53</f>
        <v>1103.4513000000002</v>
      </c>
      <c r="J41" s="83" t="s">
        <v>79</v>
      </c>
      <c r="K41" s="84" t="s">
        <v>153</v>
      </c>
      <c r="L41" s="81">
        <v>1</v>
      </c>
      <c r="M41" s="83" t="s">
        <v>81</v>
      </c>
      <c r="N41" s="81">
        <v>1</v>
      </c>
      <c r="O41" s="83">
        <v>2024</v>
      </c>
      <c r="P41" s="83" t="s">
        <v>77</v>
      </c>
      <c r="Q41" s="133"/>
      <c r="R41" s="132"/>
      <c r="S41" s="131"/>
      <c r="T41" s="85"/>
      <c r="U41" s="6" t="s">
        <v>424</v>
      </c>
      <c r="V41" s="106">
        <f t="shared" si="6"/>
        <v>0</v>
      </c>
      <c r="W41" s="6">
        <f t="shared" si="3"/>
        <v>0</v>
      </c>
      <c r="X41" s="6" t="s">
        <v>439</v>
      </c>
      <c r="Y41" s="6">
        <f t="shared" si="7"/>
        <v>993.10617000000013</v>
      </c>
      <c r="Z41" s="6">
        <f t="shared" si="8"/>
        <v>1434.4866900000002</v>
      </c>
      <c r="AA41" s="6" t="s">
        <v>439</v>
      </c>
      <c r="AB41" s="6">
        <v>0.1</v>
      </c>
      <c r="AC41" s="6">
        <v>1</v>
      </c>
      <c r="AD41" s="6">
        <v>0</v>
      </c>
      <c r="AE41" s="6" t="s">
        <v>442</v>
      </c>
      <c r="AH41" s="107"/>
    </row>
    <row r="42" spans="1:34" ht="104" customHeight="1" thickBot="1" x14ac:dyDescent="0.25">
      <c r="A42" s="36">
        <v>214.72</v>
      </c>
      <c r="B42" s="17">
        <f t="shared" si="0"/>
        <v>4</v>
      </c>
      <c r="C42" s="37" t="s">
        <v>147</v>
      </c>
      <c r="D42" s="19" t="str">
        <f t="shared" si="1"/>
        <v xml:space="preserve">                        Diesel Generator</v>
      </c>
      <c r="E42" s="19" t="s">
        <v>345</v>
      </c>
      <c r="F42" s="19"/>
      <c r="G42" s="19"/>
      <c r="H42" s="5"/>
      <c r="I42" s="38">
        <f>MARVEL_Cost!C11/L42</f>
        <v>2717311.5662650601</v>
      </c>
      <c r="J42" s="23" t="s">
        <v>155</v>
      </c>
      <c r="K42" s="25" t="s">
        <v>156</v>
      </c>
      <c r="L42" s="23">
        <f>'Design Variables'!B3/1000</f>
        <v>8.3000000000000004E-2</v>
      </c>
      <c r="M42" s="23" t="s">
        <v>154</v>
      </c>
      <c r="N42" s="23">
        <v>0.7</v>
      </c>
      <c r="O42" s="23">
        <v>2024</v>
      </c>
      <c r="P42" s="23" t="s">
        <v>74</v>
      </c>
      <c r="Q42" s="25" t="s">
        <v>157</v>
      </c>
      <c r="R42" s="25" t="s">
        <v>158</v>
      </c>
      <c r="S42" s="39" t="s">
        <v>159</v>
      </c>
      <c r="T42" s="26"/>
      <c r="U42" s="6" t="s">
        <v>424</v>
      </c>
      <c r="V42" s="106">
        <f t="shared" si="6"/>
        <v>0</v>
      </c>
      <c r="W42" s="6">
        <f t="shared" si="3"/>
        <v>0</v>
      </c>
      <c r="X42" s="6" t="s">
        <v>439</v>
      </c>
      <c r="Y42" s="6">
        <f t="shared" si="7"/>
        <v>2445580.4096385543</v>
      </c>
      <c r="Z42" s="6">
        <f t="shared" si="8"/>
        <v>3532505.0361445784</v>
      </c>
      <c r="AA42" s="6" t="s">
        <v>439</v>
      </c>
      <c r="AB42" s="6">
        <v>0.1</v>
      </c>
      <c r="AC42" s="6">
        <v>1</v>
      </c>
      <c r="AD42" s="6">
        <v>0</v>
      </c>
      <c r="AE42" s="6" t="s">
        <v>442</v>
      </c>
      <c r="AH42" s="107"/>
    </row>
    <row r="43" spans="1:34" ht="16" thickBot="1" x14ac:dyDescent="0.25">
      <c r="A43" s="36">
        <v>215</v>
      </c>
      <c r="B43" s="17">
        <f t="shared" si="0"/>
        <v>2</v>
      </c>
      <c r="C43" s="37" t="s">
        <v>160</v>
      </c>
      <c r="D43" s="19" t="str">
        <f t="shared" si="1"/>
        <v xml:space="preserve">            Supply Chain Buildings</v>
      </c>
      <c r="E43" s="19"/>
      <c r="F43" s="19"/>
      <c r="G43" s="19"/>
      <c r="H43" s="5"/>
      <c r="I43" s="40"/>
      <c r="J43" s="23"/>
      <c r="K43" s="25"/>
      <c r="L43" s="23"/>
      <c r="M43" s="23"/>
      <c r="N43" s="23"/>
      <c r="O43" s="23"/>
      <c r="P43" s="23"/>
      <c r="Q43" s="25"/>
      <c r="R43" s="25"/>
      <c r="S43" s="39"/>
      <c r="T43" s="26"/>
      <c r="V43" s="106">
        <f t="shared" si="6"/>
        <v>0</v>
      </c>
      <c r="AH43" s="107"/>
    </row>
    <row r="44" spans="1:34" ht="16" thickBot="1" x14ac:dyDescent="0.25">
      <c r="A44" s="36">
        <v>215.1</v>
      </c>
      <c r="B44" s="17">
        <f t="shared" si="0"/>
        <v>3</v>
      </c>
      <c r="C44" s="37" t="s">
        <v>162</v>
      </c>
      <c r="D44" s="19" t="str">
        <f t="shared" si="1"/>
        <v xml:space="preserve">                  Storage Building</v>
      </c>
      <c r="E44" s="19"/>
      <c r="F44" s="19"/>
      <c r="G44" s="19"/>
      <c r="H44" s="5"/>
      <c r="I44" s="40"/>
      <c r="J44" s="23"/>
      <c r="K44" s="25"/>
      <c r="L44" s="23"/>
      <c r="M44" s="23"/>
      <c r="N44" s="23"/>
      <c r="O44" s="23"/>
      <c r="P44" s="23"/>
      <c r="Q44" s="25"/>
      <c r="R44" s="25"/>
      <c r="S44" s="39"/>
      <c r="T44" s="26"/>
      <c r="V44" s="106">
        <f t="shared" si="6"/>
        <v>0</v>
      </c>
      <c r="AH44" s="107"/>
    </row>
    <row r="45" spans="1:34" ht="31" thickBot="1" x14ac:dyDescent="0.25">
      <c r="A45" s="36">
        <v>215.11</v>
      </c>
      <c r="B45" s="17">
        <f t="shared" si="0"/>
        <v>4</v>
      </c>
      <c r="C45" s="37" t="s">
        <v>163</v>
      </c>
      <c r="D45" s="19" t="str">
        <f t="shared" si="1"/>
        <v xml:space="preserve">                        Storage Building Slab Roof</v>
      </c>
      <c r="E45" s="19" t="s">
        <v>345</v>
      </c>
      <c r="F45" s="19"/>
      <c r="G45" s="19"/>
      <c r="H45" s="5"/>
      <c r="I45" s="65">
        <f>1200 *1.53</f>
        <v>1836</v>
      </c>
      <c r="J45" s="23" t="s">
        <v>79</v>
      </c>
      <c r="K45" s="25" t="s">
        <v>169</v>
      </c>
      <c r="L45" s="23">
        <v>1</v>
      </c>
      <c r="M45" s="23" t="s">
        <v>81</v>
      </c>
      <c r="N45" s="23">
        <v>1</v>
      </c>
      <c r="O45" s="23">
        <v>2024</v>
      </c>
      <c r="P45" s="23" t="s">
        <v>77</v>
      </c>
      <c r="Q45" s="122" t="s">
        <v>82</v>
      </c>
      <c r="R45" s="110" t="s">
        <v>83</v>
      </c>
      <c r="S45" s="111" t="s">
        <v>84</v>
      </c>
      <c r="T45" s="26"/>
      <c r="U45" s="6" t="s">
        <v>421</v>
      </c>
      <c r="V45" s="106">
        <f t="shared" si="6"/>
        <v>0</v>
      </c>
      <c r="W45" s="6">
        <f t="shared" si="3"/>
        <v>0</v>
      </c>
      <c r="X45" s="6" t="s">
        <v>439</v>
      </c>
      <c r="Y45" s="6">
        <f t="shared" si="7"/>
        <v>1652.4</v>
      </c>
      <c r="Z45" s="6">
        <f t="shared" si="8"/>
        <v>2386.8000000000002</v>
      </c>
      <c r="AA45" s="6" t="s">
        <v>439</v>
      </c>
      <c r="AB45" s="6">
        <v>0.1</v>
      </c>
      <c r="AC45" s="6">
        <v>1</v>
      </c>
      <c r="AD45" s="6">
        <v>0</v>
      </c>
      <c r="AE45" s="6" t="s">
        <v>442</v>
      </c>
      <c r="AH45" s="107"/>
    </row>
    <row r="46" spans="1:34" ht="31" thickBot="1" x14ac:dyDescent="0.25">
      <c r="A46" s="36">
        <v>215.12</v>
      </c>
      <c r="B46" s="17">
        <f t="shared" si="0"/>
        <v>4</v>
      </c>
      <c r="C46" s="37" t="s">
        <v>164</v>
      </c>
      <c r="D46" s="19" t="str">
        <f t="shared" si="1"/>
        <v xml:space="preserve">                        Storage Building Basement</v>
      </c>
      <c r="E46" s="19" t="s">
        <v>345</v>
      </c>
      <c r="F46" s="19"/>
      <c r="G46" s="19"/>
      <c r="H46" s="5"/>
      <c r="I46" s="65">
        <f>943.9*1.53</f>
        <v>1444.1669999999999</v>
      </c>
      <c r="J46" s="23" t="s">
        <v>79</v>
      </c>
      <c r="K46" s="25" t="s">
        <v>170</v>
      </c>
      <c r="L46" s="23">
        <v>1</v>
      </c>
      <c r="M46" s="23" t="s">
        <v>81</v>
      </c>
      <c r="N46" s="23">
        <v>1</v>
      </c>
      <c r="O46" s="23">
        <v>2024</v>
      </c>
      <c r="P46" s="23" t="s">
        <v>77</v>
      </c>
      <c r="Q46" s="122"/>
      <c r="R46" s="110"/>
      <c r="S46" s="112"/>
      <c r="T46" s="26"/>
      <c r="U46" s="6" t="s">
        <v>421</v>
      </c>
      <c r="V46" s="106">
        <f t="shared" si="6"/>
        <v>0</v>
      </c>
      <c r="W46" s="6">
        <f t="shared" si="3"/>
        <v>0</v>
      </c>
      <c r="X46" s="6" t="s">
        <v>439</v>
      </c>
      <c r="Y46" s="6">
        <f t="shared" si="7"/>
        <v>1299.7502999999999</v>
      </c>
      <c r="Z46" s="6">
        <f t="shared" si="8"/>
        <v>1877.4170999999999</v>
      </c>
      <c r="AA46" s="6" t="s">
        <v>439</v>
      </c>
      <c r="AB46" s="6">
        <v>0.1</v>
      </c>
      <c r="AC46" s="6">
        <v>1</v>
      </c>
      <c r="AD46" s="6">
        <v>0</v>
      </c>
      <c r="AE46" s="6" t="s">
        <v>442</v>
      </c>
      <c r="AH46" s="107"/>
    </row>
    <row r="47" spans="1:34" ht="31" thickBot="1" x14ac:dyDescent="0.25">
      <c r="A47" s="36">
        <v>215.13</v>
      </c>
      <c r="B47" s="17">
        <f t="shared" si="0"/>
        <v>4</v>
      </c>
      <c r="C47" s="37" t="s">
        <v>165</v>
      </c>
      <c r="D47" s="19" t="str">
        <f t="shared" si="1"/>
        <v xml:space="preserve">                        Storage Building Walls</v>
      </c>
      <c r="E47" s="19" t="s">
        <v>345</v>
      </c>
      <c r="F47" s="19"/>
      <c r="G47" s="19"/>
      <c r="H47" s="5"/>
      <c r="I47" s="65">
        <f>721.21*1.53</f>
        <v>1103.4513000000002</v>
      </c>
      <c r="J47" s="23" t="s">
        <v>79</v>
      </c>
      <c r="K47" s="25" t="s">
        <v>171</v>
      </c>
      <c r="L47" s="23">
        <v>1</v>
      </c>
      <c r="M47" s="23" t="s">
        <v>81</v>
      </c>
      <c r="N47" s="23">
        <v>1</v>
      </c>
      <c r="O47" s="23">
        <v>2024</v>
      </c>
      <c r="P47" s="23" t="s">
        <v>77</v>
      </c>
      <c r="Q47" s="122"/>
      <c r="R47" s="110"/>
      <c r="S47" s="112"/>
      <c r="T47" s="26"/>
      <c r="U47" s="6" t="s">
        <v>421</v>
      </c>
      <c r="V47" s="106">
        <f t="shared" si="6"/>
        <v>0</v>
      </c>
      <c r="W47" s="6">
        <f t="shared" si="3"/>
        <v>0</v>
      </c>
      <c r="X47" s="6" t="s">
        <v>439</v>
      </c>
      <c r="Y47" s="6">
        <f t="shared" si="7"/>
        <v>993.10617000000013</v>
      </c>
      <c r="Z47" s="6">
        <f t="shared" si="8"/>
        <v>1434.4866900000002</v>
      </c>
      <c r="AA47" s="6" t="s">
        <v>439</v>
      </c>
      <c r="AB47" s="6">
        <v>0.1</v>
      </c>
      <c r="AC47" s="6">
        <v>1</v>
      </c>
      <c r="AD47" s="6">
        <v>0</v>
      </c>
      <c r="AE47" s="6" t="s">
        <v>442</v>
      </c>
      <c r="AH47" s="107"/>
    </row>
    <row r="48" spans="1:34" ht="16" thickBot="1" x14ac:dyDescent="0.25">
      <c r="A48" s="36">
        <v>215.4</v>
      </c>
      <c r="B48" s="17">
        <f t="shared" si="0"/>
        <v>3</v>
      </c>
      <c r="C48" s="37" t="s">
        <v>161</v>
      </c>
      <c r="D48" s="19" t="str">
        <f t="shared" si="1"/>
        <v xml:space="preserve">                  Radwaste Building</v>
      </c>
      <c r="E48" s="19"/>
      <c r="F48" s="19"/>
      <c r="G48" s="19"/>
      <c r="H48" s="5"/>
      <c r="I48" s="40"/>
      <c r="J48" s="23"/>
      <c r="K48" s="25"/>
      <c r="L48" s="23"/>
      <c r="M48" s="23"/>
      <c r="N48" s="23"/>
      <c r="O48" s="23"/>
      <c r="P48" s="23"/>
      <c r="Q48" s="25"/>
      <c r="R48" s="25"/>
      <c r="S48" s="39"/>
      <c r="T48" s="26"/>
      <c r="V48" s="106">
        <f t="shared" si="6"/>
        <v>0</v>
      </c>
      <c r="AH48" s="107"/>
    </row>
    <row r="49" spans="1:34" ht="31" thickBot="1" x14ac:dyDescent="0.25">
      <c r="A49" s="36">
        <v>215.41</v>
      </c>
      <c r="B49" s="17">
        <f t="shared" si="0"/>
        <v>4</v>
      </c>
      <c r="C49" s="37" t="s">
        <v>167</v>
      </c>
      <c r="D49" s="19" t="str">
        <f t="shared" si="1"/>
        <v xml:space="preserve">                        Radwaste Building Slab Roof</v>
      </c>
      <c r="E49" s="19" t="s">
        <v>345</v>
      </c>
      <c r="F49" s="19"/>
      <c r="G49" s="19"/>
      <c r="H49" s="5"/>
      <c r="I49" s="65">
        <f>1200 *1.53</f>
        <v>1836</v>
      </c>
      <c r="J49" s="23" t="s">
        <v>79</v>
      </c>
      <c r="K49" s="25" t="s">
        <v>172</v>
      </c>
      <c r="L49" s="23">
        <v>1</v>
      </c>
      <c r="M49" s="23" t="s">
        <v>81</v>
      </c>
      <c r="N49" s="23">
        <v>1</v>
      </c>
      <c r="O49" s="23">
        <v>2024</v>
      </c>
      <c r="P49" s="23" t="s">
        <v>77</v>
      </c>
      <c r="Q49" s="122" t="s">
        <v>82</v>
      </c>
      <c r="R49" s="110" t="s">
        <v>83</v>
      </c>
      <c r="S49" s="111" t="s">
        <v>84</v>
      </c>
      <c r="T49" s="26"/>
      <c r="U49" s="6" t="s">
        <v>421</v>
      </c>
      <c r="V49" s="106">
        <f t="shared" si="6"/>
        <v>0</v>
      </c>
      <c r="W49" s="6">
        <f t="shared" si="3"/>
        <v>0</v>
      </c>
      <c r="X49" s="6" t="s">
        <v>439</v>
      </c>
      <c r="Y49" s="6">
        <f t="shared" si="7"/>
        <v>1652.4</v>
      </c>
      <c r="Z49" s="6">
        <f t="shared" si="8"/>
        <v>2386.8000000000002</v>
      </c>
      <c r="AA49" s="6" t="s">
        <v>439</v>
      </c>
      <c r="AB49" s="6">
        <v>0.1</v>
      </c>
      <c r="AC49" s="6">
        <v>1</v>
      </c>
      <c r="AD49" s="6">
        <v>0</v>
      </c>
      <c r="AE49" s="6" t="s">
        <v>442</v>
      </c>
      <c r="AH49" s="107"/>
    </row>
    <row r="50" spans="1:34" ht="31" thickBot="1" x14ac:dyDescent="0.25">
      <c r="A50" s="36">
        <v>215.42</v>
      </c>
      <c r="B50" s="17">
        <f t="shared" si="0"/>
        <v>4</v>
      </c>
      <c r="C50" s="37" t="s">
        <v>166</v>
      </c>
      <c r="D50" s="19" t="str">
        <f t="shared" si="1"/>
        <v xml:space="preserve">                        Radwaste Building Basement</v>
      </c>
      <c r="E50" s="19" t="s">
        <v>345</v>
      </c>
      <c r="F50" s="19"/>
      <c r="G50" s="19"/>
      <c r="H50" s="5"/>
      <c r="I50" s="65">
        <f>943.9*1.53</f>
        <v>1444.1669999999999</v>
      </c>
      <c r="J50" s="23" t="s">
        <v>79</v>
      </c>
      <c r="K50" s="25" t="s">
        <v>173</v>
      </c>
      <c r="L50" s="23">
        <v>1</v>
      </c>
      <c r="M50" s="23" t="s">
        <v>81</v>
      </c>
      <c r="N50" s="23">
        <v>1</v>
      </c>
      <c r="O50" s="23">
        <v>2024</v>
      </c>
      <c r="P50" s="23" t="s">
        <v>77</v>
      </c>
      <c r="Q50" s="122"/>
      <c r="R50" s="110"/>
      <c r="S50" s="112"/>
      <c r="T50" s="26"/>
      <c r="U50" s="6" t="s">
        <v>421</v>
      </c>
      <c r="V50" s="106">
        <f t="shared" si="6"/>
        <v>0</v>
      </c>
      <c r="W50" s="6">
        <f t="shared" si="3"/>
        <v>0</v>
      </c>
      <c r="X50" s="6" t="s">
        <v>439</v>
      </c>
      <c r="Y50" s="6">
        <f t="shared" si="7"/>
        <v>1299.7502999999999</v>
      </c>
      <c r="Z50" s="6">
        <f t="shared" si="8"/>
        <v>1877.4170999999999</v>
      </c>
      <c r="AA50" s="6" t="s">
        <v>439</v>
      </c>
      <c r="AB50" s="6">
        <v>0.1</v>
      </c>
      <c r="AC50" s="6">
        <v>1</v>
      </c>
      <c r="AD50" s="6">
        <v>0</v>
      </c>
      <c r="AE50" s="6" t="s">
        <v>442</v>
      </c>
      <c r="AH50" s="107"/>
    </row>
    <row r="51" spans="1:34" ht="31" thickBot="1" x14ac:dyDescent="0.25">
      <c r="A51" s="36">
        <v>215.43</v>
      </c>
      <c r="B51" s="17">
        <f t="shared" si="0"/>
        <v>4</v>
      </c>
      <c r="C51" s="37" t="s">
        <v>168</v>
      </c>
      <c r="D51" s="19" t="str">
        <f t="shared" si="1"/>
        <v xml:space="preserve">                        Radwaste Building Walls</v>
      </c>
      <c r="E51" s="19" t="s">
        <v>345</v>
      </c>
      <c r="F51" s="19"/>
      <c r="G51" s="19"/>
      <c r="H51" s="5"/>
      <c r="I51" s="65">
        <f>721.21*1.53</f>
        <v>1103.4513000000002</v>
      </c>
      <c r="J51" s="23" t="s">
        <v>79</v>
      </c>
      <c r="K51" s="25" t="s">
        <v>174</v>
      </c>
      <c r="L51" s="23">
        <v>1</v>
      </c>
      <c r="M51" s="23" t="s">
        <v>81</v>
      </c>
      <c r="N51" s="23">
        <v>1</v>
      </c>
      <c r="O51" s="23">
        <v>2024</v>
      </c>
      <c r="P51" s="23" t="s">
        <v>77</v>
      </c>
      <c r="Q51" s="122"/>
      <c r="R51" s="110"/>
      <c r="S51" s="112"/>
      <c r="T51" s="26"/>
      <c r="U51" s="6" t="s">
        <v>421</v>
      </c>
      <c r="V51" s="106">
        <f t="shared" si="6"/>
        <v>0</v>
      </c>
      <c r="W51" s="6">
        <f t="shared" si="3"/>
        <v>0</v>
      </c>
      <c r="X51" s="6" t="s">
        <v>439</v>
      </c>
      <c r="Y51" s="6">
        <f t="shared" si="7"/>
        <v>993.10617000000013</v>
      </c>
      <c r="Z51" s="6">
        <f t="shared" si="8"/>
        <v>1434.4866900000002</v>
      </c>
      <c r="AA51" s="6" t="s">
        <v>439</v>
      </c>
      <c r="AB51" s="6">
        <v>0.1</v>
      </c>
      <c r="AC51" s="6">
        <v>1</v>
      </c>
      <c r="AD51" s="6">
        <v>0</v>
      </c>
      <c r="AE51" s="6" t="s">
        <v>442</v>
      </c>
      <c r="AH51" s="107"/>
    </row>
    <row r="52" spans="1:34"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c r="V52" s="106">
        <f t="shared" si="6"/>
        <v>0</v>
      </c>
      <c r="AH52" s="107"/>
    </row>
    <row r="53" spans="1:34"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c r="V53" s="106">
        <f t="shared" si="6"/>
        <v>0</v>
      </c>
      <c r="AH53" s="107"/>
    </row>
    <row r="54" spans="1:34" ht="30" customHeight="1" thickBot="1" x14ac:dyDescent="0.25">
      <c r="A54" s="36">
        <v>221.1</v>
      </c>
      <c r="B54" s="17">
        <f t="shared" si="0"/>
        <v>3</v>
      </c>
      <c r="C54" s="37" t="s">
        <v>127</v>
      </c>
      <c r="D54" s="19" t="str">
        <f t="shared" si="1"/>
        <v xml:space="preserve">                  Reactor Vessel and Accessories</v>
      </c>
      <c r="E54" s="19"/>
      <c r="F54" s="19"/>
      <c r="G54" s="19"/>
      <c r="H54" s="5"/>
      <c r="I54" s="68"/>
      <c r="J54" s="26"/>
      <c r="K54" s="42"/>
      <c r="L54" s="26"/>
      <c r="M54" s="26"/>
      <c r="N54" s="26"/>
      <c r="O54" s="26"/>
      <c r="P54" s="26"/>
      <c r="Q54" s="42"/>
      <c r="R54" s="26"/>
      <c r="S54" s="26"/>
      <c r="T54" s="26"/>
      <c r="V54" s="106">
        <f t="shared" si="6"/>
        <v>0</v>
      </c>
      <c r="AH54" s="107"/>
    </row>
    <row r="55" spans="1:34" ht="63" customHeight="1" thickBot="1" x14ac:dyDescent="0.25">
      <c r="A55" s="36">
        <v>221.11</v>
      </c>
      <c r="B55" s="17">
        <f t="shared" si="0"/>
        <v>4</v>
      </c>
      <c r="C55" s="37" t="s">
        <v>128</v>
      </c>
      <c r="D55" s="19" t="str">
        <f t="shared" si="1"/>
        <v xml:space="preserve">                        Reactor Support</v>
      </c>
      <c r="E55" s="19" t="s">
        <v>345</v>
      </c>
      <c r="F55" s="19"/>
      <c r="G55" s="19"/>
      <c r="H55" s="24"/>
      <c r="I55" s="69">
        <f>MARVEL_Cost!C16/L55</f>
        <v>311.55798937474458</v>
      </c>
      <c r="J55" s="26" t="s">
        <v>176</v>
      </c>
      <c r="K55" s="42" t="s">
        <v>332</v>
      </c>
      <c r="L55" s="26">
        <f>1000*('Design Variables'!B52+'Design Variables'!B49)</f>
        <v>2447</v>
      </c>
      <c r="M55" s="26" t="s">
        <v>175</v>
      </c>
      <c r="N55" s="26">
        <v>1</v>
      </c>
      <c r="O55" s="26">
        <v>2024</v>
      </c>
      <c r="P55" s="26" t="s">
        <v>77</v>
      </c>
      <c r="Q55" s="42" t="s">
        <v>177</v>
      </c>
      <c r="R55" s="127" t="s">
        <v>178</v>
      </c>
      <c r="S55" s="113" t="s">
        <v>182</v>
      </c>
      <c r="T55" s="42" t="s">
        <v>180</v>
      </c>
      <c r="U55" s="6" t="s">
        <v>422</v>
      </c>
      <c r="V55" s="106">
        <f t="shared" si="6"/>
        <v>0</v>
      </c>
      <c r="W55" s="6">
        <f t="shared" si="3"/>
        <v>0</v>
      </c>
      <c r="X55" s="6" t="s">
        <v>439</v>
      </c>
      <c r="Y55" s="6">
        <f t="shared" si="7"/>
        <v>280.40219043727012</v>
      </c>
      <c r="Z55" s="6">
        <f t="shared" si="8"/>
        <v>405.02538618716795</v>
      </c>
      <c r="AA55" s="6" t="s">
        <v>439</v>
      </c>
      <c r="AB55" s="6">
        <v>0.1</v>
      </c>
      <c r="AC55" s="6">
        <v>1</v>
      </c>
      <c r="AD55" s="6">
        <v>0</v>
      </c>
      <c r="AE55" s="6" t="s">
        <v>442</v>
      </c>
      <c r="AH55" s="107"/>
    </row>
    <row r="56" spans="1:34" ht="30" customHeight="1" thickBot="1" x14ac:dyDescent="0.25">
      <c r="A56" s="36">
        <v>221.12</v>
      </c>
      <c r="B56" s="17">
        <f t="shared" si="0"/>
        <v>4</v>
      </c>
      <c r="C56" s="37" t="s">
        <v>129</v>
      </c>
      <c r="D56" s="19" t="str">
        <f t="shared" si="1"/>
        <v xml:space="preserve">                        Outer Vessel Structure</v>
      </c>
      <c r="E56" s="19" t="s">
        <v>345</v>
      </c>
      <c r="F56" s="19"/>
      <c r="G56" s="19"/>
      <c r="H56" s="24"/>
      <c r="I56" s="69">
        <f>MARVEL_Cost!C17/L56</f>
        <v>757.20768746061754</v>
      </c>
      <c r="J56" s="26" t="s">
        <v>176</v>
      </c>
      <c r="K56" s="42" t="s">
        <v>183</v>
      </c>
      <c r="L56" s="8">
        <f>'Design Variables'!B52*1000</f>
        <v>1587</v>
      </c>
      <c r="M56" s="26" t="s">
        <v>175</v>
      </c>
      <c r="N56" s="26">
        <v>1</v>
      </c>
      <c r="O56" s="26">
        <v>2024</v>
      </c>
      <c r="P56" s="26" t="s">
        <v>77</v>
      </c>
      <c r="Q56" s="42" t="s">
        <v>177</v>
      </c>
      <c r="R56" s="128"/>
      <c r="S56" s="114"/>
      <c r="T56" s="26"/>
      <c r="U56" s="6" t="s">
        <v>422</v>
      </c>
      <c r="V56" s="106">
        <f t="shared" si="6"/>
        <v>0</v>
      </c>
      <c r="W56" s="6">
        <f t="shared" si="3"/>
        <v>0</v>
      </c>
      <c r="X56" s="6" t="s">
        <v>439</v>
      </c>
      <c r="Y56" s="6">
        <f t="shared" si="7"/>
        <v>681.48691871455583</v>
      </c>
      <c r="Z56" s="6">
        <f t="shared" si="8"/>
        <v>984.36999369880277</v>
      </c>
      <c r="AA56" s="6" t="s">
        <v>439</v>
      </c>
      <c r="AB56" s="6">
        <v>0.1</v>
      </c>
      <c r="AC56" s="6">
        <v>1</v>
      </c>
      <c r="AD56" s="6">
        <v>0</v>
      </c>
      <c r="AE56" s="6" t="s">
        <v>442</v>
      </c>
      <c r="AH56" s="107"/>
    </row>
    <row r="57" spans="1:34" ht="30" customHeight="1" thickBot="1" x14ac:dyDescent="0.25">
      <c r="A57" s="36">
        <v>221.13</v>
      </c>
      <c r="B57" s="17">
        <f t="shared" si="0"/>
        <v>4</v>
      </c>
      <c r="C57" s="37" t="s">
        <v>130</v>
      </c>
      <c r="D57" s="19" t="str">
        <f t="shared" si="1"/>
        <v xml:space="preserve">                        Inner Vessel Structure</v>
      </c>
      <c r="E57" s="19" t="s">
        <v>345</v>
      </c>
      <c r="F57" s="19"/>
      <c r="G57" s="19"/>
      <c r="H57" s="24">
        <f>MARVEL_Cost!C37+MARVEL_Cost!C36</f>
        <v>3369444.6</v>
      </c>
      <c r="I57" s="69">
        <f>(MARVEL_Cost!C35)/L57</f>
        <v>1768.3558139534885</v>
      </c>
      <c r="J57" s="26" t="s">
        <v>176</v>
      </c>
      <c r="K57" s="42" t="s">
        <v>179</v>
      </c>
      <c r="L57" s="26">
        <f>1000*'Design Variables'!B49</f>
        <v>860</v>
      </c>
      <c r="M57" s="26" t="s">
        <v>175</v>
      </c>
      <c r="N57" s="26">
        <v>1</v>
      </c>
      <c r="O57" s="26">
        <v>2024</v>
      </c>
      <c r="P57" s="26" t="s">
        <v>77</v>
      </c>
      <c r="Q57" s="42" t="s">
        <v>177</v>
      </c>
      <c r="R57" s="129"/>
      <c r="S57" s="115"/>
      <c r="T57" s="42" t="s">
        <v>181</v>
      </c>
      <c r="U57" s="6" t="s">
        <v>422</v>
      </c>
      <c r="V57" s="106">
        <f t="shared" si="6"/>
        <v>3032500.14</v>
      </c>
      <c r="W57" s="6">
        <f t="shared" si="3"/>
        <v>4380277.9800000004</v>
      </c>
      <c r="X57" s="6" t="s">
        <v>439</v>
      </c>
      <c r="Y57" s="6">
        <f t="shared" si="7"/>
        <v>1591.5202325581397</v>
      </c>
      <c r="Z57" s="6">
        <f t="shared" si="8"/>
        <v>2298.8625581395349</v>
      </c>
      <c r="AA57" s="6" t="s">
        <v>439</v>
      </c>
      <c r="AB57" s="6">
        <v>0.1</v>
      </c>
      <c r="AC57" s="6">
        <v>1</v>
      </c>
      <c r="AD57" s="6">
        <v>0</v>
      </c>
      <c r="AE57" s="6" t="s">
        <v>442</v>
      </c>
      <c r="AH57" s="107"/>
    </row>
    <row r="58" spans="1:34" ht="30" customHeight="1" thickBot="1" x14ac:dyDescent="0.25">
      <c r="A58" s="36">
        <v>221.2</v>
      </c>
      <c r="B58" s="17">
        <f t="shared" si="0"/>
        <v>3</v>
      </c>
      <c r="C58" s="37" t="s">
        <v>131</v>
      </c>
      <c r="D58" s="19" t="str">
        <f t="shared" si="1"/>
        <v xml:space="preserve">                  Reactor Control Devices</v>
      </c>
      <c r="E58" s="19"/>
      <c r="F58" s="19"/>
      <c r="G58" s="19"/>
      <c r="H58" s="24"/>
      <c r="I58" s="69"/>
      <c r="J58" s="26"/>
      <c r="K58" s="42"/>
      <c r="L58" s="26"/>
      <c r="M58" s="26"/>
      <c r="N58" s="26"/>
      <c r="O58" s="26"/>
      <c r="P58" s="26"/>
      <c r="Q58" s="42"/>
      <c r="R58" s="26"/>
      <c r="S58" s="26"/>
      <c r="T58" s="26"/>
      <c r="V58" s="106">
        <f t="shared" si="6"/>
        <v>0</v>
      </c>
      <c r="AH58" s="107"/>
    </row>
    <row r="59" spans="1:34" ht="30" customHeight="1" thickBot="1" x14ac:dyDescent="0.25">
      <c r="A59" s="36">
        <v>221.21</v>
      </c>
      <c r="B59" s="17">
        <f t="shared" si="0"/>
        <v>4</v>
      </c>
      <c r="C59" s="37" t="s">
        <v>132</v>
      </c>
      <c r="D59" s="19" t="str">
        <f t="shared" si="1"/>
        <v xml:space="preserve">                        Reactivity Control System </v>
      </c>
      <c r="E59" s="19"/>
      <c r="F59" s="19"/>
      <c r="G59" s="19"/>
      <c r="H59" s="24"/>
      <c r="I59" s="69"/>
      <c r="J59" s="26"/>
      <c r="K59" s="42"/>
      <c r="L59" s="26"/>
      <c r="M59" s="26"/>
      <c r="N59" s="26"/>
      <c r="O59" s="26"/>
      <c r="P59" s="26"/>
      <c r="Q59" s="42"/>
      <c r="R59" s="26"/>
      <c r="S59" s="26"/>
      <c r="T59" s="26"/>
      <c r="V59" s="106">
        <f t="shared" si="6"/>
        <v>0</v>
      </c>
      <c r="AH59" s="107"/>
    </row>
    <row r="60" spans="1:34" s="86" customFormat="1" ht="41" thickBot="1" x14ac:dyDescent="0.25">
      <c r="A60" s="77">
        <v>221.21100000000001</v>
      </c>
      <c r="B60" s="78">
        <f t="shared" si="0"/>
        <v>5</v>
      </c>
      <c r="C60" s="87" t="s">
        <v>12</v>
      </c>
      <c r="D60" s="80" t="str">
        <f t="shared" si="1"/>
        <v xml:space="preserve">                              Reactivity Control System Fabrication</v>
      </c>
      <c r="E60" s="80" t="s">
        <v>345</v>
      </c>
      <c r="F60" s="80"/>
      <c r="G60" s="80"/>
      <c r="H60" s="88">
        <f>MARVEL_Cost!C21</f>
        <v>1391560</v>
      </c>
      <c r="I60" s="89"/>
      <c r="J60" s="85"/>
      <c r="K60" s="90"/>
      <c r="L60" s="85"/>
      <c r="M60" s="85"/>
      <c r="N60" s="85"/>
      <c r="O60" s="85">
        <v>2024</v>
      </c>
      <c r="P60" s="85" t="s">
        <v>77</v>
      </c>
      <c r="Q60" s="90" t="s">
        <v>177</v>
      </c>
      <c r="R60" s="116" t="s">
        <v>178</v>
      </c>
      <c r="S60" s="119" t="s">
        <v>347</v>
      </c>
      <c r="T60" s="90" t="s">
        <v>187</v>
      </c>
      <c r="U60" s="86" t="s">
        <v>423</v>
      </c>
      <c r="V60" s="106">
        <f t="shared" si="6"/>
        <v>1252404</v>
      </c>
      <c r="W60" s="6">
        <f t="shared" si="3"/>
        <v>1809028</v>
      </c>
      <c r="X60" s="6" t="s">
        <v>439</v>
      </c>
      <c r="Y60" s="6">
        <f t="shared" si="7"/>
        <v>0</v>
      </c>
      <c r="Z60" s="6">
        <f t="shared" si="8"/>
        <v>0</v>
      </c>
      <c r="AA60" s="6" t="s">
        <v>439</v>
      </c>
      <c r="AB60" s="6">
        <v>0.1</v>
      </c>
      <c r="AC60" s="6">
        <v>1</v>
      </c>
      <c r="AD60" s="6">
        <v>0</v>
      </c>
      <c r="AE60" s="6" t="s">
        <v>442</v>
      </c>
      <c r="AH60" s="107"/>
    </row>
    <row r="61" spans="1:34" s="86" customFormat="1" ht="15" thickBot="1" x14ac:dyDescent="0.25">
      <c r="A61" s="77">
        <v>221.21199999999999</v>
      </c>
      <c r="B61" s="78">
        <f t="shared" si="0"/>
        <v>5</v>
      </c>
      <c r="C61" s="87" t="s">
        <v>133</v>
      </c>
      <c r="D61" s="80" t="str">
        <f t="shared" si="1"/>
        <v xml:space="preserve">                              Installation</v>
      </c>
      <c r="E61" s="80" t="s">
        <v>345</v>
      </c>
      <c r="F61" s="80"/>
      <c r="G61" s="80"/>
      <c r="H61" s="88">
        <f>MARVEL_Cost!C22</f>
        <v>322663</v>
      </c>
      <c r="I61" s="89"/>
      <c r="J61" s="85"/>
      <c r="K61" s="90"/>
      <c r="L61" s="85"/>
      <c r="M61" s="85"/>
      <c r="N61" s="85"/>
      <c r="O61" s="85">
        <v>2024</v>
      </c>
      <c r="P61" s="91" t="s">
        <v>85</v>
      </c>
      <c r="Q61" s="90" t="s">
        <v>177</v>
      </c>
      <c r="R61" s="117"/>
      <c r="S61" s="120"/>
      <c r="T61" s="85"/>
      <c r="U61" s="86" t="s">
        <v>423</v>
      </c>
      <c r="V61" s="106">
        <f t="shared" si="6"/>
        <v>290396.7</v>
      </c>
      <c r="W61" s="6">
        <f t="shared" si="3"/>
        <v>419461.9</v>
      </c>
      <c r="X61" s="6" t="s">
        <v>439</v>
      </c>
      <c r="Y61" s="6">
        <f t="shared" si="7"/>
        <v>0</v>
      </c>
      <c r="Z61" s="6">
        <f t="shared" si="8"/>
        <v>0</v>
      </c>
      <c r="AA61" s="6" t="s">
        <v>439</v>
      </c>
      <c r="AB61" s="6">
        <v>0.1</v>
      </c>
      <c r="AC61" s="6">
        <v>1</v>
      </c>
      <c r="AD61" s="6">
        <v>0</v>
      </c>
      <c r="AE61" s="6" t="s">
        <v>442</v>
      </c>
      <c r="AH61" s="107"/>
    </row>
    <row r="62" spans="1:34" s="86" customFormat="1" ht="30" customHeight="1" thickBot="1" x14ac:dyDescent="0.25">
      <c r="A62" s="77">
        <v>221.21299999999999</v>
      </c>
      <c r="B62" s="78">
        <f t="shared" si="0"/>
        <v>5</v>
      </c>
      <c r="C62" s="87" t="s">
        <v>184</v>
      </c>
      <c r="D62" s="80" t="str">
        <f>REPT("   ", B62*2) &amp; C62</f>
        <v xml:space="preserve">                              Control Drums Materials (Absorber)</v>
      </c>
      <c r="E62" s="80" t="s">
        <v>345</v>
      </c>
      <c r="F62" s="80" t="s">
        <v>331</v>
      </c>
      <c r="G62" s="80" t="s">
        <v>189</v>
      </c>
      <c r="H62" s="88"/>
      <c r="I62" s="89">
        <f>400000/L62</f>
        <v>14285.714285714286</v>
      </c>
      <c r="J62" s="85" t="s">
        <v>176</v>
      </c>
      <c r="K62" s="90" t="s">
        <v>188</v>
      </c>
      <c r="L62" s="85">
        <f>'Design Variables'!B28+'Design Variables'!B29</f>
        <v>28</v>
      </c>
      <c r="M62" s="85" t="s">
        <v>175</v>
      </c>
      <c r="N62" s="85">
        <v>1</v>
      </c>
      <c r="O62" s="85">
        <v>2024</v>
      </c>
      <c r="P62" s="85" t="s">
        <v>73</v>
      </c>
      <c r="Q62" s="90" t="s">
        <v>177</v>
      </c>
      <c r="R62" s="117"/>
      <c r="S62" s="120"/>
      <c r="T62" s="85"/>
      <c r="U62" s="86" t="s">
        <v>423</v>
      </c>
      <c r="V62" s="106">
        <f t="shared" si="6"/>
        <v>0</v>
      </c>
      <c r="W62" s="6">
        <f t="shared" si="3"/>
        <v>0</v>
      </c>
      <c r="X62" s="6" t="s">
        <v>439</v>
      </c>
      <c r="Y62" s="6">
        <f t="shared" si="7"/>
        <v>12857.142857142859</v>
      </c>
      <c r="Z62" s="6">
        <f t="shared" si="8"/>
        <v>18571.428571428572</v>
      </c>
      <c r="AA62" s="6" t="s">
        <v>439</v>
      </c>
      <c r="AB62" s="6">
        <v>0.1</v>
      </c>
      <c r="AC62" s="6">
        <v>1</v>
      </c>
      <c r="AD62" s="6">
        <v>0</v>
      </c>
      <c r="AE62" s="6" t="s">
        <v>442</v>
      </c>
      <c r="AH62" s="107"/>
    </row>
    <row r="63" spans="1:34" s="86" customFormat="1" ht="30" customHeight="1" thickBot="1" x14ac:dyDescent="0.25">
      <c r="A63" s="77">
        <v>221.214</v>
      </c>
      <c r="B63" s="78">
        <f t="shared" si="0"/>
        <v>5</v>
      </c>
      <c r="C63" s="87" t="s">
        <v>185</v>
      </c>
      <c r="D63" s="80" t="str">
        <f t="shared" si="1"/>
        <v xml:space="preserve">                              Control Drums Materials (Reflector)</v>
      </c>
      <c r="E63" s="80" t="s">
        <v>345</v>
      </c>
      <c r="F63" s="80" t="s">
        <v>330</v>
      </c>
      <c r="G63" s="80" t="s">
        <v>264</v>
      </c>
      <c r="H63" s="88"/>
      <c r="I63" s="92">
        <f>MARVEL_Cost!C27/L63</f>
        <v>10062.893081761007</v>
      </c>
      <c r="J63" s="85" t="s">
        <v>176</v>
      </c>
      <c r="K63" s="90" t="s">
        <v>186</v>
      </c>
      <c r="L63" s="85">
        <f>'Design Variables'!B17</f>
        <v>318</v>
      </c>
      <c r="M63" s="85" t="s">
        <v>175</v>
      </c>
      <c r="N63" s="85">
        <v>1</v>
      </c>
      <c r="O63" s="85">
        <v>2024</v>
      </c>
      <c r="P63" s="85" t="s">
        <v>73</v>
      </c>
      <c r="Q63" s="90" t="s">
        <v>177</v>
      </c>
      <c r="R63" s="118"/>
      <c r="S63" s="121"/>
      <c r="T63" s="85"/>
      <c r="U63" s="86" t="s">
        <v>423</v>
      </c>
      <c r="V63" s="106">
        <f t="shared" si="6"/>
        <v>0</v>
      </c>
      <c r="W63" s="6">
        <f t="shared" si="3"/>
        <v>0</v>
      </c>
      <c r="X63" s="6" t="s">
        <v>439</v>
      </c>
      <c r="Y63" s="6">
        <f t="shared" si="7"/>
        <v>9056.6037735849059</v>
      </c>
      <c r="Z63" s="6">
        <f t="shared" si="8"/>
        <v>13081.761006289309</v>
      </c>
      <c r="AA63" s="6" t="s">
        <v>439</v>
      </c>
      <c r="AB63" s="6">
        <v>0.1</v>
      </c>
      <c r="AC63" s="6">
        <v>1</v>
      </c>
      <c r="AD63" s="6">
        <v>0</v>
      </c>
      <c r="AE63" s="6" t="s">
        <v>442</v>
      </c>
      <c r="AH63" s="107"/>
    </row>
    <row r="64" spans="1:34" s="86" customFormat="1" ht="30" customHeight="1" thickBot="1" x14ac:dyDescent="0.25">
      <c r="A64" s="77">
        <v>221.214</v>
      </c>
      <c r="B64" s="78">
        <f t="shared" ref="B64" si="9">IF(ISNUMBER(A64),
    IF(AND(A64=INT(A64), MOD(A64, 10) = 0), 0,
        IF(AND(A64=INT(A64), LEN(A64)=2), 1,
            IF(AND(A64=INT(A64), LEN(A64)=3), 2,
                LEN(A64) - FIND(".", A64) + 2)
        )
    ),
"")</f>
        <v>5</v>
      </c>
      <c r="C64" s="87" t="s">
        <v>185</v>
      </c>
      <c r="D64" s="80" t="str">
        <f t="shared" ref="D64" si="10">REPT("   ", B64*2) &amp; C64</f>
        <v xml:space="preserve">                              Control Drums Materials (Reflector)</v>
      </c>
      <c r="E64" s="80" t="s">
        <v>345</v>
      </c>
      <c r="F64" s="80" t="s">
        <v>330</v>
      </c>
      <c r="G64" s="80" t="s">
        <v>414</v>
      </c>
      <c r="H64" s="88"/>
      <c r="I64" s="92">
        <f>MARVEL_Cost!C28/L64</f>
        <v>44736.84210526316</v>
      </c>
      <c r="J64" s="85" t="s">
        <v>176</v>
      </c>
      <c r="K64" s="90" t="s">
        <v>186</v>
      </c>
      <c r="L64" s="85">
        <f>1000*'Design Variables'!B19</f>
        <v>19</v>
      </c>
      <c r="M64" s="85" t="s">
        <v>175</v>
      </c>
      <c r="N64" s="85">
        <v>1</v>
      </c>
      <c r="O64" s="85">
        <v>2024</v>
      </c>
      <c r="P64" s="85" t="s">
        <v>73</v>
      </c>
      <c r="Q64" s="90" t="s">
        <v>177</v>
      </c>
      <c r="R64" s="103"/>
      <c r="S64" s="104"/>
      <c r="T64" s="85"/>
      <c r="U64" s="86" t="s">
        <v>423</v>
      </c>
      <c r="V64" s="106">
        <f t="shared" si="6"/>
        <v>0</v>
      </c>
      <c r="W64" s="6">
        <f t="shared" si="3"/>
        <v>0</v>
      </c>
      <c r="X64" s="6" t="s">
        <v>439</v>
      </c>
      <c r="Y64" s="6">
        <f t="shared" si="7"/>
        <v>40263.157894736847</v>
      </c>
      <c r="Z64" s="6">
        <f t="shared" si="8"/>
        <v>58157.894736842107</v>
      </c>
      <c r="AA64" s="6" t="s">
        <v>439</v>
      </c>
      <c r="AB64" s="6">
        <v>0.1</v>
      </c>
      <c r="AC64" s="6">
        <v>1</v>
      </c>
      <c r="AD64" s="6">
        <v>0</v>
      </c>
      <c r="AE64" s="6" t="s">
        <v>442</v>
      </c>
      <c r="AH64" s="107"/>
    </row>
    <row r="65" spans="1:34" ht="16" thickBot="1" x14ac:dyDescent="0.25">
      <c r="A65" s="36">
        <v>221.3</v>
      </c>
      <c r="B65" s="17">
        <f t="shared" si="0"/>
        <v>3</v>
      </c>
      <c r="C65" s="37" t="s">
        <v>134</v>
      </c>
      <c r="D65" s="19" t="str">
        <f t="shared" si="1"/>
        <v xml:space="preserve">                  Non-Fuel Core Internals</v>
      </c>
      <c r="E65" s="19" t="s">
        <v>345</v>
      </c>
      <c r="F65" s="19"/>
      <c r="G65" s="19"/>
      <c r="H65" s="24"/>
      <c r="I65" s="69"/>
      <c r="N65" s="26"/>
      <c r="O65" s="26"/>
      <c r="P65" s="26"/>
      <c r="Q65" s="42"/>
      <c r="R65" s="26"/>
      <c r="S65" s="26"/>
      <c r="T65" s="26"/>
      <c r="V65" s="106">
        <f t="shared" si="6"/>
        <v>0</v>
      </c>
      <c r="W65" s="6">
        <f t="shared" si="3"/>
        <v>0</v>
      </c>
      <c r="X65" s="6" t="s">
        <v>439</v>
      </c>
      <c r="Y65" s="6">
        <f t="shared" si="7"/>
        <v>0</v>
      </c>
      <c r="Z65" s="6">
        <f t="shared" si="8"/>
        <v>0</v>
      </c>
      <c r="AA65" s="6" t="s">
        <v>439</v>
      </c>
      <c r="AB65" s="6">
        <v>0.1</v>
      </c>
      <c r="AC65" s="6">
        <v>1</v>
      </c>
      <c r="AD65" s="6">
        <v>0</v>
      </c>
      <c r="AE65" s="6" t="s">
        <v>442</v>
      </c>
      <c r="AH65" s="107"/>
    </row>
    <row r="66" spans="1:34" ht="16" thickBot="1" x14ac:dyDescent="0.25">
      <c r="A66" s="36">
        <v>221.31</v>
      </c>
      <c r="B66" s="17">
        <f t="shared" si="0"/>
        <v>4</v>
      </c>
      <c r="C66" s="37" t="s">
        <v>13</v>
      </c>
      <c r="D66" s="19" t="str">
        <f t="shared" si="1"/>
        <v xml:space="preserve">                        Reflector</v>
      </c>
      <c r="E66" s="19" t="s">
        <v>345</v>
      </c>
      <c r="F66" s="19" t="s">
        <v>13</v>
      </c>
      <c r="G66" s="19" t="s">
        <v>264</v>
      </c>
      <c r="H66" s="24">
        <f>MARVEL_Cost!C29</f>
        <v>120231</v>
      </c>
      <c r="I66" s="70">
        <f>MARVEL_Cost!C27/L66</f>
        <v>10062.893081761007</v>
      </c>
      <c r="J66" s="26" t="s">
        <v>176</v>
      </c>
      <c r="K66" s="42" t="s">
        <v>333</v>
      </c>
      <c r="L66" s="26">
        <f>'Design Variables'!B17</f>
        <v>318</v>
      </c>
      <c r="M66" s="26" t="s">
        <v>175</v>
      </c>
      <c r="N66" s="26">
        <v>1</v>
      </c>
      <c r="O66" s="26">
        <v>2024</v>
      </c>
      <c r="P66" s="26" t="s">
        <v>73</v>
      </c>
      <c r="Q66" s="42" t="s">
        <v>177</v>
      </c>
      <c r="R66" s="127" t="s">
        <v>178</v>
      </c>
      <c r="S66" s="113" t="s">
        <v>182</v>
      </c>
      <c r="T66" s="26"/>
      <c r="U66" s="6" t="s">
        <v>424</v>
      </c>
      <c r="V66" s="106">
        <f t="shared" si="6"/>
        <v>108207.90000000001</v>
      </c>
      <c r="W66" s="6">
        <f t="shared" si="3"/>
        <v>156300.30000000002</v>
      </c>
      <c r="X66" s="6" t="s">
        <v>439</v>
      </c>
      <c r="Y66" s="6">
        <f t="shared" si="7"/>
        <v>9056.6037735849059</v>
      </c>
      <c r="Z66" s="6">
        <f t="shared" si="8"/>
        <v>13081.761006289309</v>
      </c>
      <c r="AA66" s="6" t="s">
        <v>439</v>
      </c>
      <c r="AB66" s="6">
        <v>0.1</v>
      </c>
      <c r="AC66" s="6">
        <v>1</v>
      </c>
      <c r="AD66" s="6">
        <v>0</v>
      </c>
      <c r="AE66" s="6" t="s">
        <v>442</v>
      </c>
      <c r="AH66" s="107"/>
    </row>
    <row r="67" spans="1:34" ht="16" thickBot="1" x14ac:dyDescent="0.25">
      <c r="A67" s="36">
        <v>221.31</v>
      </c>
      <c r="B67" s="17">
        <f t="shared" ref="B67" si="11">IF(ISNUMBER(A67),
    IF(AND(A67=INT(A67), MOD(A67, 10) = 0), 0,
        IF(AND(A67=INT(A67), LEN(A67)=2), 1,
            IF(AND(A67=INT(A67), LEN(A67)=3), 2,
                LEN(A67) - FIND(".", A67) + 2)
        )
    ),
"")</f>
        <v>4</v>
      </c>
      <c r="C67" s="37" t="s">
        <v>13</v>
      </c>
      <c r="D67" s="19" t="str">
        <f t="shared" ref="D67" si="12">REPT("   ", B67*2) &amp; C67</f>
        <v xml:space="preserve">                        Reflector</v>
      </c>
      <c r="E67" s="19" t="s">
        <v>345</v>
      </c>
      <c r="F67" s="19" t="s">
        <v>13</v>
      </c>
      <c r="G67" s="19" t="s">
        <v>414</v>
      </c>
      <c r="H67" s="24"/>
      <c r="I67" s="70">
        <f>I64</f>
        <v>44736.84210526316</v>
      </c>
      <c r="J67" s="26" t="s">
        <v>176</v>
      </c>
      <c r="K67" s="42" t="s">
        <v>333</v>
      </c>
      <c r="L67" s="26">
        <f>L64</f>
        <v>19</v>
      </c>
      <c r="M67" s="26" t="s">
        <v>175</v>
      </c>
      <c r="N67" s="26">
        <v>1</v>
      </c>
      <c r="O67" s="26">
        <v>2024</v>
      </c>
      <c r="P67" s="26" t="s">
        <v>73</v>
      </c>
      <c r="Q67" s="42" t="s">
        <v>177</v>
      </c>
      <c r="R67" s="128"/>
      <c r="S67" s="114"/>
      <c r="T67" s="26"/>
      <c r="U67" s="6" t="s">
        <v>424</v>
      </c>
      <c r="V67" s="106">
        <f t="shared" si="6"/>
        <v>0</v>
      </c>
      <c r="W67" s="6">
        <f t="shared" ref="W67:W124" si="13">1.3*H67</f>
        <v>0</v>
      </c>
      <c r="X67" s="6" t="s">
        <v>439</v>
      </c>
      <c r="Y67" s="6">
        <f t="shared" si="7"/>
        <v>40263.157894736847</v>
      </c>
      <c r="Z67" s="6">
        <f t="shared" si="8"/>
        <v>58157.894736842107</v>
      </c>
      <c r="AA67" s="6" t="s">
        <v>439</v>
      </c>
      <c r="AB67" s="6">
        <v>0.1</v>
      </c>
      <c r="AC67" s="6">
        <v>1</v>
      </c>
      <c r="AD67" s="6">
        <v>0</v>
      </c>
      <c r="AE67" s="6" t="s">
        <v>442</v>
      </c>
      <c r="AH67" s="107"/>
    </row>
    <row r="68" spans="1:34" ht="16" thickBot="1" x14ac:dyDescent="0.25">
      <c r="A68" s="36">
        <v>221.32</v>
      </c>
      <c r="B68" s="17">
        <f t="shared" si="0"/>
        <v>4</v>
      </c>
      <c r="C68" s="37" t="s">
        <v>14</v>
      </c>
      <c r="D68" s="19" t="str">
        <f t="shared" si="1"/>
        <v xml:space="preserve">                        Shield</v>
      </c>
      <c r="E68" s="19"/>
      <c r="F68" s="19"/>
      <c r="G68" s="19"/>
      <c r="H68" s="24"/>
      <c r="I68" s="69"/>
      <c r="J68" s="26"/>
      <c r="K68" s="42"/>
      <c r="L68" s="26"/>
      <c r="M68" s="26"/>
      <c r="N68" s="26"/>
      <c r="O68" s="26"/>
      <c r="P68" s="26"/>
      <c r="Q68" s="42"/>
      <c r="R68" s="128"/>
      <c r="S68" s="114"/>
      <c r="T68" s="26"/>
      <c r="V68" s="106"/>
      <c r="AH68" s="107"/>
    </row>
    <row r="69" spans="1:34" s="86" customFormat="1" ht="30" customHeight="1" thickBot="1" x14ac:dyDescent="0.25">
      <c r="A69" s="77">
        <v>221.321</v>
      </c>
      <c r="B69" s="78">
        <f t="shared" si="0"/>
        <v>5</v>
      </c>
      <c r="C69" s="87" t="s">
        <v>135</v>
      </c>
      <c r="D69" s="80" t="str">
        <f t="shared" si="1"/>
        <v xml:space="preserve">                              In Vessel Shield Materials</v>
      </c>
      <c r="E69" s="80" t="s">
        <v>345</v>
      </c>
      <c r="F69" s="80" t="s">
        <v>415</v>
      </c>
      <c r="G69" s="80" t="s">
        <v>189</v>
      </c>
      <c r="H69" s="88">
        <f>MARVEL_Cost!C30</f>
        <v>647990.6</v>
      </c>
      <c r="I69" s="89">
        <f>I62</f>
        <v>14285.714285714286</v>
      </c>
      <c r="J69" s="85" t="s">
        <v>176</v>
      </c>
      <c r="K69" s="90" t="s">
        <v>411</v>
      </c>
      <c r="L69" s="85">
        <f>L62</f>
        <v>28</v>
      </c>
      <c r="M69" s="85" t="s">
        <v>175</v>
      </c>
      <c r="N69" s="85">
        <v>1</v>
      </c>
      <c r="O69" s="85">
        <v>2024</v>
      </c>
      <c r="P69" s="85" t="s">
        <v>73</v>
      </c>
      <c r="Q69" s="90" t="s">
        <v>177</v>
      </c>
      <c r="R69" s="128"/>
      <c r="S69" s="114"/>
      <c r="T69" s="85"/>
      <c r="U69" s="6" t="s">
        <v>424</v>
      </c>
      <c r="V69" s="106">
        <f t="shared" si="6"/>
        <v>583191.54</v>
      </c>
      <c r="W69" s="6">
        <f t="shared" si="13"/>
        <v>842387.78</v>
      </c>
      <c r="X69" s="6" t="s">
        <v>439</v>
      </c>
      <c r="Y69" s="6">
        <f t="shared" si="7"/>
        <v>12857.142857142859</v>
      </c>
      <c r="Z69" s="6">
        <f t="shared" si="8"/>
        <v>18571.428571428572</v>
      </c>
      <c r="AA69" s="6" t="s">
        <v>439</v>
      </c>
      <c r="AB69" s="6">
        <v>0.1</v>
      </c>
      <c r="AC69" s="6">
        <v>1</v>
      </c>
      <c r="AD69" s="6">
        <v>0</v>
      </c>
      <c r="AE69" s="6" t="s">
        <v>442</v>
      </c>
      <c r="AH69" s="107"/>
    </row>
    <row r="70" spans="1:34" s="86" customFormat="1" ht="30" customHeight="1" thickBot="1" x14ac:dyDescent="0.25">
      <c r="A70" s="77">
        <v>221.322</v>
      </c>
      <c r="B70" s="78">
        <f t="shared" si="0"/>
        <v>5</v>
      </c>
      <c r="C70" s="87" t="s">
        <v>136</v>
      </c>
      <c r="D70" s="80" t="str">
        <f t="shared" si="1"/>
        <v xml:space="preserve">                              Out The Vessel Shield Materials</v>
      </c>
      <c r="E70" s="80" t="s">
        <v>345</v>
      </c>
      <c r="F70" s="80" t="s">
        <v>416</v>
      </c>
      <c r="G70" s="80" t="s">
        <v>334</v>
      </c>
      <c r="H70" s="88"/>
      <c r="I70" s="89">
        <v>20</v>
      </c>
      <c r="J70" s="85" t="s">
        <v>176</v>
      </c>
      <c r="K70" s="90" t="s">
        <v>412</v>
      </c>
      <c r="L70" s="85">
        <f>'Design Variables'!B43</f>
        <v>925.3</v>
      </c>
      <c r="M70" s="85" t="s">
        <v>175</v>
      </c>
      <c r="N70" s="85">
        <v>1</v>
      </c>
      <c r="O70" s="85">
        <v>2024</v>
      </c>
      <c r="P70" s="85" t="s">
        <v>73</v>
      </c>
      <c r="Q70" s="90" t="s">
        <v>177</v>
      </c>
      <c r="R70" s="129"/>
      <c r="S70" s="115"/>
      <c r="T70" s="85"/>
      <c r="U70" s="6" t="s">
        <v>424</v>
      </c>
      <c r="V70" s="106">
        <f t="shared" ref="V70:V124" si="14">0.9*H70</f>
        <v>0</v>
      </c>
      <c r="W70" s="6">
        <f t="shared" si="13"/>
        <v>0</v>
      </c>
      <c r="X70" s="6" t="s">
        <v>439</v>
      </c>
      <c r="Y70" s="6">
        <f t="shared" si="7"/>
        <v>18</v>
      </c>
      <c r="Z70" s="6">
        <f t="shared" si="8"/>
        <v>26</v>
      </c>
      <c r="AA70" s="6" t="s">
        <v>439</v>
      </c>
      <c r="AB70" s="6">
        <v>0.1</v>
      </c>
      <c r="AC70" s="6">
        <v>1</v>
      </c>
      <c r="AD70" s="6">
        <v>0</v>
      </c>
      <c r="AE70" s="6" t="s">
        <v>442</v>
      </c>
      <c r="AH70" s="107"/>
    </row>
    <row r="71" spans="1:34" ht="69" customHeight="1" thickBot="1" x14ac:dyDescent="0.25">
      <c r="A71" s="36">
        <v>221.33</v>
      </c>
      <c r="B71" s="17">
        <f t="shared" si="0"/>
        <v>4</v>
      </c>
      <c r="C71" s="37" t="s">
        <v>202</v>
      </c>
      <c r="D71" s="19" t="str">
        <f>REPT("   ", B72*2) &amp; C71</f>
        <v xml:space="preserve">                        Moderator</v>
      </c>
      <c r="E71" s="19" t="s">
        <v>345</v>
      </c>
      <c r="F71" s="19" t="s">
        <v>202</v>
      </c>
      <c r="G71" s="19" t="s">
        <v>335</v>
      </c>
      <c r="H71" s="24"/>
      <c r="I71" s="69">
        <v>1520</v>
      </c>
      <c r="J71" s="26" t="s">
        <v>176</v>
      </c>
      <c r="K71" s="42" t="s">
        <v>337</v>
      </c>
      <c r="L71" s="6">
        <v>1</v>
      </c>
      <c r="M71" s="26" t="s">
        <v>175</v>
      </c>
      <c r="N71" s="26">
        <v>1</v>
      </c>
      <c r="O71" s="26">
        <v>2017</v>
      </c>
      <c r="P71" s="26" t="s">
        <v>73</v>
      </c>
      <c r="Q71" s="42" t="s">
        <v>338</v>
      </c>
      <c r="R71" s="73" t="s">
        <v>339</v>
      </c>
      <c r="S71" s="75"/>
      <c r="T71" s="26"/>
      <c r="U71" s="6" t="s">
        <v>424</v>
      </c>
      <c r="V71" s="106">
        <f t="shared" si="14"/>
        <v>0</v>
      </c>
      <c r="W71" s="6">
        <f t="shared" si="13"/>
        <v>0</v>
      </c>
      <c r="X71" s="6" t="s">
        <v>439</v>
      </c>
      <c r="Y71" s="6">
        <f t="shared" si="7"/>
        <v>1368</v>
      </c>
      <c r="Z71" s="6">
        <f t="shared" si="8"/>
        <v>1976</v>
      </c>
      <c r="AA71" s="6" t="s">
        <v>439</v>
      </c>
      <c r="AB71" s="6">
        <v>0.1</v>
      </c>
      <c r="AC71" s="6">
        <v>1</v>
      </c>
      <c r="AD71" s="6">
        <v>0</v>
      </c>
      <c r="AE71" s="6" t="s">
        <v>442</v>
      </c>
      <c r="AH71" s="107"/>
    </row>
    <row r="72" spans="1:34" ht="30" customHeight="1" thickBot="1" x14ac:dyDescent="0.25">
      <c r="A72" s="36">
        <v>221.33</v>
      </c>
      <c r="B72" s="17">
        <f t="shared" si="0"/>
        <v>4</v>
      </c>
      <c r="C72" s="37" t="s">
        <v>202</v>
      </c>
      <c r="D72" s="19" t="str">
        <f>REPT("   ", B73*2) &amp; C72</f>
        <v xml:space="preserve">            Moderator</v>
      </c>
      <c r="E72" s="19" t="s">
        <v>345</v>
      </c>
      <c r="F72" s="19" t="s">
        <v>202</v>
      </c>
      <c r="G72" s="19" t="s">
        <v>336</v>
      </c>
      <c r="H72" s="24"/>
      <c r="I72" s="69">
        <v>75</v>
      </c>
      <c r="J72" s="26" t="s">
        <v>176</v>
      </c>
      <c r="K72" s="42" t="s">
        <v>337</v>
      </c>
      <c r="L72" s="6">
        <v>1</v>
      </c>
      <c r="M72" s="26" t="s">
        <v>175</v>
      </c>
      <c r="N72" s="26">
        <v>1</v>
      </c>
      <c r="O72" s="26">
        <v>2024</v>
      </c>
      <c r="P72" s="26" t="s">
        <v>73</v>
      </c>
      <c r="Q72" s="76" t="s">
        <v>340</v>
      </c>
      <c r="R72" s="74"/>
      <c r="S72" s="75"/>
      <c r="T72" s="26"/>
      <c r="U72" s="6" t="s">
        <v>424</v>
      </c>
      <c r="V72" s="106">
        <f t="shared" si="14"/>
        <v>0</v>
      </c>
      <c r="W72" s="6">
        <f t="shared" si="13"/>
        <v>0</v>
      </c>
      <c r="X72" s="6" t="s">
        <v>439</v>
      </c>
      <c r="Y72" s="6">
        <f t="shared" si="7"/>
        <v>67.5</v>
      </c>
      <c r="Z72" s="6">
        <f t="shared" si="8"/>
        <v>97.5</v>
      </c>
      <c r="AA72" s="6" t="s">
        <v>439</v>
      </c>
      <c r="AB72" s="6">
        <v>0.1</v>
      </c>
      <c r="AC72" s="6">
        <v>1</v>
      </c>
      <c r="AD72" s="6">
        <v>0</v>
      </c>
      <c r="AE72" s="6" t="s">
        <v>442</v>
      </c>
      <c r="AH72" s="107"/>
    </row>
    <row r="73" spans="1:34" ht="30" customHeight="1" thickBot="1" x14ac:dyDescent="0.25">
      <c r="A73" s="36">
        <v>222</v>
      </c>
      <c r="B73" s="17">
        <f t="shared" si="0"/>
        <v>2</v>
      </c>
      <c r="C73" s="37" t="s">
        <v>15</v>
      </c>
      <c r="D73" s="19" t="str">
        <f t="shared" si="1"/>
        <v xml:space="preserve">            Main Heat Transport System</v>
      </c>
      <c r="E73" s="19"/>
      <c r="F73" s="19"/>
      <c r="G73" s="19"/>
      <c r="H73" s="24"/>
      <c r="I73" s="69"/>
      <c r="J73" s="26"/>
      <c r="K73" s="42"/>
      <c r="M73" s="26"/>
      <c r="N73" s="26"/>
      <c r="O73" s="26"/>
      <c r="P73" s="26"/>
      <c r="Q73" s="42"/>
      <c r="R73" s="74"/>
      <c r="S73" s="26"/>
      <c r="T73" s="26"/>
      <c r="V73" s="106">
        <f t="shared" si="14"/>
        <v>0</v>
      </c>
      <c r="AH73" s="107"/>
    </row>
    <row r="74" spans="1:34" ht="16" thickBot="1" x14ac:dyDescent="0.25">
      <c r="A74" s="36">
        <v>222.1</v>
      </c>
      <c r="B74" s="17">
        <f t="shared" ref="B74:B80" si="15">IF(ISNUMBER(A74),
    IF(AND(A74=INT(A74), MOD(A74, 10) = 0), 0,
        IF(AND(A74=INT(A74), LEN(A74)=2), 1,
            IF(AND(A74=INT(A74), LEN(A74)=3), 2,
                LEN(A74) - FIND(".", A74) + 2)
        )
    ),
"")</f>
        <v>3</v>
      </c>
      <c r="C74" s="37" t="s">
        <v>358</v>
      </c>
      <c r="D74" s="19" t="str">
        <f t="shared" si="1"/>
        <v xml:space="preserve">                  Fluid Circulation Drive System</v>
      </c>
      <c r="E74" s="19"/>
      <c r="F74" s="19"/>
      <c r="G74" s="19"/>
      <c r="H74" s="24"/>
      <c r="J74" s="26"/>
      <c r="K74" s="42"/>
      <c r="L74" s="26"/>
      <c r="M74" s="26"/>
      <c r="N74" s="26"/>
      <c r="O74" s="26"/>
      <c r="P74" s="26"/>
      <c r="Q74" s="42"/>
      <c r="R74" s="26"/>
      <c r="S74" s="26"/>
      <c r="T74" s="26"/>
      <c r="V74" s="106">
        <f t="shared" si="14"/>
        <v>0</v>
      </c>
      <c r="AH74" s="107"/>
    </row>
    <row r="75" spans="1:34" ht="61" customHeight="1" thickBot="1" x14ac:dyDescent="0.25">
      <c r="A75" s="30">
        <v>222.11</v>
      </c>
      <c r="B75" s="17">
        <f t="shared" si="15"/>
        <v>4</v>
      </c>
      <c r="C75" s="37" t="s">
        <v>354</v>
      </c>
      <c r="D75" s="19" t="str">
        <f>REPT("   ", B75*2) &amp; C75</f>
        <v xml:space="preserve">                        Primary Pump</v>
      </c>
      <c r="E75" s="19" t="s">
        <v>346</v>
      </c>
      <c r="F75" s="19" t="s">
        <v>354</v>
      </c>
      <c r="G75" s="19" t="s">
        <v>363</v>
      </c>
      <c r="H75" s="24"/>
      <c r="I75" s="69">
        <f>12.5*705.48</f>
        <v>8818.5</v>
      </c>
      <c r="J75" s="26" t="s">
        <v>351</v>
      </c>
      <c r="K75" s="42" t="s">
        <v>341</v>
      </c>
      <c r="L75" s="26"/>
      <c r="M75" s="26"/>
      <c r="N75" s="26">
        <v>0.71</v>
      </c>
      <c r="O75" s="26">
        <v>2003</v>
      </c>
      <c r="P75" s="26" t="s">
        <v>74</v>
      </c>
      <c r="Q75" s="42" t="s">
        <v>349</v>
      </c>
      <c r="R75" s="108" t="s">
        <v>348</v>
      </c>
      <c r="S75" s="124" t="s">
        <v>350</v>
      </c>
      <c r="T75" s="108"/>
      <c r="U75" s="6" t="s">
        <v>424</v>
      </c>
      <c r="V75" s="106">
        <f t="shared" si="14"/>
        <v>0</v>
      </c>
      <c r="W75" s="6">
        <f t="shared" si="13"/>
        <v>0</v>
      </c>
      <c r="X75" s="6" t="s">
        <v>439</v>
      </c>
      <c r="Y75" s="6">
        <f t="shared" ref="Y75:Y124" si="16">0.9*I75</f>
        <v>7936.6500000000005</v>
      </c>
      <c r="Z75" s="6">
        <f t="shared" ref="Z75:Z124" si="17">1.3*I75</f>
        <v>11464.050000000001</v>
      </c>
      <c r="AA75" s="6" t="s">
        <v>439</v>
      </c>
      <c r="AB75" s="6">
        <v>0.1</v>
      </c>
      <c r="AC75" s="6">
        <v>1</v>
      </c>
      <c r="AD75" s="6">
        <v>0</v>
      </c>
      <c r="AE75" s="6" t="s">
        <v>442</v>
      </c>
      <c r="AH75" s="107"/>
    </row>
    <row r="76" spans="1:34" ht="31" thickBot="1" x14ac:dyDescent="0.25">
      <c r="A76" s="30">
        <v>222.12</v>
      </c>
      <c r="B76" s="17">
        <f t="shared" si="15"/>
        <v>4</v>
      </c>
      <c r="C76" s="37" t="s">
        <v>353</v>
      </c>
      <c r="D76" s="19" t="str">
        <f t="shared" si="1"/>
        <v xml:space="preserve">                        Secondary Pump</v>
      </c>
      <c r="E76" s="19" t="s">
        <v>346</v>
      </c>
      <c r="F76" s="19" t="s">
        <v>353</v>
      </c>
      <c r="G76" s="19" t="s">
        <v>363</v>
      </c>
      <c r="H76" s="24"/>
      <c r="I76" s="69">
        <v>705.48</v>
      </c>
      <c r="J76" s="26" t="s">
        <v>351</v>
      </c>
      <c r="K76" s="42" t="s">
        <v>342</v>
      </c>
      <c r="L76" s="26"/>
      <c r="M76" s="26"/>
      <c r="N76" s="26">
        <v>0.71</v>
      </c>
      <c r="O76" s="26">
        <v>2003</v>
      </c>
      <c r="P76" s="26" t="s">
        <v>74</v>
      </c>
      <c r="Q76" s="42" t="s">
        <v>343</v>
      </c>
      <c r="R76" s="109"/>
      <c r="S76" s="125"/>
      <c r="T76" s="109"/>
      <c r="U76" s="6" t="s">
        <v>424</v>
      </c>
      <c r="V76" s="106">
        <f t="shared" si="14"/>
        <v>0</v>
      </c>
      <c r="W76" s="6">
        <f t="shared" si="13"/>
        <v>0</v>
      </c>
      <c r="X76" s="6" t="s">
        <v>439</v>
      </c>
      <c r="Y76" s="6">
        <f t="shared" si="16"/>
        <v>634.93200000000002</v>
      </c>
      <c r="Z76" s="6">
        <f t="shared" si="17"/>
        <v>917.12400000000002</v>
      </c>
      <c r="AA76" s="6" t="s">
        <v>439</v>
      </c>
      <c r="AB76" s="6">
        <v>0.1</v>
      </c>
      <c r="AC76" s="6">
        <v>1</v>
      </c>
      <c r="AD76" s="6">
        <v>0</v>
      </c>
      <c r="AE76" s="6" t="s">
        <v>442</v>
      </c>
      <c r="AH76" s="107"/>
    </row>
    <row r="77" spans="1:34" ht="76" thickBot="1" x14ac:dyDescent="0.25">
      <c r="A77" s="30">
        <v>222.13</v>
      </c>
      <c r="B77" s="17">
        <f t="shared" si="15"/>
        <v>4</v>
      </c>
      <c r="C77" s="37" t="s">
        <v>359</v>
      </c>
      <c r="D77" s="19" t="str">
        <f t="shared" ref="D77" si="18">REPT("   ", B77*2) &amp; C77</f>
        <v xml:space="preserve">                        Compressor</v>
      </c>
      <c r="E77" s="19" t="s">
        <v>346</v>
      </c>
      <c r="F77" s="19" t="s">
        <v>357</v>
      </c>
      <c r="G77" s="19" t="s">
        <v>360</v>
      </c>
      <c r="H77" s="24"/>
      <c r="I77" s="69">
        <v>44.71</v>
      </c>
      <c r="J77" s="26" t="s">
        <v>351</v>
      </c>
      <c r="K77" s="42" t="s">
        <v>362</v>
      </c>
      <c r="L77" s="26"/>
      <c r="M77" s="26"/>
      <c r="N77" s="26">
        <v>1</v>
      </c>
      <c r="O77" s="26">
        <v>2003</v>
      </c>
      <c r="P77" s="26" t="s">
        <v>74</v>
      </c>
      <c r="Q77" s="42" t="s">
        <v>343</v>
      </c>
      <c r="R77" s="93" t="s">
        <v>361</v>
      </c>
      <c r="S77" s="94"/>
      <c r="T77" s="93"/>
      <c r="U77" s="6" t="s">
        <v>424</v>
      </c>
      <c r="V77" s="106">
        <f t="shared" si="14"/>
        <v>0</v>
      </c>
      <c r="W77" s="6">
        <f t="shared" si="13"/>
        <v>0</v>
      </c>
      <c r="X77" s="6" t="s">
        <v>439</v>
      </c>
      <c r="Y77" s="6">
        <f t="shared" si="16"/>
        <v>40.239000000000004</v>
      </c>
      <c r="Z77" s="6">
        <f t="shared" si="17"/>
        <v>58.123000000000005</v>
      </c>
      <c r="AA77" s="6" t="s">
        <v>439</v>
      </c>
      <c r="AB77" s="6">
        <v>0.1</v>
      </c>
      <c r="AC77" s="6">
        <v>1</v>
      </c>
      <c r="AD77" s="6">
        <v>0</v>
      </c>
      <c r="AE77" s="6" t="s">
        <v>442</v>
      </c>
      <c r="AH77" s="107"/>
    </row>
    <row r="78" spans="1:34" ht="30" customHeight="1" thickBot="1" x14ac:dyDescent="0.25">
      <c r="A78" s="36">
        <v>222.2</v>
      </c>
      <c r="B78" s="17">
        <f t="shared" si="15"/>
        <v>3</v>
      </c>
      <c r="C78" s="37" t="s">
        <v>16</v>
      </c>
      <c r="D78" s="19" t="str">
        <f t="shared" si="1"/>
        <v xml:space="preserve">                  Reactor Heat Transfer Piping System</v>
      </c>
      <c r="E78" s="19" t="s">
        <v>345</v>
      </c>
      <c r="F78" s="19"/>
      <c r="G78" s="19"/>
      <c r="H78" s="24"/>
      <c r="I78" s="69">
        <v>20000</v>
      </c>
      <c r="J78" s="26" t="s">
        <v>67</v>
      </c>
      <c r="K78" s="23" t="s">
        <v>71</v>
      </c>
      <c r="L78" s="26"/>
      <c r="M78" s="26"/>
      <c r="N78" s="26"/>
      <c r="O78" s="26">
        <v>2017</v>
      </c>
      <c r="P78" s="26" t="s">
        <v>74</v>
      </c>
      <c r="Q78" s="42" t="s">
        <v>355</v>
      </c>
      <c r="R78" s="42" t="s">
        <v>356</v>
      </c>
      <c r="S78" s="26"/>
      <c r="T78" s="26"/>
      <c r="U78" s="6" t="s">
        <v>424</v>
      </c>
      <c r="V78" s="106">
        <f t="shared" si="14"/>
        <v>0</v>
      </c>
      <c r="W78" s="6">
        <f t="shared" si="13"/>
        <v>0</v>
      </c>
      <c r="X78" s="6" t="s">
        <v>439</v>
      </c>
      <c r="Y78" s="6">
        <f t="shared" si="16"/>
        <v>18000</v>
      </c>
      <c r="Z78" s="6">
        <f t="shared" si="17"/>
        <v>26000</v>
      </c>
      <c r="AA78" s="6" t="s">
        <v>439</v>
      </c>
      <c r="AB78" s="6">
        <v>0.1</v>
      </c>
      <c r="AC78" s="6">
        <v>1</v>
      </c>
      <c r="AD78" s="6">
        <v>0</v>
      </c>
      <c r="AE78" s="6" t="s">
        <v>442</v>
      </c>
      <c r="AH78" s="107"/>
    </row>
    <row r="79" spans="1:34" ht="16" thickBot="1" x14ac:dyDescent="0.25">
      <c r="A79" s="36">
        <v>222.3</v>
      </c>
      <c r="B79" s="17">
        <f t="shared" si="15"/>
        <v>3</v>
      </c>
      <c r="C79" s="37" t="s">
        <v>17</v>
      </c>
      <c r="D79" s="19" t="str">
        <f t="shared" si="1"/>
        <v xml:space="preserve">                  Heat Exchangers</v>
      </c>
      <c r="E79" s="19"/>
      <c r="F79" s="19"/>
      <c r="G79" s="19"/>
      <c r="H79" s="24"/>
      <c r="I79" s="69"/>
      <c r="J79" s="26"/>
      <c r="K79" s="42"/>
      <c r="L79" s="26"/>
      <c r="M79" s="26"/>
      <c r="N79" s="26"/>
      <c r="O79" s="26"/>
      <c r="P79" s="26"/>
      <c r="Q79" s="42"/>
      <c r="R79" s="26"/>
      <c r="S79" s="26"/>
      <c r="T79" s="26"/>
      <c r="V79" s="106">
        <f t="shared" si="14"/>
        <v>0</v>
      </c>
      <c r="AH79" s="107"/>
    </row>
    <row r="80" spans="1:34" ht="30" customHeight="1" thickBot="1" x14ac:dyDescent="0.25">
      <c r="A80" s="36">
        <v>222.31</v>
      </c>
      <c r="B80" s="17">
        <f t="shared" si="15"/>
        <v>4</v>
      </c>
      <c r="C80" s="37" t="s">
        <v>365</v>
      </c>
      <c r="D80" s="19" t="str">
        <f t="shared" si="1"/>
        <v xml:space="preserve">                        Primary Heat Exchanger</v>
      </c>
      <c r="E80" s="19" t="s">
        <v>345</v>
      </c>
      <c r="F80" s="19" t="s">
        <v>357</v>
      </c>
      <c r="G80" s="19" t="s">
        <v>364</v>
      </c>
      <c r="H80" s="24"/>
      <c r="I80" s="69">
        <v>50</v>
      </c>
      <c r="J80" s="6" t="s">
        <v>176</v>
      </c>
      <c r="K80" s="42" t="s">
        <v>366</v>
      </c>
      <c r="L80" s="26">
        <v>1</v>
      </c>
      <c r="M80" s="26" t="s">
        <v>175</v>
      </c>
      <c r="N80" s="26">
        <v>1</v>
      </c>
      <c r="O80" s="26">
        <v>2004</v>
      </c>
      <c r="P80" s="26" t="s">
        <v>74</v>
      </c>
      <c r="Q80" s="42" t="s">
        <v>368</v>
      </c>
      <c r="R80" s="93" t="s">
        <v>369</v>
      </c>
      <c r="S80" s="26"/>
      <c r="T80" s="26"/>
      <c r="U80" s="6" t="s">
        <v>424</v>
      </c>
      <c r="V80" s="106">
        <f t="shared" si="14"/>
        <v>0</v>
      </c>
      <c r="W80" s="6">
        <f t="shared" si="13"/>
        <v>0</v>
      </c>
      <c r="X80" s="6" t="s">
        <v>439</v>
      </c>
      <c r="Y80" s="6">
        <f t="shared" si="16"/>
        <v>45</v>
      </c>
      <c r="Z80" s="6">
        <f t="shared" si="17"/>
        <v>65</v>
      </c>
      <c r="AA80" s="6" t="s">
        <v>439</v>
      </c>
      <c r="AB80" s="6">
        <v>0.1</v>
      </c>
      <c r="AC80" s="6">
        <v>1</v>
      </c>
      <c r="AD80" s="6">
        <v>0</v>
      </c>
      <c r="AE80" s="6" t="s">
        <v>442</v>
      </c>
      <c r="AH80" s="107"/>
    </row>
    <row r="81" spans="1:34" ht="30" customHeight="1" thickBot="1" x14ac:dyDescent="0.25">
      <c r="A81" s="36">
        <v>222.31</v>
      </c>
      <c r="B81" s="17">
        <f t="shared" ref="B81" si="19">IF(ISNUMBER(A81),
    IF(AND(A81=INT(A81), MOD(A81, 10) = 0), 0,
        IF(AND(A81=INT(A81), LEN(A81)=2), 1,
            IF(AND(A81=INT(A81), LEN(A81)=3), 2,
                LEN(A81) - FIND(".", A81) + 2)
        )
    ),
"")</f>
        <v>4</v>
      </c>
      <c r="C81" s="37" t="s">
        <v>365</v>
      </c>
      <c r="D81" s="19" t="str">
        <f t="shared" ref="D81" si="20">REPT("   ", B81*2) &amp; C81</f>
        <v xml:space="preserve">                        Primary Heat Exchanger</v>
      </c>
      <c r="E81" s="19" t="s">
        <v>345</v>
      </c>
      <c r="F81" s="19" t="s">
        <v>357</v>
      </c>
      <c r="G81" s="19" t="s">
        <v>360</v>
      </c>
      <c r="H81" s="24"/>
      <c r="I81" s="69">
        <v>120</v>
      </c>
      <c r="J81" s="6" t="s">
        <v>176</v>
      </c>
      <c r="K81" s="42" t="s">
        <v>366</v>
      </c>
      <c r="L81" s="26">
        <v>1</v>
      </c>
      <c r="M81" s="26" t="s">
        <v>175</v>
      </c>
      <c r="N81" s="26">
        <v>1</v>
      </c>
      <c r="O81" s="26">
        <v>2013</v>
      </c>
      <c r="P81" s="26" t="s">
        <v>74</v>
      </c>
      <c r="Q81" s="42" t="s">
        <v>368</v>
      </c>
      <c r="R81" s="93" t="s">
        <v>370</v>
      </c>
      <c r="S81" s="26"/>
      <c r="T81" s="26"/>
      <c r="U81" s="6" t="s">
        <v>424</v>
      </c>
      <c r="V81" s="106">
        <f t="shared" si="14"/>
        <v>0</v>
      </c>
      <c r="W81" s="6">
        <f t="shared" si="13"/>
        <v>0</v>
      </c>
      <c r="X81" s="6" t="s">
        <v>439</v>
      </c>
      <c r="Y81" s="6">
        <f t="shared" si="16"/>
        <v>108</v>
      </c>
      <c r="Z81" s="6">
        <f t="shared" si="17"/>
        <v>156</v>
      </c>
      <c r="AA81" s="6" t="s">
        <v>439</v>
      </c>
      <c r="AB81" s="6">
        <v>0.1</v>
      </c>
      <c r="AC81" s="6">
        <v>1</v>
      </c>
      <c r="AD81" s="6">
        <v>0</v>
      </c>
      <c r="AE81" s="6" t="s">
        <v>442</v>
      </c>
      <c r="AH81" s="107"/>
    </row>
    <row r="82" spans="1:34" ht="30" customHeight="1" thickBot="1" x14ac:dyDescent="0.25">
      <c r="A82" s="36">
        <v>222.32</v>
      </c>
      <c r="B82" s="17">
        <f t="shared" si="0"/>
        <v>4</v>
      </c>
      <c r="C82" s="37" t="s">
        <v>18</v>
      </c>
      <c r="D82" s="19" t="str">
        <f t="shared" si="1"/>
        <v xml:space="preserve">                        Secondary Heat Exchanger</v>
      </c>
      <c r="E82" s="19" t="s">
        <v>345</v>
      </c>
      <c r="F82" s="19" t="s">
        <v>357</v>
      </c>
      <c r="G82" s="19" t="s">
        <v>364</v>
      </c>
      <c r="H82" s="24"/>
      <c r="I82" s="69">
        <v>50</v>
      </c>
      <c r="J82" s="6" t="s">
        <v>176</v>
      </c>
      <c r="K82" s="42" t="s">
        <v>367</v>
      </c>
      <c r="L82" s="26">
        <v>1</v>
      </c>
      <c r="M82" s="26" t="s">
        <v>175</v>
      </c>
      <c r="N82" s="26">
        <v>1</v>
      </c>
      <c r="O82" s="26">
        <v>2004</v>
      </c>
      <c r="P82" s="26" t="s">
        <v>74</v>
      </c>
      <c r="Q82" s="42" t="s">
        <v>368</v>
      </c>
      <c r="R82" s="93" t="s">
        <v>369</v>
      </c>
      <c r="S82" s="26"/>
      <c r="T82" s="26"/>
      <c r="U82" s="6" t="s">
        <v>424</v>
      </c>
      <c r="V82" s="106">
        <f t="shared" si="14"/>
        <v>0</v>
      </c>
      <c r="W82" s="6">
        <f t="shared" si="13"/>
        <v>0</v>
      </c>
      <c r="X82" s="6" t="s">
        <v>439</v>
      </c>
      <c r="Y82" s="6">
        <f t="shared" si="16"/>
        <v>45</v>
      </c>
      <c r="Z82" s="6">
        <f t="shared" si="17"/>
        <v>65</v>
      </c>
      <c r="AA82" s="6" t="s">
        <v>439</v>
      </c>
      <c r="AB82" s="6">
        <v>0.1</v>
      </c>
      <c r="AC82" s="6">
        <v>1</v>
      </c>
      <c r="AD82" s="6">
        <v>0</v>
      </c>
      <c r="AE82" s="6" t="s">
        <v>442</v>
      </c>
      <c r="AH82" s="107"/>
    </row>
    <row r="83" spans="1:34" ht="30" customHeight="1" thickBot="1" x14ac:dyDescent="0.25">
      <c r="A83" s="36">
        <v>222.32</v>
      </c>
      <c r="B83" s="17">
        <f t="shared" ref="B83" si="21">IF(ISNUMBER(A83),
    IF(AND(A83=INT(A83), MOD(A83, 10) = 0), 0,
        IF(AND(A83=INT(A83), LEN(A83)=2), 1,
            IF(AND(A83=INT(A83), LEN(A83)=3), 2,
                LEN(A83) - FIND(".", A83) + 2)
        )
    ),
"")</f>
        <v>4</v>
      </c>
      <c r="C83" s="37" t="s">
        <v>18</v>
      </c>
      <c r="D83" s="19" t="str">
        <f t="shared" ref="D83" si="22">REPT("   ", B83*2) &amp; C83</f>
        <v xml:space="preserve">                        Secondary Heat Exchanger</v>
      </c>
      <c r="E83" s="19" t="s">
        <v>345</v>
      </c>
      <c r="F83" s="19" t="s">
        <v>357</v>
      </c>
      <c r="G83" s="19" t="s">
        <v>360</v>
      </c>
      <c r="H83" s="24"/>
      <c r="I83" s="69">
        <v>120</v>
      </c>
      <c r="J83" s="6" t="s">
        <v>176</v>
      </c>
      <c r="K83" s="42" t="s">
        <v>367</v>
      </c>
      <c r="L83" s="26">
        <v>1</v>
      </c>
      <c r="M83" s="26" t="s">
        <v>175</v>
      </c>
      <c r="N83" s="26">
        <v>1</v>
      </c>
      <c r="O83" s="26">
        <v>2013</v>
      </c>
      <c r="P83" s="26" t="s">
        <v>74</v>
      </c>
      <c r="Q83" s="42" t="s">
        <v>368</v>
      </c>
      <c r="R83" s="93" t="s">
        <v>370</v>
      </c>
      <c r="S83" s="26"/>
      <c r="T83" s="26"/>
      <c r="U83" s="6" t="s">
        <v>424</v>
      </c>
      <c r="V83" s="106">
        <f t="shared" si="14"/>
        <v>0</v>
      </c>
      <c r="W83" s="6">
        <f t="shared" si="13"/>
        <v>0</v>
      </c>
      <c r="X83" s="6" t="s">
        <v>439</v>
      </c>
      <c r="Y83" s="6">
        <f t="shared" si="16"/>
        <v>108</v>
      </c>
      <c r="Z83" s="6">
        <f t="shared" si="17"/>
        <v>156</v>
      </c>
      <c r="AA83" s="6" t="s">
        <v>439</v>
      </c>
      <c r="AB83" s="6">
        <v>0.1</v>
      </c>
      <c r="AC83" s="6">
        <v>1</v>
      </c>
      <c r="AD83" s="6">
        <v>0</v>
      </c>
      <c r="AE83" s="6" t="s">
        <v>442</v>
      </c>
      <c r="AH83" s="107"/>
    </row>
    <row r="84" spans="1:34" ht="16" thickBot="1" x14ac:dyDescent="0.25">
      <c r="A84" s="36">
        <v>223</v>
      </c>
      <c r="B84" s="17">
        <f t="shared" si="0"/>
        <v>2</v>
      </c>
      <c r="C84" s="37" t="s">
        <v>19</v>
      </c>
      <c r="D84" s="19" t="str">
        <f t="shared" si="1"/>
        <v xml:space="preserve">            Safety Systems</v>
      </c>
      <c r="E84" s="19"/>
      <c r="F84" s="19"/>
      <c r="G84" s="19"/>
      <c r="H84" s="24"/>
      <c r="I84" s="69"/>
      <c r="J84" s="26"/>
      <c r="K84" s="42"/>
      <c r="L84" s="26"/>
      <c r="M84" s="26"/>
      <c r="N84" s="26"/>
      <c r="O84" s="26"/>
      <c r="P84" s="26"/>
      <c r="Q84" s="42"/>
      <c r="R84" s="26"/>
      <c r="S84" s="26"/>
      <c r="T84" s="26"/>
      <c r="V84" s="106">
        <f t="shared" si="14"/>
        <v>0</v>
      </c>
      <c r="AH84" s="107"/>
    </row>
    <row r="85" spans="1:34" ht="16" thickBot="1" x14ac:dyDescent="0.25">
      <c r="A85" s="36">
        <v>223.2</v>
      </c>
      <c r="B85" s="17">
        <f t="shared" si="0"/>
        <v>3</v>
      </c>
      <c r="C85" s="37" t="s">
        <v>137</v>
      </c>
      <c r="D85" s="19" t="str">
        <f t="shared" si="1"/>
        <v xml:space="preserve">                  Reactor Cavity Cooling System (Rvacs)</v>
      </c>
      <c r="E85" s="19"/>
      <c r="F85" s="19"/>
      <c r="G85" s="19"/>
      <c r="H85" s="24"/>
      <c r="I85" s="69"/>
      <c r="J85" s="26"/>
      <c r="K85" s="42"/>
      <c r="L85" s="26"/>
      <c r="M85" s="26"/>
      <c r="N85" s="26"/>
      <c r="O85" s="26"/>
      <c r="P85" s="26"/>
      <c r="Q85" s="42"/>
      <c r="R85" s="26"/>
      <c r="S85" s="26"/>
      <c r="T85" s="26"/>
      <c r="V85" s="106">
        <f t="shared" si="14"/>
        <v>0</v>
      </c>
      <c r="AH85" s="107"/>
    </row>
    <row r="86" spans="1:34" ht="30" customHeight="1" thickBot="1" x14ac:dyDescent="0.25">
      <c r="A86" s="36">
        <v>223.21</v>
      </c>
      <c r="B86" s="17">
        <f t="shared" si="0"/>
        <v>4</v>
      </c>
      <c r="C86" s="37" t="s">
        <v>138</v>
      </c>
      <c r="D86" s="19" t="str">
        <f t="shared" si="1"/>
        <v xml:space="preserve">                        Rvacs (Cooling Vessel)</v>
      </c>
      <c r="E86" s="19" t="s">
        <v>345</v>
      </c>
      <c r="F86" s="19"/>
      <c r="G86" s="23"/>
      <c r="H86" s="23"/>
      <c r="I86" s="69">
        <f>I56</f>
        <v>757.20768746061754</v>
      </c>
      <c r="J86" s="26" t="s">
        <v>176</v>
      </c>
      <c r="K86" s="42" t="s">
        <v>371</v>
      </c>
      <c r="L86" s="26">
        <f>L56</f>
        <v>1587</v>
      </c>
      <c r="M86" s="26" t="s">
        <v>175</v>
      </c>
      <c r="N86" s="26">
        <v>1</v>
      </c>
      <c r="O86" s="26">
        <v>2024</v>
      </c>
      <c r="P86" s="26" t="s">
        <v>77</v>
      </c>
      <c r="Q86" s="42" t="s">
        <v>373</v>
      </c>
      <c r="R86" s="26"/>
      <c r="S86" s="26"/>
      <c r="T86" s="26"/>
      <c r="U86" s="6" t="s">
        <v>424</v>
      </c>
      <c r="V86" s="106">
        <f t="shared" si="14"/>
        <v>0</v>
      </c>
      <c r="W86" s="6">
        <f t="shared" si="13"/>
        <v>0</v>
      </c>
      <c r="X86" s="6" t="s">
        <v>439</v>
      </c>
      <c r="Y86" s="6">
        <f t="shared" si="16"/>
        <v>681.48691871455583</v>
      </c>
      <c r="Z86" s="6">
        <f t="shared" si="17"/>
        <v>984.36999369880277</v>
      </c>
      <c r="AA86" s="6" t="s">
        <v>439</v>
      </c>
      <c r="AB86" s="6">
        <v>0.1</v>
      </c>
      <c r="AC86" s="6">
        <v>1</v>
      </c>
      <c r="AD86" s="6">
        <v>0</v>
      </c>
      <c r="AE86" s="6" t="s">
        <v>442</v>
      </c>
      <c r="AH86" s="107"/>
    </row>
    <row r="87" spans="1:34" ht="30" customHeight="1" thickBot="1" x14ac:dyDescent="0.25">
      <c r="A87" s="36">
        <v>223.22</v>
      </c>
      <c r="B87" s="17">
        <f t="shared" si="0"/>
        <v>4</v>
      </c>
      <c r="C87" s="37" t="s">
        <v>139</v>
      </c>
      <c r="D87" s="19" t="str">
        <f>REPT("   ", B87*2) &amp; C87</f>
        <v xml:space="preserve">                        Rvacs (Intake Vessel)</v>
      </c>
      <c r="E87" s="19" t="s">
        <v>345</v>
      </c>
      <c r="F87" s="19"/>
      <c r="G87" s="23"/>
      <c r="H87" s="23"/>
      <c r="I87" s="69">
        <f>I86</f>
        <v>757.20768746061754</v>
      </c>
      <c r="J87" s="26" t="s">
        <v>176</v>
      </c>
      <c r="K87" s="42" t="s">
        <v>372</v>
      </c>
      <c r="L87" s="26">
        <f>L86</f>
        <v>1587</v>
      </c>
      <c r="M87" s="26" t="s">
        <v>175</v>
      </c>
      <c r="N87" s="26">
        <v>1</v>
      </c>
      <c r="O87" s="26">
        <v>2024</v>
      </c>
      <c r="P87" s="26" t="s">
        <v>77</v>
      </c>
      <c r="Q87" s="42" t="s">
        <v>373</v>
      </c>
      <c r="R87" s="26"/>
      <c r="S87" s="26"/>
      <c r="T87" s="26"/>
      <c r="U87" s="6" t="s">
        <v>424</v>
      </c>
      <c r="V87" s="106">
        <f t="shared" si="14"/>
        <v>0</v>
      </c>
      <c r="W87" s="6">
        <f t="shared" si="13"/>
        <v>0</v>
      </c>
      <c r="X87" s="6" t="s">
        <v>439</v>
      </c>
      <c r="Y87" s="6">
        <f t="shared" si="16"/>
        <v>681.48691871455583</v>
      </c>
      <c r="Z87" s="6">
        <f t="shared" si="17"/>
        <v>984.36999369880277</v>
      </c>
      <c r="AA87" s="6" t="s">
        <v>439</v>
      </c>
      <c r="AB87" s="6">
        <v>0.1</v>
      </c>
      <c r="AC87" s="6">
        <v>1</v>
      </c>
      <c r="AD87" s="6">
        <v>0</v>
      </c>
      <c r="AE87" s="6" t="s">
        <v>442</v>
      </c>
      <c r="AH87" s="107"/>
    </row>
    <row r="88" spans="1:34" ht="30" customHeight="1" thickBot="1" x14ac:dyDescent="0.25">
      <c r="A88" s="36">
        <v>226</v>
      </c>
      <c r="B88" s="17">
        <f t="shared" si="0"/>
        <v>2</v>
      </c>
      <c r="C88" s="37" t="s">
        <v>211</v>
      </c>
      <c r="D88" s="19" t="str">
        <f>REPT("   ", B88*2) &amp; C88</f>
        <v xml:space="preserve">            Other Reactor Plant Equipment</v>
      </c>
      <c r="E88" s="19" t="s">
        <v>345</v>
      </c>
      <c r="F88" s="19"/>
      <c r="G88" s="23"/>
      <c r="H88" s="95">
        <f>MARVEL_Cost!C42</f>
        <v>456297</v>
      </c>
      <c r="I88" s="69"/>
      <c r="J88" s="26"/>
      <c r="K88" s="42"/>
      <c r="L88" s="26"/>
      <c r="M88" s="26"/>
      <c r="N88" s="26"/>
      <c r="O88" s="26">
        <v>2024</v>
      </c>
      <c r="P88" s="26" t="s">
        <v>74</v>
      </c>
      <c r="Q88" s="42" t="s">
        <v>374</v>
      </c>
      <c r="R88" s="26"/>
      <c r="S88" s="26"/>
      <c r="T88" s="26"/>
      <c r="U88" s="6" t="s">
        <v>424</v>
      </c>
      <c r="V88" s="106">
        <f t="shared" si="14"/>
        <v>410667.3</v>
      </c>
      <c r="W88" s="6">
        <f t="shared" si="13"/>
        <v>593186.1</v>
      </c>
      <c r="X88" s="6" t="s">
        <v>439</v>
      </c>
      <c r="Y88" s="6">
        <f t="shared" si="16"/>
        <v>0</v>
      </c>
      <c r="Z88" s="6">
        <f t="shared" si="17"/>
        <v>0</v>
      </c>
      <c r="AA88" s="6" t="s">
        <v>439</v>
      </c>
      <c r="AB88" s="6">
        <v>0.1</v>
      </c>
      <c r="AC88" s="6">
        <v>1</v>
      </c>
      <c r="AD88" s="6">
        <v>0</v>
      </c>
      <c r="AE88" s="6" t="s">
        <v>442</v>
      </c>
      <c r="AH88" s="107"/>
    </row>
    <row r="89" spans="1:34" ht="29" thickBot="1" x14ac:dyDescent="0.25">
      <c r="A89" s="36">
        <v>227</v>
      </c>
      <c r="B89" s="17">
        <f t="shared" ref="B89:B124" si="23">IF(ISNUMBER(A89),
    IF(AND(A89=INT(A89), MOD(A89, 10) = 0), 0,
        IF(AND(A89=INT(A89), LEN(A89)=2), 1,
            IF(AND(A89=INT(A89), LEN(A89)=3), 2,
                LEN(A89) - FIND(".", A89) + 2)
        )
    ),
"")</f>
        <v>2</v>
      </c>
      <c r="C89" s="37" t="s">
        <v>20</v>
      </c>
      <c r="D89" s="19" t="str">
        <f t="shared" ref="D89:D124" si="24">REPT("   ", B89*2) &amp; C89</f>
        <v xml:space="preserve">            Reactor Instrumentation and Control (I&amp;C)</v>
      </c>
      <c r="E89" s="19" t="s">
        <v>345</v>
      </c>
      <c r="F89" s="19"/>
      <c r="G89" s="23"/>
      <c r="H89" s="95">
        <f>MARVEL_Cost!C43</f>
        <v>2253208.37</v>
      </c>
      <c r="I89" s="69"/>
      <c r="J89" s="26"/>
      <c r="K89" s="42"/>
      <c r="L89" s="26"/>
      <c r="M89" s="26"/>
      <c r="N89" s="26"/>
      <c r="O89" s="26">
        <v>2024</v>
      </c>
      <c r="P89" s="26" t="s">
        <v>74</v>
      </c>
      <c r="Q89" s="42" t="s">
        <v>374</v>
      </c>
      <c r="R89" s="26"/>
      <c r="S89" s="26"/>
      <c r="T89" s="26"/>
      <c r="U89" s="6" t="s">
        <v>424</v>
      </c>
      <c r="V89" s="106">
        <f t="shared" si="14"/>
        <v>2027887.5330000001</v>
      </c>
      <c r="W89" s="6">
        <f t="shared" si="13"/>
        <v>2929170.8810000001</v>
      </c>
      <c r="X89" s="6" t="s">
        <v>439</v>
      </c>
      <c r="Y89" s="6">
        <f t="shared" si="16"/>
        <v>0</v>
      </c>
      <c r="Z89" s="6">
        <f t="shared" si="17"/>
        <v>0</v>
      </c>
      <c r="AA89" s="6" t="s">
        <v>439</v>
      </c>
      <c r="AB89" s="6">
        <v>0.1</v>
      </c>
      <c r="AC89" s="6">
        <v>1</v>
      </c>
      <c r="AD89" s="6">
        <v>0</v>
      </c>
      <c r="AE89" s="6" t="s">
        <v>442</v>
      </c>
      <c r="AH89" s="107"/>
    </row>
    <row r="90" spans="1:34" ht="16" thickBot="1" x14ac:dyDescent="0.25">
      <c r="A90" s="36">
        <v>228</v>
      </c>
      <c r="B90" s="17">
        <f t="shared" si="23"/>
        <v>2</v>
      </c>
      <c r="C90" s="37" t="s">
        <v>214</v>
      </c>
      <c r="D90" s="19" t="str">
        <f t="shared" si="24"/>
        <v xml:space="preserve">            Reactor Plant Miscellaneous Items</v>
      </c>
      <c r="E90" s="19" t="s">
        <v>345</v>
      </c>
      <c r="F90" s="19"/>
      <c r="G90" s="23"/>
      <c r="H90" s="95">
        <f>MARVEL_Cost!C44</f>
        <v>30960</v>
      </c>
      <c r="I90" s="69"/>
      <c r="J90" s="26"/>
      <c r="K90" s="42"/>
      <c r="L90" s="26"/>
      <c r="M90" s="26"/>
      <c r="N90" s="26"/>
      <c r="O90" s="26">
        <v>2024</v>
      </c>
      <c r="P90" s="26" t="s">
        <v>77</v>
      </c>
      <c r="Q90" s="42" t="s">
        <v>374</v>
      </c>
      <c r="R90" s="26"/>
      <c r="S90" s="26"/>
      <c r="T90" s="26"/>
      <c r="U90" s="6" t="s">
        <v>424</v>
      </c>
      <c r="V90" s="106">
        <f t="shared" si="14"/>
        <v>27864</v>
      </c>
      <c r="W90" s="6">
        <f t="shared" si="13"/>
        <v>40248</v>
      </c>
      <c r="X90" s="6" t="s">
        <v>439</v>
      </c>
      <c r="Y90" s="6">
        <f t="shared" si="16"/>
        <v>0</v>
      </c>
      <c r="Z90" s="6">
        <f t="shared" si="17"/>
        <v>0</v>
      </c>
      <c r="AA90" s="6" t="s">
        <v>439</v>
      </c>
      <c r="AB90" s="6">
        <v>0.1</v>
      </c>
      <c r="AC90" s="6">
        <v>1</v>
      </c>
      <c r="AD90" s="6">
        <v>0</v>
      </c>
      <c r="AE90" s="6" t="s">
        <v>442</v>
      </c>
      <c r="AH90" s="107"/>
    </row>
    <row r="91" spans="1:34" ht="16" thickBot="1" x14ac:dyDescent="0.25">
      <c r="A91" s="21">
        <v>23</v>
      </c>
      <c r="B91" s="17">
        <f t="shared" si="23"/>
        <v>1</v>
      </c>
      <c r="C91" s="37" t="s">
        <v>21</v>
      </c>
      <c r="D91" s="19" t="str">
        <f t="shared" si="24"/>
        <v xml:space="preserve">      Energy Conversion System </v>
      </c>
      <c r="E91" s="19"/>
      <c r="F91" s="19"/>
      <c r="G91" s="23"/>
      <c r="H91" s="23"/>
      <c r="I91" s="69"/>
      <c r="J91" s="26"/>
      <c r="K91" s="42"/>
      <c r="L91" s="26"/>
      <c r="M91" s="26"/>
      <c r="N91" s="26"/>
      <c r="O91" s="26"/>
      <c r="P91" s="26"/>
      <c r="Q91" s="42"/>
      <c r="R91" s="26"/>
      <c r="S91" s="26"/>
      <c r="T91" s="26"/>
      <c r="V91" s="106">
        <f t="shared" si="14"/>
        <v>0</v>
      </c>
      <c r="W91" s="6">
        <f t="shared" si="13"/>
        <v>0</v>
      </c>
      <c r="AH91" s="107"/>
    </row>
    <row r="92" spans="1:34" ht="16" thickBot="1" x14ac:dyDescent="0.25">
      <c r="A92" s="36">
        <v>232</v>
      </c>
      <c r="B92" s="17">
        <f t="shared" si="23"/>
        <v>2</v>
      </c>
      <c r="C92" s="37" t="s">
        <v>22</v>
      </c>
      <c r="D92" s="19" t="str">
        <f t="shared" si="24"/>
        <v xml:space="preserve">            Energy Applications</v>
      </c>
      <c r="E92" s="19"/>
      <c r="F92" s="19"/>
      <c r="G92" s="23"/>
      <c r="H92" s="23"/>
      <c r="I92" s="69"/>
      <c r="J92" s="26"/>
      <c r="K92" s="42"/>
      <c r="L92" s="26"/>
      <c r="M92" s="26"/>
      <c r="N92" s="26"/>
      <c r="O92" s="26"/>
      <c r="P92" s="26"/>
      <c r="Q92" s="42"/>
      <c r="R92" s="26"/>
      <c r="S92" s="26"/>
      <c r="T92" s="26"/>
      <c r="V92" s="106">
        <f t="shared" si="14"/>
        <v>0</v>
      </c>
      <c r="W92" s="6">
        <f t="shared" si="13"/>
        <v>0</v>
      </c>
      <c r="AH92" s="107"/>
    </row>
    <row r="93" spans="1:34" ht="211" thickBot="1" x14ac:dyDescent="0.25">
      <c r="A93" s="36">
        <v>232.1</v>
      </c>
      <c r="B93" s="17">
        <f t="shared" si="23"/>
        <v>3</v>
      </c>
      <c r="C93" s="37" t="s">
        <v>216</v>
      </c>
      <c r="D93" s="19" t="str">
        <f>REPT("   ", B93*2) &amp; C93</f>
        <v xml:space="preserve">                  Electricity Generation Systems</v>
      </c>
      <c r="E93" s="19" t="s">
        <v>345</v>
      </c>
      <c r="F93" s="19"/>
      <c r="G93" s="23"/>
      <c r="H93" s="23"/>
      <c r="I93" s="96">
        <f>23310000/L93</f>
        <v>2331000</v>
      </c>
      <c r="J93" s="26" t="s">
        <v>67</v>
      </c>
      <c r="K93" s="23" t="s">
        <v>71</v>
      </c>
      <c r="L93" s="26">
        <v>10</v>
      </c>
      <c r="M93" s="26" t="s">
        <v>69</v>
      </c>
      <c r="N93" s="23">
        <v>0.7</v>
      </c>
      <c r="O93" s="26">
        <v>2017</v>
      </c>
      <c r="P93" s="26" t="s">
        <v>74</v>
      </c>
      <c r="Q93" s="42" t="s">
        <v>376</v>
      </c>
      <c r="R93" s="42" t="s">
        <v>375</v>
      </c>
      <c r="S93" s="26"/>
      <c r="T93" s="26"/>
      <c r="U93" s="6" t="s">
        <v>424</v>
      </c>
      <c r="V93" s="106">
        <f t="shared" si="14"/>
        <v>0</v>
      </c>
      <c r="W93" s="6">
        <f t="shared" si="13"/>
        <v>0</v>
      </c>
      <c r="X93" s="6" t="s">
        <v>439</v>
      </c>
      <c r="Y93" s="6">
        <f t="shared" si="16"/>
        <v>2097900</v>
      </c>
      <c r="Z93" s="6">
        <f t="shared" si="17"/>
        <v>3030300</v>
      </c>
      <c r="AA93" s="6" t="s">
        <v>439</v>
      </c>
      <c r="AB93" s="6">
        <v>0.1</v>
      </c>
      <c r="AC93" s="6">
        <v>1</v>
      </c>
      <c r="AD93" s="6">
        <v>0</v>
      </c>
      <c r="AE93" s="6" t="s">
        <v>442</v>
      </c>
      <c r="AH93" s="107"/>
    </row>
    <row r="94" spans="1:34" ht="16" thickBot="1" x14ac:dyDescent="0.25">
      <c r="A94" s="21">
        <v>24</v>
      </c>
      <c r="B94" s="17">
        <f t="shared" si="23"/>
        <v>1</v>
      </c>
      <c r="C94" s="37" t="s">
        <v>23</v>
      </c>
      <c r="D94" s="19" t="str">
        <f t="shared" si="24"/>
        <v xml:space="preserve">      Electrical Equipment</v>
      </c>
      <c r="E94" s="19"/>
      <c r="F94" s="19"/>
      <c r="G94" s="23"/>
      <c r="H94" s="23"/>
      <c r="I94" s="69"/>
      <c r="J94" s="26"/>
      <c r="K94" s="42"/>
      <c r="L94" s="26"/>
      <c r="M94" s="26"/>
      <c r="N94" s="26"/>
      <c r="O94" s="26"/>
      <c r="P94" s="26"/>
      <c r="Q94" s="42"/>
      <c r="R94" s="26"/>
      <c r="S94" s="26"/>
      <c r="T94" s="26"/>
      <c r="V94" s="106">
        <f t="shared" si="14"/>
        <v>0</v>
      </c>
      <c r="AH94" s="107"/>
    </row>
    <row r="95" spans="1:34" ht="121" thickBot="1" x14ac:dyDescent="0.25">
      <c r="A95" s="21">
        <v>246</v>
      </c>
      <c r="B95" s="17">
        <f t="shared" si="23"/>
        <v>2</v>
      </c>
      <c r="C95" s="44" t="s">
        <v>222</v>
      </c>
      <c r="D95" s="19" t="str">
        <f t="shared" si="24"/>
        <v xml:space="preserve">            Power and Control Cables and Wiring</v>
      </c>
      <c r="E95" s="19" t="s">
        <v>345</v>
      </c>
      <c r="F95" s="19"/>
      <c r="G95" s="23"/>
      <c r="H95" s="23"/>
      <c r="I95" s="69">
        <f>MARVEL_Cost!C51/L95</f>
        <v>3589430</v>
      </c>
      <c r="J95" s="26" t="s">
        <v>67</v>
      </c>
      <c r="K95" s="23" t="s">
        <v>71</v>
      </c>
      <c r="L95" s="26">
        <f>'Design Variables'!B4/1000</f>
        <v>0.02</v>
      </c>
      <c r="M95" s="26" t="s">
        <v>69</v>
      </c>
      <c r="N95" s="23">
        <v>0.7</v>
      </c>
      <c r="O95" s="26">
        <v>2024</v>
      </c>
      <c r="P95" s="26" t="s">
        <v>74</v>
      </c>
      <c r="Q95" s="42" t="s">
        <v>377</v>
      </c>
      <c r="R95" s="42" t="s">
        <v>378</v>
      </c>
      <c r="S95" s="26"/>
      <c r="T95" s="26"/>
      <c r="U95" s="6" t="s">
        <v>424</v>
      </c>
      <c r="V95" s="106">
        <f t="shared" si="14"/>
        <v>0</v>
      </c>
      <c r="W95" s="6">
        <f t="shared" si="13"/>
        <v>0</v>
      </c>
      <c r="X95" s="6" t="s">
        <v>439</v>
      </c>
      <c r="Y95" s="6">
        <f t="shared" si="16"/>
        <v>3230487</v>
      </c>
      <c r="Z95" s="6">
        <f t="shared" si="17"/>
        <v>4666259</v>
      </c>
      <c r="AA95" s="6" t="s">
        <v>439</v>
      </c>
      <c r="AB95" s="6">
        <v>0.1</v>
      </c>
      <c r="AC95" s="6">
        <v>1</v>
      </c>
      <c r="AD95" s="6">
        <v>0</v>
      </c>
      <c r="AE95" s="6" t="s">
        <v>442</v>
      </c>
      <c r="AH95" s="107"/>
    </row>
    <row r="96" spans="1:34" ht="16" thickBot="1" x14ac:dyDescent="0.25">
      <c r="A96" s="21">
        <v>25</v>
      </c>
      <c r="B96" s="17">
        <f t="shared" si="23"/>
        <v>1</v>
      </c>
      <c r="C96" s="37" t="s">
        <v>24</v>
      </c>
      <c r="D96" s="19" t="str">
        <f t="shared" si="24"/>
        <v xml:space="preserve">      Initial Fuel Inventory</v>
      </c>
      <c r="E96" s="19"/>
      <c r="F96" s="19"/>
      <c r="G96" s="23"/>
      <c r="H96" s="23"/>
      <c r="I96" s="69"/>
      <c r="J96" s="26"/>
      <c r="K96" s="42"/>
      <c r="L96" s="26"/>
      <c r="M96" s="26"/>
      <c r="N96" s="26"/>
      <c r="O96" s="26"/>
      <c r="P96" s="26"/>
      <c r="Q96" s="42"/>
      <c r="R96" s="26"/>
      <c r="S96" s="26"/>
      <c r="T96" s="26"/>
      <c r="V96" s="106">
        <f t="shared" si="14"/>
        <v>0</v>
      </c>
      <c r="W96" s="6">
        <f t="shared" si="13"/>
        <v>0</v>
      </c>
      <c r="AH96" s="107"/>
    </row>
    <row r="97" spans="1:34" ht="16" customHeight="1" thickBot="1" x14ac:dyDescent="0.25">
      <c r="A97" s="36">
        <v>251</v>
      </c>
      <c r="B97" s="17">
        <f t="shared" si="23"/>
        <v>2</v>
      </c>
      <c r="C97" s="37" t="s">
        <v>25</v>
      </c>
      <c r="D97" s="19" t="str">
        <f t="shared" si="24"/>
        <v xml:space="preserve">            First Core Mining</v>
      </c>
      <c r="E97" s="19" t="s">
        <v>345</v>
      </c>
      <c r="F97" s="19"/>
      <c r="G97" s="23"/>
      <c r="H97" s="23"/>
      <c r="I97" s="23">
        <v>184</v>
      </c>
      <c r="J97" s="26" t="s">
        <v>176</v>
      </c>
      <c r="K97" s="23" t="s">
        <v>380</v>
      </c>
      <c r="L97" s="26">
        <v>1</v>
      </c>
      <c r="M97" s="26"/>
      <c r="N97" s="26">
        <v>1</v>
      </c>
      <c r="O97" s="26">
        <v>2022</v>
      </c>
      <c r="P97" s="26" t="s">
        <v>73</v>
      </c>
      <c r="Q97" s="108" t="s">
        <v>382</v>
      </c>
      <c r="R97" s="108" t="s">
        <v>383</v>
      </c>
      <c r="S97" s="26"/>
      <c r="T97" s="26"/>
      <c r="U97" s="6" t="s">
        <v>420</v>
      </c>
      <c r="V97" s="106">
        <f t="shared" si="14"/>
        <v>0</v>
      </c>
      <c r="W97" s="6">
        <f t="shared" si="13"/>
        <v>0</v>
      </c>
      <c r="X97" s="6" t="s">
        <v>439</v>
      </c>
      <c r="Y97" s="6">
        <f t="shared" si="16"/>
        <v>165.6</v>
      </c>
      <c r="Z97" s="6">
        <f t="shared" si="17"/>
        <v>239.20000000000002</v>
      </c>
      <c r="AA97" s="6" t="s">
        <v>439</v>
      </c>
      <c r="AB97" s="6">
        <v>0.1</v>
      </c>
      <c r="AC97" s="6">
        <v>1</v>
      </c>
      <c r="AD97" s="6">
        <v>0</v>
      </c>
      <c r="AE97" s="6" t="s">
        <v>442</v>
      </c>
      <c r="AH97" s="107"/>
    </row>
    <row r="98" spans="1:34" ht="16" thickBot="1" x14ac:dyDescent="0.25">
      <c r="A98" s="36">
        <v>252</v>
      </c>
      <c r="B98" s="17">
        <f t="shared" si="23"/>
        <v>2</v>
      </c>
      <c r="C98" s="37" t="s">
        <v>26</v>
      </c>
      <c r="D98" s="19" t="str">
        <f t="shared" si="24"/>
        <v xml:space="preserve">            First Core Conversion </v>
      </c>
      <c r="E98" s="19" t="s">
        <v>345</v>
      </c>
      <c r="F98" s="19"/>
      <c r="G98" s="23"/>
      <c r="H98" s="23"/>
      <c r="I98" s="23">
        <v>15.1</v>
      </c>
      <c r="J98" s="26" t="s">
        <v>176</v>
      </c>
      <c r="K98" s="23" t="s">
        <v>380</v>
      </c>
      <c r="L98" s="26">
        <v>1</v>
      </c>
      <c r="M98" s="26"/>
      <c r="N98" s="26">
        <v>1</v>
      </c>
      <c r="O98" s="26">
        <v>2022</v>
      </c>
      <c r="P98" s="26" t="s">
        <v>73</v>
      </c>
      <c r="Q98" s="123"/>
      <c r="R98" s="123"/>
      <c r="S98" s="26"/>
      <c r="T98" s="26"/>
      <c r="U98" s="6" t="s">
        <v>420</v>
      </c>
      <c r="V98" s="106">
        <f t="shared" si="14"/>
        <v>0</v>
      </c>
      <c r="W98" s="6">
        <f t="shared" si="13"/>
        <v>0</v>
      </c>
      <c r="X98" s="6" t="s">
        <v>439</v>
      </c>
      <c r="Y98" s="6">
        <f t="shared" si="16"/>
        <v>13.59</v>
      </c>
      <c r="Z98" s="6">
        <f t="shared" si="17"/>
        <v>19.63</v>
      </c>
      <c r="AA98" s="6" t="s">
        <v>439</v>
      </c>
      <c r="AB98" s="6">
        <v>0.1</v>
      </c>
      <c r="AC98" s="6">
        <v>1</v>
      </c>
      <c r="AD98" s="6">
        <v>0</v>
      </c>
      <c r="AE98" s="6" t="s">
        <v>442</v>
      </c>
      <c r="AH98" s="107"/>
    </row>
    <row r="99" spans="1:34" ht="16" thickBot="1" x14ac:dyDescent="0.25">
      <c r="A99" s="36">
        <v>253</v>
      </c>
      <c r="B99" s="17">
        <f t="shared" si="23"/>
        <v>2</v>
      </c>
      <c r="C99" s="37" t="s">
        <v>27</v>
      </c>
      <c r="D99" s="19" t="str">
        <f t="shared" si="24"/>
        <v xml:space="preserve">            First Core Enrichment </v>
      </c>
      <c r="E99" s="19" t="s">
        <v>346</v>
      </c>
      <c r="F99" s="19"/>
      <c r="G99" s="23"/>
      <c r="H99" s="23"/>
      <c r="I99" s="23">
        <v>184.2</v>
      </c>
      <c r="J99" s="26" t="s">
        <v>379</v>
      </c>
      <c r="K99" s="42" t="s">
        <v>381</v>
      </c>
      <c r="L99" s="26">
        <v>1</v>
      </c>
      <c r="M99" s="26"/>
      <c r="N99" s="26">
        <v>1</v>
      </c>
      <c r="O99" s="26">
        <v>2022</v>
      </c>
      <c r="P99" s="26" t="s">
        <v>73</v>
      </c>
      <c r="Q99" s="123"/>
      <c r="R99" s="123"/>
      <c r="S99" s="26"/>
      <c r="T99" s="26"/>
      <c r="U99" s="6" t="s">
        <v>420</v>
      </c>
      <c r="V99" s="106">
        <f t="shared" si="14"/>
        <v>0</v>
      </c>
      <c r="W99" s="6">
        <f t="shared" si="13"/>
        <v>0</v>
      </c>
      <c r="X99" s="6" t="s">
        <v>439</v>
      </c>
      <c r="Y99" s="6">
        <f t="shared" si="16"/>
        <v>165.78</v>
      </c>
      <c r="Z99" s="6">
        <f t="shared" si="17"/>
        <v>239.45999999999998</v>
      </c>
      <c r="AA99" s="6" t="s">
        <v>439</v>
      </c>
      <c r="AB99" s="6">
        <v>0.1</v>
      </c>
      <c r="AC99" s="6">
        <v>1</v>
      </c>
      <c r="AD99" s="6">
        <v>0</v>
      </c>
      <c r="AE99" s="6" t="s">
        <v>442</v>
      </c>
      <c r="AH99" s="107"/>
    </row>
    <row r="100" spans="1:34" ht="16" thickBot="1" x14ac:dyDescent="0.25">
      <c r="A100" s="36">
        <v>254</v>
      </c>
      <c r="B100" s="17">
        <f t="shared" si="23"/>
        <v>2</v>
      </c>
      <c r="C100" s="37" t="s">
        <v>28</v>
      </c>
      <c r="D100" s="19" t="str">
        <f t="shared" si="24"/>
        <v xml:space="preserve">            First Core Fuel Assembly Fabrication </v>
      </c>
      <c r="E100" s="19" t="s">
        <v>345</v>
      </c>
      <c r="F100" s="19" t="s">
        <v>385</v>
      </c>
      <c r="G100" s="23" t="s">
        <v>386</v>
      </c>
      <c r="H100" s="23"/>
      <c r="I100" s="23">
        <v>1520</v>
      </c>
      <c r="J100" s="26" t="s">
        <v>176</v>
      </c>
      <c r="K100" s="42" t="s">
        <v>384</v>
      </c>
      <c r="L100" s="26">
        <v>1</v>
      </c>
      <c r="M100" s="26"/>
      <c r="N100" s="26">
        <v>1</v>
      </c>
      <c r="O100" s="26">
        <v>2023</v>
      </c>
      <c r="P100" s="26" t="s">
        <v>73</v>
      </c>
      <c r="Q100" s="123"/>
      <c r="R100" s="123"/>
      <c r="S100" s="26"/>
      <c r="T100" s="26"/>
      <c r="U100" s="6" t="s">
        <v>424</v>
      </c>
      <c r="V100" s="106">
        <f t="shared" si="14"/>
        <v>0</v>
      </c>
      <c r="W100" s="6">
        <f t="shared" si="13"/>
        <v>0</v>
      </c>
      <c r="X100" s="6" t="s">
        <v>439</v>
      </c>
      <c r="Y100" s="6">
        <f t="shared" si="16"/>
        <v>1368</v>
      </c>
      <c r="Z100" s="6">
        <f t="shared" si="17"/>
        <v>1976</v>
      </c>
      <c r="AA100" s="6" t="s">
        <v>439</v>
      </c>
      <c r="AB100" s="6">
        <v>0.1</v>
      </c>
      <c r="AC100" s="6">
        <v>1</v>
      </c>
      <c r="AD100" s="6">
        <v>0</v>
      </c>
      <c r="AE100" s="6" t="s">
        <v>442</v>
      </c>
      <c r="AH100" s="107"/>
    </row>
    <row r="101" spans="1:34" ht="16" thickBot="1" x14ac:dyDescent="0.25">
      <c r="A101" s="36">
        <v>254</v>
      </c>
      <c r="B101" s="17">
        <f t="shared" ref="B101" si="25">IF(ISNUMBER(A101),
    IF(AND(A101=INT(A101), MOD(A101, 10) = 0), 0,
        IF(AND(A101=INT(A101), LEN(A101)=2), 1,
            IF(AND(A101=INT(A101), LEN(A101)=3), 2,
                LEN(A101) - FIND(".", A101) + 2)
        )
    ),
"")</f>
        <v>2</v>
      </c>
      <c r="C101" s="37" t="s">
        <v>28</v>
      </c>
      <c r="D101" s="19" t="str">
        <f t="shared" ref="D101" si="26">REPT("   ", B101*2) &amp; C101</f>
        <v xml:space="preserve">            First Core Fuel Assembly Fabrication </v>
      </c>
      <c r="E101" s="19" t="s">
        <v>345</v>
      </c>
      <c r="F101" s="19" t="s">
        <v>385</v>
      </c>
      <c r="G101" s="23" t="s">
        <v>363</v>
      </c>
      <c r="H101" s="23"/>
      <c r="I101" s="23">
        <v>10000</v>
      </c>
      <c r="J101" s="26" t="s">
        <v>176</v>
      </c>
      <c r="K101" s="42" t="s">
        <v>384</v>
      </c>
      <c r="L101" s="26">
        <v>1</v>
      </c>
      <c r="M101" s="26"/>
      <c r="N101" s="26">
        <v>1</v>
      </c>
      <c r="O101" s="26">
        <v>2009</v>
      </c>
      <c r="P101" s="26" t="s">
        <v>73</v>
      </c>
      <c r="Q101" s="109"/>
      <c r="R101" s="109"/>
      <c r="S101" s="26"/>
      <c r="T101" s="26"/>
      <c r="U101" s="6" t="s">
        <v>424</v>
      </c>
      <c r="V101" s="106">
        <f t="shared" si="14"/>
        <v>0</v>
      </c>
      <c r="W101" s="6">
        <f t="shared" si="13"/>
        <v>0</v>
      </c>
      <c r="X101" s="6" t="s">
        <v>439</v>
      </c>
      <c r="Y101" s="6">
        <f t="shared" si="16"/>
        <v>9000</v>
      </c>
      <c r="Z101" s="6">
        <f t="shared" si="17"/>
        <v>13000</v>
      </c>
      <c r="AA101" s="6" t="s">
        <v>439</v>
      </c>
      <c r="AB101" s="6">
        <v>0.1</v>
      </c>
      <c r="AC101" s="6">
        <v>1</v>
      </c>
      <c r="AD101" s="6">
        <v>0</v>
      </c>
      <c r="AE101" s="6" t="s">
        <v>442</v>
      </c>
      <c r="AH101" s="107"/>
    </row>
    <row r="102" spans="1:34" ht="30" customHeight="1" thickBot="1" x14ac:dyDescent="0.25">
      <c r="A102" s="21">
        <v>26</v>
      </c>
      <c r="B102" s="17">
        <f t="shared" si="23"/>
        <v>1</v>
      </c>
      <c r="C102" s="37" t="s">
        <v>140</v>
      </c>
      <c r="D102" s="19" t="str">
        <f t="shared" si="24"/>
        <v xml:space="preserve">      Miscellaneous Equipment (Cranes)</v>
      </c>
      <c r="E102" s="19" t="s">
        <v>345</v>
      </c>
      <c r="F102" s="19"/>
      <c r="G102" s="19"/>
      <c r="H102" s="69">
        <v>1000000</v>
      </c>
      <c r="I102" s="26"/>
      <c r="J102" s="26"/>
      <c r="K102" s="42"/>
      <c r="L102" s="26"/>
      <c r="M102" s="26"/>
      <c r="N102" s="26"/>
      <c r="O102" s="26">
        <v>2021</v>
      </c>
      <c r="P102" s="26" t="s">
        <v>74</v>
      </c>
      <c r="Q102" s="42" t="s">
        <v>387</v>
      </c>
      <c r="R102" s="42" t="s">
        <v>388</v>
      </c>
      <c r="S102" s="26"/>
      <c r="T102" s="26"/>
      <c r="U102" s="6" t="s">
        <v>424</v>
      </c>
      <c r="V102" s="106">
        <f t="shared" si="14"/>
        <v>900000</v>
      </c>
      <c r="W102" s="6">
        <f t="shared" si="13"/>
        <v>1300000</v>
      </c>
      <c r="X102" s="6" t="s">
        <v>439</v>
      </c>
      <c r="Y102" s="6">
        <f t="shared" si="16"/>
        <v>0</v>
      </c>
      <c r="Z102" s="6">
        <f t="shared" si="17"/>
        <v>0</v>
      </c>
      <c r="AA102" s="6" t="s">
        <v>439</v>
      </c>
      <c r="AB102" s="6">
        <v>0.1</v>
      </c>
      <c r="AC102" s="6">
        <v>1</v>
      </c>
      <c r="AD102" s="6">
        <v>0</v>
      </c>
      <c r="AE102" s="6" t="s">
        <v>442</v>
      </c>
      <c r="AH102" s="107"/>
    </row>
    <row r="103" spans="1:34" ht="16" thickBot="1" x14ac:dyDescent="0.25">
      <c r="A103" s="29">
        <v>30</v>
      </c>
      <c r="B103" s="17">
        <f>IF(ISNUMBER(A103),
    IF(AND(A103=INT(A103), MOD(A103, 10) = 0), 0,
        IF(AND(A103=INT(A103), LEN(A103)=2), 1,
            IF(AND(A103=INT(A103), LEN(A103)=3), 2,
                LEN(A103) - FIND(".", A103) + 2)
        )
    ),
"")</f>
        <v>0</v>
      </c>
      <c r="C103" s="37" t="s">
        <v>29</v>
      </c>
      <c r="D103" s="19" t="str">
        <f t="shared" si="24"/>
        <v>Capitalized Indirect Services Cost</v>
      </c>
      <c r="E103" s="19"/>
      <c r="F103" s="19"/>
      <c r="G103" s="19"/>
      <c r="H103" s="29"/>
      <c r="I103" s="20"/>
      <c r="J103" s="29"/>
      <c r="K103" s="29"/>
      <c r="L103" s="29"/>
      <c r="M103" s="29"/>
      <c r="N103" s="29"/>
      <c r="O103" s="29"/>
      <c r="P103" s="29"/>
      <c r="Q103" s="29"/>
      <c r="R103" s="29"/>
      <c r="S103" s="29"/>
      <c r="T103" s="29"/>
      <c r="V103" s="106">
        <f t="shared" si="14"/>
        <v>0</v>
      </c>
      <c r="AH103" s="107"/>
    </row>
    <row r="104" spans="1:34" ht="29" customHeight="1" thickBot="1" x14ac:dyDescent="0.25">
      <c r="A104" s="29">
        <v>31</v>
      </c>
      <c r="B104" s="17">
        <v>1</v>
      </c>
      <c r="C104" s="37" t="s">
        <v>389</v>
      </c>
      <c r="D104" s="19" t="str">
        <f t="shared" si="24"/>
        <v xml:space="preserve">      Factory &amp; field indirect costs</v>
      </c>
      <c r="E104" s="19"/>
      <c r="F104" s="19"/>
      <c r="G104" s="19"/>
      <c r="H104" s="29"/>
      <c r="I104" s="99"/>
      <c r="J104" s="26"/>
      <c r="K104" s="42"/>
      <c r="L104" s="29"/>
      <c r="M104" s="29"/>
      <c r="N104" s="29"/>
      <c r="O104" s="26"/>
      <c r="P104" s="26"/>
      <c r="Q104" s="98"/>
      <c r="R104" s="29"/>
      <c r="S104" s="29"/>
      <c r="T104" s="29"/>
      <c r="V104" s="106">
        <f t="shared" si="14"/>
        <v>0</v>
      </c>
      <c r="AH104" s="107"/>
    </row>
    <row r="105" spans="1:34" ht="16" thickBot="1" x14ac:dyDescent="0.25">
      <c r="A105" s="29">
        <v>32</v>
      </c>
      <c r="B105" s="17">
        <v>1</v>
      </c>
      <c r="C105" s="37" t="s">
        <v>390</v>
      </c>
      <c r="D105" s="19" t="str">
        <f t="shared" si="24"/>
        <v xml:space="preserve">      Factory and construction supervision</v>
      </c>
      <c r="E105" s="19"/>
      <c r="F105" s="19"/>
      <c r="G105" s="19"/>
      <c r="H105" s="29"/>
      <c r="I105" s="20"/>
      <c r="J105" s="29"/>
      <c r="K105" s="29"/>
      <c r="L105" s="29"/>
      <c r="M105" s="29"/>
      <c r="N105" s="29"/>
      <c r="O105" s="26"/>
      <c r="P105" s="26"/>
      <c r="Q105" s="98"/>
      <c r="R105" s="29"/>
      <c r="S105" s="29"/>
      <c r="T105" s="29"/>
      <c r="V105" s="106">
        <f t="shared" si="14"/>
        <v>0</v>
      </c>
      <c r="AH105" s="107"/>
    </row>
    <row r="106" spans="1:34" ht="16" thickBot="1" x14ac:dyDescent="0.25">
      <c r="A106" s="21">
        <v>33</v>
      </c>
      <c r="B106" s="17">
        <f t="shared" si="23"/>
        <v>1</v>
      </c>
      <c r="C106" s="37" t="s">
        <v>31</v>
      </c>
      <c r="D106" s="19" t="str">
        <f t="shared" si="24"/>
        <v xml:space="preserve">      Startup Costs</v>
      </c>
      <c r="E106" s="19" t="s">
        <v>345</v>
      </c>
      <c r="F106" s="19"/>
      <c r="G106" s="19"/>
      <c r="H106" s="24">
        <f>MARVEL_Cost!C58</f>
        <v>2407166.4000000004</v>
      </c>
      <c r="I106" s="66"/>
      <c r="J106" s="24"/>
      <c r="K106" s="31"/>
      <c r="L106" s="24"/>
      <c r="M106" s="24"/>
      <c r="N106" s="24"/>
      <c r="O106" s="26">
        <v>2024</v>
      </c>
      <c r="P106" s="97" t="s">
        <v>85</v>
      </c>
      <c r="Q106" s="134" t="s">
        <v>374</v>
      </c>
      <c r="R106" s="24"/>
      <c r="S106" s="24"/>
      <c r="T106" s="24"/>
      <c r="U106" s="6" t="s">
        <v>421</v>
      </c>
      <c r="V106" s="106">
        <f t="shared" si="14"/>
        <v>2166449.7600000002</v>
      </c>
      <c r="W106" s="6">
        <f t="shared" si="13"/>
        <v>3129316.3200000008</v>
      </c>
      <c r="X106" s="6" t="s">
        <v>439</v>
      </c>
      <c r="Y106" s="6">
        <f t="shared" si="16"/>
        <v>0</v>
      </c>
      <c r="Z106" s="6">
        <f t="shared" si="17"/>
        <v>0</v>
      </c>
      <c r="AA106" s="6" t="s">
        <v>439</v>
      </c>
      <c r="AB106" s="6">
        <v>0.1</v>
      </c>
      <c r="AC106" s="6">
        <v>1</v>
      </c>
      <c r="AD106" s="6">
        <v>0</v>
      </c>
      <c r="AE106" s="6" t="s">
        <v>442</v>
      </c>
      <c r="AH106" s="107"/>
    </row>
    <row r="107" spans="1:34" ht="30" customHeight="1" thickBot="1" x14ac:dyDescent="0.25">
      <c r="A107" s="21">
        <v>34</v>
      </c>
      <c r="B107" s="17">
        <f t="shared" si="23"/>
        <v>1</v>
      </c>
      <c r="C107" s="37" t="s">
        <v>32</v>
      </c>
      <c r="D107" s="19" t="str">
        <f t="shared" si="24"/>
        <v xml:space="preserve">      Shipping and Transportation Costs</v>
      </c>
      <c r="E107" s="19" t="s">
        <v>345</v>
      </c>
      <c r="F107" s="19"/>
      <c r="G107" s="19"/>
      <c r="H107" s="24">
        <f>0.5*MARVEL_Cost!C62</f>
        <v>832641.39999999991</v>
      </c>
      <c r="I107" s="66"/>
      <c r="J107" s="24"/>
      <c r="K107" s="31"/>
      <c r="L107" s="24"/>
      <c r="M107" s="24"/>
      <c r="N107" s="24"/>
      <c r="O107" s="26">
        <v>2024</v>
      </c>
      <c r="P107" s="97" t="s">
        <v>85</v>
      </c>
      <c r="Q107" s="135"/>
      <c r="R107" s="24"/>
      <c r="S107" s="24"/>
      <c r="T107" s="24"/>
      <c r="U107" s="6" t="s">
        <v>421</v>
      </c>
      <c r="V107" s="106">
        <f t="shared" si="14"/>
        <v>749377.25999999989</v>
      </c>
      <c r="W107" s="6">
        <f t="shared" si="13"/>
        <v>1082433.8199999998</v>
      </c>
      <c r="X107" s="6" t="s">
        <v>439</v>
      </c>
      <c r="Y107" s="6">
        <f t="shared" si="16"/>
        <v>0</v>
      </c>
      <c r="Z107" s="6">
        <f t="shared" si="17"/>
        <v>0</v>
      </c>
      <c r="AA107" s="6" t="s">
        <v>439</v>
      </c>
      <c r="AB107" s="6">
        <v>0.1</v>
      </c>
      <c r="AC107" s="6">
        <v>1</v>
      </c>
      <c r="AD107" s="6">
        <v>0</v>
      </c>
      <c r="AE107" s="6" t="s">
        <v>442</v>
      </c>
      <c r="AH107" s="107"/>
    </row>
    <row r="108" spans="1:34" ht="16" thickBot="1" x14ac:dyDescent="0.25">
      <c r="A108" s="21">
        <v>35</v>
      </c>
      <c r="B108" s="17">
        <f t="shared" si="23"/>
        <v>1</v>
      </c>
      <c r="C108" s="37" t="s">
        <v>33</v>
      </c>
      <c r="D108" s="19" t="str">
        <f t="shared" si="24"/>
        <v xml:space="preserve">      Engineering Services</v>
      </c>
      <c r="E108" s="19" t="s">
        <v>345</v>
      </c>
      <c r="F108" s="19"/>
      <c r="G108" s="19"/>
      <c r="H108" s="24">
        <f>MARVEL_Cost!C65</f>
        <v>620313.58773783164</v>
      </c>
      <c r="I108" s="69"/>
      <c r="J108" s="26"/>
      <c r="K108" s="42"/>
      <c r="L108" s="26"/>
      <c r="M108" s="26"/>
      <c r="N108" s="26"/>
      <c r="O108" s="26">
        <v>2024</v>
      </c>
      <c r="P108" s="26" t="s">
        <v>72</v>
      </c>
      <c r="Q108" s="135"/>
      <c r="R108" s="26"/>
      <c r="S108" s="26"/>
      <c r="T108" s="26"/>
      <c r="U108" s="6" t="s">
        <v>421</v>
      </c>
      <c r="V108" s="106">
        <f t="shared" si="14"/>
        <v>558282.22896404844</v>
      </c>
      <c r="W108" s="6">
        <f t="shared" si="13"/>
        <v>806407.66405918112</v>
      </c>
      <c r="X108" s="6" t="s">
        <v>439</v>
      </c>
      <c r="Y108" s="6">
        <f t="shared" si="16"/>
        <v>0</v>
      </c>
      <c r="Z108" s="6">
        <f t="shared" si="17"/>
        <v>0</v>
      </c>
      <c r="AA108" s="6" t="s">
        <v>439</v>
      </c>
      <c r="AB108" s="6">
        <v>0.1</v>
      </c>
      <c r="AC108" s="6">
        <v>1</v>
      </c>
      <c r="AD108" s="6">
        <v>0</v>
      </c>
      <c r="AE108" s="6" t="s">
        <v>442</v>
      </c>
      <c r="AH108" s="107"/>
    </row>
    <row r="109" spans="1:34" ht="16" thickBot="1" x14ac:dyDescent="0.25">
      <c r="A109" s="21">
        <v>36</v>
      </c>
      <c r="B109" s="17">
        <f t="shared" si="23"/>
        <v>1</v>
      </c>
      <c r="C109" s="37" t="s">
        <v>233</v>
      </c>
      <c r="D109" s="19" t="str">
        <f t="shared" si="24"/>
        <v xml:space="preserve">      PM/CM Services</v>
      </c>
      <c r="E109" s="19" t="s">
        <v>345</v>
      </c>
      <c r="F109" s="19"/>
      <c r="G109" s="19"/>
      <c r="H109" s="24">
        <f>MARVEL_Cost!C68</f>
        <v>416958.9359999997</v>
      </c>
      <c r="I109" s="69"/>
      <c r="J109" s="26"/>
      <c r="K109" s="42"/>
      <c r="L109" s="26"/>
      <c r="M109" s="26"/>
      <c r="N109" s="26"/>
      <c r="O109" s="26">
        <v>2024</v>
      </c>
      <c r="P109" s="26" t="s">
        <v>72</v>
      </c>
      <c r="Q109" s="136"/>
      <c r="R109" s="26"/>
      <c r="S109" s="26"/>
      <c r="T109" s="26"/>
      <c r="U109" s="6" t="s">
        <v>421</v>
      </c>
      <c r="V109" s="106">
        <f t="shared" si="14"/>
        <v>375263.04239999974</v>
      </c>
      <c r="W109" s="6">
        <f t="shared" si="13"/>
        <v>542046.61679999961</v>
      </c>
      <c r="X109" s="6" t="s">
        <v>439</v>
      </c>
      <c r="Y109" s="6">
        <f t="shared" si="16"/>
        <v>0</v>
      </c>
      <c r="Z109" s="6">
        <f t="shared" si="17"/>
        <v>0</v>
      </c>
      <c r="AA109" s="6" t="s">
        <v>439</v>
      </c>
      <c r="AB109" s="6">
        <v>0.1</v>
      </c>
      <c r="AC109" s="6">
        <v>1</v>
      </c>
      <c r="AD109" s="6">
        <v>0</v>
      </c>
      <c r="AE109" s="6" t="s">
        <v>442</v>
      </c>
      <c r="AH109" s="107"/>
    </row>
    <row r="110" spans="1:34" ht="16" thickBot="1" x14ac:dyDescent="0.25">
      <c r="A110" s="21">
        <v>40</v>
      </c>
      <c r="B110" s="17">
        <f t="shared" si="23"/>
        <v>0</v>
      </c>
      <c r="C110" s="37" t="s">
        <v>391</v>
      </c>
      <c r="D110" s="19" t="str">
        <f t="shared" si="24"/>
        <v>Capitalized training costs</v>
      </c>
      <c r="E110" s="19"/>
      <c r="F110" s="19"/>
      <c r="G110" s="19"/>
      <c r="H110" s="24"/>
      <c r="I110" s="69"/>
      <c r="J110" s="26"/>
      <c r="K110" s="42"/>
      <c r="L110" s="26"/>
      <c r="M110" s="26"/>
      <c r="N110" s="26"/>
      <c r="O110" s="26"/>
      <c r="P110" s="26"/>
      <c r="Q110" s="29"/>
      <c r="R110" s="26"/>
      <c r="S110" s="26"/>
      <c r="T110" s="26"/>
      <c r="U110" s="12"/>
      <c r="V110" s="106">
        <f t="shared" si="14"/>
        <v>0</v>
      </c>
      <c r="AH110" s="107"/>
    </row>
    <row r="111" spans="1:34" ht="86" thickBot="1" x14ac:dyDescent="0.25">
      <c r="A111" s="21">
        <v>41</v>
      </c>
      <c r="B111" s="17">
        <f t="shared" si="23"/>
        <v>1</v>
      </c>
      <c r="C111" s="37" t="s">
        <v>392</v>
      </c>
      <c r="D111" s="19" t="str">
        <f t="shared" si="24"/>
        <v xml:space="preserve">      staff recruitment and training</v>
      </c>
      <c r="E111" s="19" t="s">
        <v>345</v>
      </c>
      <c r="F111" s="19"/>
      <c r="G111" s="19"/>
      <c r="H111" s="24">
        <v>300000</v>
      </c>
      <c r="I111" s="69"/>
      <c r="J111" s="26"/>
      <c r="K111" s="42"/>
      <c r="L111" s="26"/>
      <c r="M111" s="26"/>
      <c r="N111" s="26"/>
      <c r="O111" s="26">
        <v>2024</v>
      </c>
      <c r="P111" s="26" t="s">
        <v>72</v>
      </c>
      <c r="Q111" s="29"/>
      <c r="R111" s="30" t="s">
        <v>417</v>
      </c>
      <c r="S111" s="26" t="s">
        <v>418</v>
      </c>
      <c r="T111" s="26"/>
      <c r="U111" s="12" t="s">
        <v>420</v>
      </c>
      <c r="V111" s="106">
        <f t="shared" si="14"/>
        <v>270000</v>
      </c>
      <c r="W111" s="6">
        <f t="shared" si="13"/>
        <v>390000</v>
      </c>
      <c r="X111" s="6" t="s">
        <v>439</v>
      </c>
      <c r="Y111" s="6">
        <f t="shared" si="16"/>
        <v>0</v>
      </c>
      <c r="Z111" s="6">
        <f t="shared" si="17"/>
        <v>0</v>
      </c>
      <c r="AA111" s="6" t="s">
        <v>439</v>
      </c>
      <c r="AB111" s="6">
        <v>0.1</v>
      </c>
      <c r="AC111" s="6">
        <v>1</v>
      </c>
      <c r="AD111" s="6">
        <v>0</v>
      </c>
      <c r="AE111" s="6" t="s">
        <v>442</v>
      </c>
      <c r="AH111" s="107"/>
    </row>
    <row r="112" spans="1:34" ht="16" thickBot="1" x14ac:dyDescent="0.25">
      <c r="A112" s="29">
        <v>60</v>
      </c>
      <c r="B112" s="17">
        <f t="shared" si="23"/>
        <v>0</v>
      </c>
      <c r="C112" s="37" t="s">
        <v>34</v>
      </c>
      <c r="D112" s="19" t="str">
        <f t="shared" si="24"/>
        <v xml:space="preserve">Capitalized Financial Costs </v>
      </c>
      <c r="E112" s="19"/>
      <c r="F112" s="19"/>
      <c r="G112" s="19"/>
      <c r="H112" s="29"/>
      <c r="I112" s="20"/>
      <c r="J112" s="29"/>
      <c r="K112" s="29"/>
      <c r="L112" s="29"/>
      <c r="M112" s="29"/>
      <c r="N112" s="29"/>
      <c r="O112" s="29"/>
      <c r="P112" s="29"/>
      <c r="Q112" s="29"/>
      <c r="R112" s="29"/>
      <c r="S112" s="29"/>
      <c r="T112" s="29"/>
      <c r="U112" s="12"/>
      <c r="V112" s="106">
        <f t="shared" si="14"/>
        <v>0</v>
      </c>
      <c r="AH112" s="107"/>
    </row>
    <row r="113" spans="1:34" ht="16" thickBot="1" x14ac:dyDescent="0.25">
      <c r="A113" s="21">
        <v>62</v>
      </c>
      <c r="B113" s="17">
        <f t="shared" si="23"/>
        <v>1</v>
      </c>
      <c r="C113" s="37" t="s">
        <v>35</v>
      </c>
      <c r="D113" s="19" t="str">
        <f t="shared" si="24"/>
        <v xml:space="preserve">      Interest</v>
      </c>
      <c r="E113" s="19"/>
      <c r="F113" s="19"/>
      <c r="G113" s="19"/>
      <c r="H113" s="24"/>
      <c r="I113" s="69"/>
      <c r="J113" s="26"/>
      <c r="K113" s="42"/>
      <c r="L113" s="26"/>
      <c r="M113" s="26"/>
      <c r="N113" s="26"/>
      <c r="O113" s="26"/>
      <c r="P113" s="26"/>
      <c r="Q113" s="42"/>
      <c r="R113" s="26"/>
      <c r="S113" s="26"/>
      <c r="T113" s="26"/>
      <c r="U113" s="12"/>
      <c r="V113" s="106">
        <f t="shared" si="14"/>
        <v>0</v>
      </c>
      <c r="AH113" s="107"/>
    </row>
    <row r="114" spans="1:34" ht="16" thickBot="1" x14ac:dyDescent="0.25">
      <c r="A114" s="16">
        <v>70</v>
      </c>
      <c r="B114" s="17">
        <f t="shared" si="23"/>
        <v>0</v>
      </c>
      <c r="C114" s="43" t="s">
        <v>36</v>
      </c>
      <c r="D114" s="19" t="str">
        <f t="shared" si="24"/>
        <v xml:space="preserve">Annualized O&amp;M Cost </v>
      </c>
      <c r="E114" s="19"/>
      <c r="F114" s="19"/>
      <c r="G114" s="19"/>
      <c r="H114" s="17"/>
      <c r="I114" s="17"/>
      <c r="J114" s="17"/>
      <c r="K114" s="20"/>
      <c r="L114" s="17"/>
      <c r="M114" s="17"/>
      <c r="N114" s="17"/>
      <c r="O114" s="17"/>
      <c r="P114" s="17"/>
      <c r="Q114" s="20"/>
      <c r="R114" s="17"/>
      <c r="S114" s="17"/>
      <c r="T114" s="17"/>
      <c r="U114" s="12"/>
      <c r="V114" s="106">
        <f t="shared" si="14"/>
        <v>0</v>
      </c>
      <c r="AH114" s="107"/>
    </row>
    <row r="115" spans="1:34" ht="16" thickBot="1" x14ac:dyDescent="0.25">
      <c r="A115" s="21">
        <v>71</v>
      </c>
      <c r="B115" s="17">
        <f t="shared" si="23"/>
        <v>1</v>
      </c>
      <c r="C115" s="37" t="s">
        <v>37</v>
      </c>
      <c r="D115" s="19" t="str">
        <f t="shared" si="24"/>
        <v xml:space="preserve">      O&amp;M Staff</v>
      </c>
      <c r="E115" s="19"/>
      <c r="F115" s="19"/>
      <c r="G115" s="19"/>
      <c r="H115" s="24"/>
      <c r="I115" s="69"/>
      <c r="J115" s="26"/>
      <c r="K115" s="42"/>
      <c r="L115" s="26"/>
      <c r="M115" s="26"/>
      <c r="N115" s="26"/>
      <c r="O115" s="26"/>
      <c r="P115" s="26"/>
      <c r="Q115" s="42"/>
      <c r="R115" s="26"/>
      <c r="S115" s="26"/>
      <c r="T115" s="26"/>
      <c r="U115" s="12"/>
      <c r="V115" s="106">
        <f t="shared" si="14"/>
        <v>0</v>
      </c>
      <c r="AH115" s="107"/>
    </row>
    <row r="116" spans="1:34" ht="71" customHeight="1" thickBot="1" x14ac:dyDescent="0.25">
      <c r="A116" s="36">
        <v>711</v>
      </c>
      <c r="B116" s="17">
        <f t="shared" si="23"/>
        <v>2</v>
      </c>
      <c r="C116" s="37" t="s">
        <v>38</v>
      </c>
      <c r="D116" s="19" t="str">
        <f t="shared" si="24"/>
        <v xml:space="preserve">            Operators </v>
      </c>
      <c r="E116" s="19" t="s">
        <v>346</v>
      </c>
      <c r="F116" s="19"/>
      <c r="G116" s="19"/>
      <c r="H116" s="24"/>
      <c r="I116" s="69">
        <v>178500</v>
      </c>
      <c r="J116" s="26" t="s">
        <v>396</v>
      </c>
      <c r="K116" s="42" t="s">
        <v>397</v>
      </c>
      <c r="L116" s="26"/>
      <c r="M116" s="26"/>
      <c r="N116" s="26">
        <v>1</v>
      </c>
      <c r="O116" s="26">
        <v>2024</v>
      </c>
      <c r="P116" s="26" t="s">
        <v>72</v>
      </c>
      <c r="Q116" s="42"/>
      <c r="R116" s="101" t="s">
        <v>398</v>
      </c>
      <c r="S116" s="26"/>
      <c r="T116" s="26"/>
      <c r="U116" s="12" t="s">
        <v>420</v>
      </c>
      <c r="V116" s="106">
        <f t="shared" si="14"/>
        <v>0</v>
      </c>
      <c r="W116" s="6">
        <f t="shared" si="13"/>
        <v>0</v>
      </c>
      <c r="X116" s="6" t="s">
        <v>439</v>
      </c>
      <c r="Y116" s="6">
        <f t="shared" si="16"/>
        <v>160650</v>
      </c>
      <c r="Z116" s="6">
        <f t="shared" si="17"/>
        <v>232050</v>
      </c>
      <c r="AA116" s="6" t="s">
        <v>439</v>
      </c>
      <c r="AB116" s="6">
        <v>0.1</v>
      </c>
      <c r="AC116" s="6">
        <v>1</v>
      </c>
      <c r="AD116" s="6">
        <v>0</v>
      </c>
      <c r="AE116" s="6" t="s">
        <v>442</v>
      </c>
      <c r="AH116" s="107"/>
    </row>
    <row r="117" spans="1:34" ht="30" customHeight="1" thickBot="1" x14ac:dyDescent="0.25">
      <c r="A117" s="36">
        <v>712</v>
      </c>
      <c r="B117" s="17">
        <f t="shared" si="23"/>
        <v>2</v>
      </c>
      <c r="C117" s="37" t="s">
        <v>39</v>
      </c>
      <c r="D117" s="19" t="str">
        <f t="shared" si="24"/>
        <v xml:space="preserve">            Remote Monitoring Technicians </v>
      </c>
      <c r="E117" s="19" t="s">
        <v>346</v>
      </c>
      <c r="F117" s="19" t="s">
        <v>401</v>
      </c>
      <c r="G117" s="19" t="s">
        <v>402</v>
      </c>
      <c r="H117" s="24"/>
      <c r="I117" s="69">
        <v>178500</v>
      </c>
      <c r="J117" s="26" t="s">
        <v>396</v>
      </c>
      <c r="K117" s="42" t="s">
        <v>400</v>
      </c>
      <c r="L117" s="26"/>
      <c r="M117" s="26"/>
      <c r="N117" s="26">
        <v>1</v>
      </c>
      <c r="O117" s="26">
        <v>2024</v>
      </c>
      <c r="P117" s="26" t="s">
        <v>72</v>
      </c>
      <c r="Q117" s="42"/>
      <c r="R117" s="101" t="s">
        <v>398</v>
      </c>
      <c r="S117" s="26"/>
      <c r="T117" s="26"/>
      <c r="U117" s="12" t="s">
        <v>420</v>
      </c>
      <c r="V117" s="106">
        <f t="shared" si="14"/>
        <v>0</v>
      </c>
      <c r="W117" s="6">
        <f t="shared" si="13"/>
        <v>0</v>
      </c>
      <c r="X117" s="6" t="s">
        <v>439</v>
      </c>
      <c r="Y117" s="6">
        <f t="shared" si="16"/>
        <v>160650</v>
      </c>
      <c r="Z117" s="6">
        <f t="shared" si="17"/>
        <v>232050</v>
      </c>
      <c r="AA117" s="6" t="s">
        <v>439</v>
      </c>
      <c r="AB117" s="6">
        <v>0.1</v>
      </c>
      <c r="AC117" s="6">
        <v>1</v>
      </c>
      <c r="AD117" s="6">
        <v>0</v>
      </c>
      <c r="AE117" s="6" t="s">
        <v>442</v>
      </c>
      <c r="AH117" s="107"/>
    </row>
    <row r="118" spans="1:34" ht="113" thickBot="1" x14ac:dyDescent="0.25">
      <c r="A118" s="36">
        <v>713</v>
      </c>
      <c r="B118" s="17">
        <f t="shared" si="23"/>
        <v>2</v>
      </c>
      <c r="C118" s="37" t="s">
        <v>40</v>
      </c>
      <c r="D118" s="19" t="str">
        <f t="shared" si="24"/>
        <v xml:space="preserve">            Security Staff </v>
      </c>
      <c r="E118" s="19" t="s">
        <v>346</v>
      </c>
      <c r="F118" s="19"/>
      <c r="G118" s="19"/>
      <c r="H118" s="24"/>
      <c r="I118" s="69">
        <v>178500</v>
      </c>
      <c r="J118" s="26" t="s">
        <v>396</v>
      </c>
      <c r="K118" s="42" t="s">
        <v>403</v>
      </c>
      <c r="L118" s="26"/>
      <c r="M118" s="26"/>
      <c r="N118" s="26">
        <v>1</v>
      </c>
      <c r="O118" s="26">
        <v>2024</v>
      </c>
      <c r="P118" s="26" t="s">
        <v>72</v>
      </c>
      <c r="Q118" s="42"/>
      <c r="R118" s="101" t="s">
        <v>398</v>
      </c>
      <c r="S118" s="26"/>
      <c r="T118" s="26"/>
      <c r="U118" s="12" t="s">
        <v>420</v>
      </c>
      <c r="V118" s="106">
        <f t="shared" si="14"/>
        <v>0</v>
      </c>
      <c r="W118" s="6">
        <f t="shared" si="13"/>
        <v>0</v>
      </c>
      <c r="X118" s="6" t="s">
        <v>439</v>
      </c>
      <c r="Y118" s="6">
        <f t="shared" si="16"/>
        <v>160650</v>
      </c>
      <c r="Z118" s="6">
        <f t="shared" si="17"/>
        <v>232050</v>
      </c>
      <c r="AA118" s="6" t="s">
        <v>439</v>
      </c>
      <c r="AB118" s="6">
        <v>0.1</v>
      </c>
      <c r="AC118" s="6">
        <v>1</v>
      </c>
      <c r="AD118" s="6">
        <v>0</v>
      </c>
      <c r="AE118" s="6" t="s">
        <v>442</v>
      </c>
      <c r="AH118" s="107"/>
    </row>
    <row r="119" spans="1:34" ht="16" thickBot="1" x14ac:dyDescent="0.25">
      <c r="A119" s="21">
        <v>75</v>
      </c>
      <c r="B119" s="17">
        <f t="shared" si="23"/>
        <v>1</v>
      </c>
      <c r="C119" s="37" t="s">
        <v>41</v>
      </c>
      <c r="D119" s="19" t="str">
        <f t="shared" si="24"/>
        <v xml:space="preserve">      Capital Plant Expenditures</v>
      </c>
      <c r="E119" s="19"/>
      <c r="F119" s="19"/>
      <c r="G119" s="19"/>
      <c r="H119" s="24"/>
      <c r="I119" s="69"/>
      <c r="J119" s="26"/>
      <c r="K119" s="42"/>
      <c r="L119" s="26"/>
      <c r="M119" s="26"/>
      <c r="N119" s="26"/>
      <c r="O119" s="26"/>
      <c r="P119" s="26"/>
      <c r="Q119" s="42"/>
      <c r="R119" s="26"/>
      <c r="S119" s="26"/>
      <c r="T119" s="26"/>
      <c r="U119" s="12"/>
      <c r="V119" s="106">
        <f t="shared" si="14"/>
        <v>0</v>
      </c>
      <c r="AH119" s="107"/>
    </row>
    <row r="120" spans="1:34" ht="30" customHeight="1" thickBot="1" x14ac:dyDescent="0.25">
      <c r="A120" s="21">
        <v>78</v>
      </c>
      <c r="B120" s="17">
        <f t="shared" si="23"/>
        <v>1</v>
      </c>
      <c r="C120" s="37" t="s">
        <v>42</v>
      </c>
      <c r="D120" s="19" t="str">
        <f t="shared" si="24"/>
        <v xml:space="preserve">      Annualized Decommissioning Cost</v>
      </c>
      <c r="E120" s="19" t="s">
        <v>346</v>
      </c>
      <c r="F120" s="19"/>
      <c r="G120" s="19"/>
      <c r="H120" s="24"/>
      <c r="I120" s="69">
        <f>1000*1144</f>
        <v>1144000</v>
      </c>
      <c r="J120" s="26" t="s">
        <v>67</v>
      </c>
      <c r="K120" s="23" t="s">
        <v>71</v>
      </c>
      <c r="L120" s="26"/>
      <c r="M120" s="26"/>
      <c r="N120" s="26">
        <v>1</v>
      </c>
      <c r="O120" s="26">
        <v>2024</v>
      </c>
      <c r="P120" s="102" t="s">
        <v>85</v>
      </c>
      <c r="Q120" s="42"/>
      <c r="R120" t="s">
        <v>339</v>
      </c>
      <c r="S120" s="26"/>
      <c r="T120" s="26"/>
      <c r="U120" s="12" t="s">
        <v>420</v>
      </c>
      <c r="V120" s="106">
        <f t="shared" si="14"/>
        <v>0</v>
      </c>
      <c r="W120" s="6">
        <f t="shared" si="13"/>
        <v>0</v>
      </c>
      <c r="X120" s="6" t="s">
        <v>439</v>
      </c>
      <c r="Y120" s="6">
        <f t="shared" si="16"/>
        <v>1029600</v>
      </c>
      <c r="Z120" s="6">
        <f t="shared" si="17"/>
        <v>1487200</v>
      </c>
      <c r="AA120" s="6" t="s">
        <v>439</v>
      </c>
      <c r="AB120" s="6">
        <v>0.1</v>
      </c>
      <c r="AC120" s="6">
        <v>1</v>
      </c>
      <c r="AD120" s="6">
        <v>0</v>
      </c>
      <c r="AE120" s="6" t="s">
        <v>442</v>
      </c>
      <c r="AH120" s="107"/>
    </row>
    <row r="121" spans="1:34" ht="16" thickBot="1" x14ac:dyDescent="0.25">
      <c r="A121" s="16">
        <v>80</v>
      </c>
      <c r="B121" s="17">
        <f t="shared" si="23"/>
        <v>0</v>
      </c>
      <c r="C121" s="43" t="s">
        <v>43</v>
      </c>
      <c r="D121" s="19" t="str">
        <f t="shared" si="24"/>
        <v>Annualized Fuel Cost</v>
      </c>
      <c r="E121" s="19"/>
      <c r="F121" s="19"/>
      <c r="G121" s="19"/>
      <c r="H121" s="17"/>
      <c r="I121" s="17"/>
      <c r="J121" s="17"/>
      <c r="K121" s="20"/>
      <c r="L121" s="17"/>
      <c r="M121" s="17"/>
      <c r="N121" s="17"/>
      <c r="O121" s="17"/>
      <c r="P121" s="17"/>
      <c r="Q121" s="20"/>
      <c r="R121" s="17"/>
      <c r="S121" s="17"/>
      <c r="T121" s="17"/>
      <c r="V121" s="106">
        <f t="shared" si="14"/>
        <v>0</v>
      </c>
      <c r="AH121" s="107"/>
    </row>
    <row r="122" spans="1:34" ht="113" thickBot="1" x14ac:dyDescent="0.25">
      <c r="A122" s="21">
        <v>81</v>
      </c>
      <c r="B122" s="17">
        <f t="shared" si="23"/>
        <v>1</v>
      </c>
      <c r="C122" s="37" t="s">
        <v>44</v>
      </c>
      <c r="D122" s="19" t="str">
        <f t="shared" si="24"/>
        <v xml:space="preserve">      Refueling Operations</v>
      </c>
      <c r="E122" s="19" t="s">
        <v>346</v>
      </c>
      <c r="F122" s="19"/>
      <c r="G122" s="19"/>
      <c r="H122" s="24"/>
      <c r="I122" s="69">
        <v>178500</v>
      </c>
      <c r="J122" s="26" t="s">
        <v>396</v>
      </c>
      <c r="K122" s="42" t="s">
        <v>397</v>
      </c>
      <c r="L122" s="26"/>
      <c r="M122" s="26"/>
      <c r="N122" s="26">
        <v>1</v>
      </c>
      <c r="O122" s="26">
        <v>2024</v>
      </c>
      <c r="P122" s="102" t="s">
        <v>72</v>
      </c>
      <c r="Q122" s="42"/>
      <c r="R122" s="101" t="s">
        <v>398</v>
      </c>
      <c r="S122" s="26"/>
      <c r="T122" s="26"/>
      <c r="U122" s="6" t="s">
        <v>420</v>
      </c>
      <c r="V122" s="106">
        <f t="shared" si="14"/>
        <v>0</v>
      </c>
      <c r="W122" s="6">
        <f t="shared" si="13"/>
        <v>0</v>
      </c>
      <c r="X122" s="6" t="s">
        <v>439</v>
      </c>
      <c r="Y122" s="6">
        <f t="shared" si="16"/>
        <v>160650</v>
      </c>
      <c r="Z122" s="6">
        <f t="shared" si="17"/>
        <v>232050</v>
      </c>
      <c r="AA122" s="6" t="s">
        <v>439</v>
      </c>
      <c r="AB122" s="6">
        <v>0.1</v>
      </c>
      <c r="AC122" s="6">
        <v>1</v>
      </c>
      <c r="AD122" s="6">
        <v>0</v>
      </c>
      <c r="AE122" s="6" t="s">
        <v>442</v>
      </c>
      <c r="AH122" s="107"/>
    </row>
    <row r="123" spans="1:34" ht="16" thickBot="1" x14ac:dyDescent="0.25">
      <c r="A123" s="21">
        <v>82</v>
      </c>
      <c r="B123" s="17">
        <f t="shared" si="23"/>
        <v>1</v>
      </c>
      <c r="C123" s="37" t="s">
        <v>45</v>
      </c>
      <c r="D123" s="19" t="str">
        <f t="shared" si="24"/>
        <v xml:space="preserve">      Additional Nuclear Fuel</v>
      </c>
      <c r="E123" s="19"/>
      <c r="F123" s="19"/>
      <c r="G123" s="19"/>
      <c r="H123" s="24"/>
      <c r="I123" s="69"/>
      <c r="J123" s="26"/>
      <c r="K123" s="42"/>
      <c r="L123" s="26"/>
      <c r="M123" s="26"/>
      <c r="N123" s="26"/>
      <c r="O123" s="26"/>
      <c r="P123" s="26"/>
      <c r="Q123" s="42"/>
      <c r="R123" s="26"/>
      <c r="S123" s="26"/>
      <c r="T123" s="26"/>
      <c r="U123" s="6" t="s">
        <v>424</v>
      </c>
      <c r="V123" s="106"/>
      <c r="AH123" s="107"/>
    </row>
    <row r="124" spans="1:34" ht="31" thickBot="1" x14ac:dyDescent="0.25">
      <c r="A124" s="21">
        <v>83</v>
      </c>
      <c r="B124" s="17">
        <f t="shared" si="23"/>
        <v>1</v>
      </c>
      <c r="C124" s="37" t="s">
        <v>46</v>
      </c>
      <c r="D124" s="19" t="str">
        <f t="shared" si="24"/>
        <v xml:space="preserve">      Spent Fuel Management</v>
      </c>
      <c r="E124" s="19" t="s">
        <v>345</v>
      </c>
      <c r="F124" s="19"/>
      <c r="G124" s="19"/>
      <c r="H124" s="24"/>
      <c r="I124" s="69">
        <v>1</v>
      </c>
      <c r="J124" s="26" t="s">
        <v>409</v>
      </c>
      <c r="K124" s="42" t="s">
        <v>410</v>
      </c>
      <c r="L124" s="26"/>
      <c r="M124" s="26"/>
      <c r="N124" s="26">
        <v>1</v>
      </c>
      <c r="O124" s="26">
        <v>2024</v>
      </c>
      <c r="P124" s="26" t="s">
        <v>77</v>
      </c>
      <c r="Q124" s="42"/>
      <c r="R124" s="26"/>
      <c r="S124" s="26"/>
      <c r="T124" s="26"/>
      <c r="U124" s="6" t="s">
        <v>420</v>
      </c>
      <c r="V124" s="106">
        <f t="shared" si="14"/>
        <v>0</v>
      </c>
      <c r="W124" s="6">
        <f t="shared" si="13"/>
        <v>0</v>
      </c>
      <c r="X124" s="6" t="s">
        <v>439</v>
      </c>
      <c r="Y124" s="6">
        <f t="shared" si="16"/>
        <v>0.9</v>
      </c>
      <c r="Z124" s="6">
        <f t="shared" si="17"/>
        <v>1.3</v>
      </c>
      <c r="AA124" s="6" t="s">
        <v>439</v>
      </c>
      <c r="AB124" s="6">
        <v>0.1</v>
      </c>
      <c r="AC124" s="6">
        <v>1</v>
      </c>
      <c r="AD124" s="6">
        <v>0</v>
      </c>
      <c r="AE124" s="6" t="s">
        <v>442</v>
      </c>
      <c r="AH124" s="107"/>
    </row>
  </sheetData>
  <mergeCells count="41">
    <mergeCell ref="Q106:Q109"/>
    <mergeCell ref="Q39:Q41"/>
    <mergeCell ref="Q45:Q47"/>
    <mergeCell ref="Q49:Q51"/>
    <mergeCell ref="Q97:Q101"/>
    <mergeCell ref="R34:R36"/>
    <mergeCell ref="R39:R41"/>
    <mergeCell ref="Q20:Q22"/>
    <mergeCell ref="Q24:Q26"/>
    <mergeCell ref="Q30:Q32"/>
    <mergeCell ref="Q34:Q36"/>
    <mergeCell ref="R97:R101"/>
    <mergeCell ref="R75:R76"/>
    <mergeCell ref="S75:S76"/>
    <mergeCell ref="R3:R4"/>
    <mergeCell ref="S3:S4"/>
    <mergeCell ref="S20:S22"/>
    <mergeCell ref="R66:R70"/>
    <mergeCell ref="S24:S26"/>
    <mergeCell ref="S30:S32"/>
    <mergeCell ref="S34:S36"/>
    <mergeCell ref="R55:R57"/>
    <mergeCell ref="S55:S57"/>
    <mergeCell ref="S39:S41"/>
    <mergeCell ref="R20:R22"/>
    <mergeCell ref="R24:R26"/>
    <mergeCell ref="R30:R32"/>
    <mergeCell ref="Q15:Q17"/>
    <mergeCell ref="Q11:Q13"/>
    <mergeCell ref="R11:R13"/>
    <mergeCell ref="S11:S13"/>
    <mergeCell ref="R15:R17"/>
    <mergeCell ref="S15:S17"/>
    <mergeCell ref="T75:T76"/>
    <mergeCell ref="R45:R47"/>
    <mergeCell ref="R49:R51"/>
    <mergeCell ref="S45:S47"/>
    <mergeCell ref="S49:S51"/>
    <mergeCell ref="S66:S70"/>
    <mergeCell ref="R60:R63"/>
    <mergeCell ref="S60:S63"/>
  </mergeCells>
  <conditionalFormatting sqref="A97:H99">
    <cfRule type="expression" dxfId="84" priority="108">
      <formula>$B97=0</formula>
    </cfRule>
    <cfRule type="expression" dxfId="83" priority="107">
      <formula>$B97&lt;2</formula>
    </cfRule>
    <cfRule type="expression" dxfId="82" priority="106">
      <formula>$B97=2</formula>
    </cfRule>
    <cfRule type="expression" dxfId="81" priority="105">
      <formula>$B97=3</formula>
    </cfRule>
  </conditionalFormatting>
  <conditionalFormatting sqref="A79:I83">
    <cfRule type="expression" dxfId="80" priority="129">
      <formula>$B79=3</formula>
    </cfRule>
    <cfRule type="expression" dxfId="79" priority="130">
      <formula>$B79=2</formula>
    </cfRule>
    <cfRule type="expression" dxfId="78" priority="131">
      <formula>$B79&lt;2</formula>
    </cfRule>
    <cfRule type="expression" dxfId="77" priority="132">
      <formula>$B79=0</formula>
    </cfRule>
  </conditionalFormatting>
  <conditionalFormatting sqref="A100:P101">
    <cfRule type="expression" dxfId="76" priority="92">
      <formula>$B100=0</formula>
    </cfRule>
    <cfRule type="expression" dxfId="75" priority="91">
      <formula>$B100&lt;2</formula>
    </cfRule>
    <cfRule type="expression" dxfId="74" priority="90">
      <formula>$B100=2</formula>
    </cfRule>
    <cfRule type="expression" dxfId="73" priority="89">
      <formula>$B100=3</formula>
    </cfRule>
  </conditionalFormatting>
  <conditionalFormatting sqref="A104:P111">
    <cfRule type="expression" dxfId="72" priority="40">
      <formula>$B104=0</formula>
    </cfRule>
    <cfRule type="expression" dxfId="71" priority="37">
      <formula>$B104=3</formula>
    </cfRule>
    <cfRule type="expression" dxfId="70" priority="38">
      <formula>$B104=2</formula>
    </cfRule>
    <cfRule type="expression" dxfId="69" priority="39">
      <formula>$B104&lt;2</formula>
    </cfRule>
  </conditionalFormatting>
  <conditionalFormatting sqref="A120:Q120">
    <cfRule type="expression" dxfId="68" priority="12">
      <formula>$B120=0</formula>
    </cfRule>
    <cfRule type="expression" dxfId="67" priority="9">
      <formula>$B120=3</formula>
    </cfRule>
    <cfRule type="expression" dxfId="66" priority="10">
      <formula>$B120=2</formula>
    </cfRule>
    <cfRule type="expression" dxfId="65" priority="11">
      <formula>$B120&lt;2</formula>
    </cfRule>
  </conditionalFormatting>
  <conditionalFormatting sqref="A122:Q122">
    <cfRule type="expression" dxfId="64" priority="5">
      <formula>$B122=3</formula>
    </cfRule>
    <cfRule type="expression" dxfId="63" priority="6">
      <formula>$B122=2</formula>
    </cfRule>
    <cfRule type="expression" dxfId="62" priority="7">
      <formula>$B122&lt;2</formula>
    </cfRule>
    <cfRule type="expression" dxfId="61" priority="8">
      <formula>$B122=0</formula>
    </cfRule>
  </conditionalFormatting>
  <conditionalFormatting sqref="A74:S74">
    <cfRule type="expression" dxfId="60" priority="148">
      <formula>$B74=0</formula>
    </cfRule>
    <cfRule type="expression" dxfId="59" priority="147">
      <formula>$B74&lt;2</formula>
    </cfRule>
    <cfRule type="expression" dxfId="58" priority="146">
      <formula>$B74=2</formula>
    </cfRule>
    <cfRule type="expression" dxfId="57" priority="145">
      <formula>$B74=3</formula>
    </cfRule>
  </conditionalFormatting>
  <conditionalFormatting sqref="A1:T4 A5:R6 T5:T6 A7:T73 A75:F77 L97:T97 L98:P98 S98:T102 I99:P99 A102:R102 R106:T111 Q110:Q111 A112:T115 A116:H117 A118:J118 A119:T119 S120:T120 A121:T121 S122:T122 A123:T124">
    <cfRule type="expression" dxfId="56" priority="143">
      <formula>$B1&lt;2</formula>
    </cfRule>
    <cfRule type="expression" dxfId="55" priority="142">
      <formula>$B1=2</formula>
    </cfRule>
    <cfRule type="expression" dxfId="54" priority="141">
      <formula>$B1=3</formula>
    </cfRule>
    <cfRule type="expression" dxfId="53" priority="144">
      <formula>$B1=0</formula>
    </cfRule>
  </conditionalFormatting>
  <conditionalFormatting sqref="A84:T96">
    <cfRule type="expression" dxfId="52" priority="109">
      <formula>$B84=3</formula>
    </cfRule>
    <cfRule type="expression" dxfId="51" priority="112">
      <formula>$B84=0</formula>
    </cfRule>
    <cfRule type="expression" dxfId="50" priority="111">
      <formula>$B84&lt;2</formula>
    </cfRule>
    <cfRule type="expression" dxfId="49" priority="110">
      <formula>$B84=2</formula>
    </cfRule>
  </conditionalFormatting>
  <conditionalFormatting sqref="A103:T103">
    <cfRule type="expression" dxfId="48" priority="76">
      <formula>$B103=0</formula>
    </cfRule>
    <cfRule type="expression" dxfId="47" priority="74">
      <formula>$B103=2</formula>
    </cfRule>
    <cfRule type="expression" dxfId="46" priority="73">
      <formula>$B103=3</formula>
    </cfRule>
    <cfRule type="expression" dxfId="45" priority="75">
      <formula>$B103&lt;2</formula>
    </cfRule>
  </conditionalFormatting>
  <conditionalFormatting sqref="D2:D124">
    <cfRule type="colorScale" priority="201">
      <colorScale>
        <cfvo type="min"/>
        <cfvo type="max"/>
        <color rgb="FFFF7128"/>
        <color rgb="FFFFEF9C"/>
      </colorScale>
    </cfRule>
  </conditionalFormatting>
  <conditionalFormatting sqref="G75:G76">
    <cfRule type="expression" dxfId="44" priority="137">
      <formula>$B75=3</formula>
    </cfRule>
    <cfRule type="expression" dxfId="43" priority="138">
      <formula>$B75=2</formula>
    </cfRule>
    <cfRule type="expression" dxfId="42" priority="139">
      <formula>$B75&lt;2</formula>
    </cfRule>
    <cfRule type="expression" dxfId="41" priority="140">
      <formula>$B75=0</formula>
    </cfRule>
  </conditionalFormatting>
  <conditionalFormatting sqref="I116:J117">
    <cfRule type="expression" dxfId="40" priority="24">
      <formula>$B117=0</formula>
    </cfRule>
    <cfRule type="expression" dxfId="39" priority="23">
      <formula>$B117&lt;2</formula>
    </cfRule>
    <cfRule type="expression" dxfId="38" priority="22">
      <formula>$B117=2</formula>
    </cfRule>
    <cfRule type="expression" dxfId="37" priority="21">
      <formula>$B117=3</formula>
    </cfRule>
  </conditionalFormatting>
  <conditionalFormatting sqref="I97:K98">
    <cfRule type="expression" dxfId="36" priority="103">
      <formula>$B97&lt;2</formula>
    </cfRule>
    <cfRule type="expression" dxfId="35" priority="104">
      <formula>$B97=0</formula>
    </cfRule>
    <cfRule type="expression" dxfId="34" priority="102">
      <formula>$B97=2</formula>
    </cfRule>
    <cfRule type="expression" dxfId="33" priority="101">
      <formula>$B97=3</formula>
    </cfRule>
  </conditionalFormatting>
  <conditionalFormatting sqref="J79 O103">
    <cfRule type="expression" dxfId="32" priority="161">
      <formula>$B80=0</formula>
    </cfRule>
    <cfRule type="expression" dxfId="31" priority="160">
      <formula>$B80&lt;2</formula>
    </cfRule>
    <cfRule type="expression" dxfId="30" priority="159">
      <formula>$B80=2</formula>
    </cfRule>
  </conditionalFormatting>
  <conditionalFormatting sqref="K80:Q83">
    <cfRule type="expression" dxfId="29" priority="125">
      <formula>$B80=3</formula>
    </cfRule>
    <cfRule type="expression" dxfId="28" priority="126">
      <formula>$B80=2</formula>
    </cfRule>
    <cfRule type="expression" dxfId="27" priority="127">
      <formula>$B80&lt;2</formula>
    </cfRule>
    <cfRule type="expression" dxfId="26" priority="128">
      <formula>$B80=0</formula>
    </cfRule>
  </conditionalFormatting>
  <conditionalFormatting sqref="K116:Q118 S116:T118">
    <cfRule type="expression" dxfId="25" priority="14">
      <formula>$B116=2</formula>
    </cfRule>
    <cfRule type="expression" dxfId="24" priority="15">
      <formula>$B116&lt;2</formula>
    </cfRule>
    <cfRule type="expression" dxfId="23" priority="13">
      <formula>$B116=3</formula>
    </cfRule>
  </conditionalFormatting>
  <conditionalFormatting sqref="K116:Q118">
    <cfRule type="expression" dxfId="22" priority="16">
      <formula>$B116=0</formula>
    </cfRule>
  </conditionalFormatting>
  <conditionalFormatting sqref="O103 J79">
    <cfRule type="expression" dxfId="21" priority="158">
      <formula>$B80=3</formula>
    </cfRule>
  </conditionalFormatting>
  <conditionalFormatting sqref="Q106">
    <cfRule type="expression" dxfId="20" priority="88">
      <formula>$B106=0</formula>
    </cfRule>
    <cfRule type="expression" dxfId="19" priority="85">
      <formula>$B106=3</formula>
    </cfRule>
    <cfRule type="expression" dxfId="18" priority="87">
      <formula>$B106&lt;2</formula>
    </cfRule>
    <cfRule type="expression" dxfId="17" priority="86">
      <formula>$B106=2</formula>
    </cfRule>
  </conditionalFormatting>
  <conditionalFormatting sqref="Q104:T105">
    <cfRule type="expression" dxfId="16" priority="48">
      <formula>$B104=0</formula>
    </cfRule>
    <cfRule type="expression" dxfId="15" priority="47">
      <formula>$B104&lt;2</formula>
    </cfRule>
    <cfRule type="expression" dxfId="14" priority="46">
      <formula>$B104=2</formula>
    </cfRule>
    <cfRule type="expression" dxfId="13" priority="45">
      <formula>$B104=3</formula>
    </cfRule>
  </conditionalFormatting>
  <conditionalFormatting sqref="S5">
    <cfRule type="expression" dxfId="12" priority="1">
      <formula>$B5=3</formula>
    </cfRule>
    <cfRule type="expression" dxfId="11" priority="2">
      <formula>$B5=2</formula>
    </cfRule>
    <cfRule type="expression" dxfId="10" priority="3">
      <formula>$B5&lt;2</formula>
    </cfRule>
    <cfRule type="expression" dxfId="9" priority="4">
      <formula>$B5=0</formula>
    </cfRule>
  </conditionalFormatting>
  <conditionalFormatting sqref="S6 S75">
    <cfRule type="expression" dxfId="8" priority="166">
      <formula>$B5=3</formula>
    </cfRule>
    <cfRule type="expression" dxfId="7" priority="167">
      <formula>$B5=2</formula>
    </cfRule>
    <cfRule type="expression" dxfId="6" priority="168">
      <formula>$B5&lt;2</formula>
    </cfRule>
    <cfRule type="expression" dxfId="5" priority="169">
      <formula>$B5=0</formula>
    </cfRule>
  </conditionalFormatting>
  <conditionalFormatting sqref="S116:T118">
    <cfRule type="expression" dxfId="4" priority="32">
      <formula>$B116=0</formula>
    </cfRule>
  </conditionalFormatting>
  <conditionalFormatting sqref="T74:T77 H75:R75 H76:Q76 G77:Q77 A78:T78 K79:T79 S80:T83">
    <cfRule type="expression" dxfId="3" priority="150">
      <formula>$B74=2</formula>
    </cfRule>
    <cfRule type="expression" dxfId="2" priority="151">
      <formula>$B74&lt;2</formula>
    </cfRule>
    <cfRule type="expression" dxfId="1" priority="152">
      <formula>$B74=0</formula>
    </cfRule>
    <cfRule type="expression" dxfId="0" priority="149">
      <formula>$B74=3</formula>
    </cfRule>
  </conditionalFormatting>
  <dataValidations count="11">
    <dataValidation type="whole" allowBlank="1" showInputMessage="1" showErrorMessage="1" sqref="O105:O124 O125:P132 O2:O103" xr:uid="{7C199008-9AB6-6549-A861-AD474C13E949}">
      <formula1>1950</formula1>
      <formula2>2025</formula2>
    </dataValidation>
    <dataValidation type="decimal" operator="greaterThan" allowBlank="1" showInputMessage="1" showErrorMessage="1" sqref="I2:I9 I11:I41 I45:I47 I49:I51 L1:L55 I55:I62 I65 I68:I73 I103:I124 H91:H92 H94:H96 I75:I101 H100:H124 L74:L1048576 L57:L64 H2:H88 L66:L72" xr:uid="{66ABF627-CC97-3E44-B6AC-09E441BED0CD}">
      <formula1>0</formula1>
    </dataValidation>
    <dataValidation type="list" allowBlank="1" showInputMessage="1" showErrorMessage="1" sqref="K299:K30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5:J1048576" xr:uid="{EEDF1E2A-32DC-6242-8EBD-BD01BBD19C77}">
      <formula1>"$/acres, $/MWe, $/m^3, $/MWt"</formula1>
    </dataValidation>
    <dataValidation type="list" allowBlank="1" showInputMessage="1" showErrorMessage="1" sqref="E2:E10 E14 E18:E19 E23 E27:E29 E33 E37:E38 E43:E44 E48 E52:E54 E59 E68 E73:E124" xr:uid="{E571E7A1-C2F9-2E4D-99A9-8FA0C5D45C39}">
      <formula1>"standard, nonstandard"</formula1>
    </dataValidation>
    <dataValidation type="decimal" allowBlank="1" showInputMessage="1" showErrorMessage="1" sqref="N2:N124" xr:uid="{1C0096F5-23AB-5A48-8F14-E27BC72A38A6}">
      <formula1>0</formula1>
      <formula2>1</formula2>
    </dataValidation>
    <dataValidation type="list" allowBlank="1" showInputMessage="1" showErrorMessage="1" sqref="M2:M124" xr:uid="{127B7473-9D01-354E-A3BD-12180E660A5C}">
      <formula1>"acres, MWe, m^3, MWt, Kg, Drums, kW, $"</formula1>
    </dataValidation>
    <dataValidation type="list" allowBlank="1" showInputMessage="1" showErrorMessage="1" sqref="P2:P124" xr:uid="{17DDFD40-D97D-B64B-BD3B-AEAF52F6302C}">
      <formula1>"NA, General, Labor, Material, Equipment,Lab and Mat and Equip, 'Lab and Equip"</formula1>
    </dataValidation>
    <dataValidation type="whole" allowBlank="1" showInputMessage="1" showErrorMessage="1" sqref="N125:N278" xr:uid="{6D536505-A5B6-E145-A4B9-9C3C8E6B8527}">
      <formula1>0</formula1>
      <formula2>1</formula2>
    </dataValidation>
    <dataValidation type="list" allowBlank="1" showInputMessage="1" showErrorMessage="1" sqref="J2:J124" xr:uid="{0FCCEC2F-487A-5A42-9C52-ED538456C753}">
      <formula1>"$/MWeHour,$/FTE, $/acres, $/MWe, $/m^3, $/MWt, $/Kg, $/Drum, $/(kg.sec), $/SWU, unitless"</formula1>
    </dataValidation>
    <dataValidation type="list" allowBlank="1" showInputMessage="1" showErrorMessage="1" sqref="U2:U124" xr:uid="{8C851931-DD22-6940-94BD-3E222B1E11BE}">
      <formula1>"No Learning, Onsite Learning, Factory Primary Structure, Factory Drums, Factory Other, Licensing Learning"</formula1>
    </dataValidation>
  </dataValidations>
  <hyperlinks>
    <hyperlink ref="S3" r:id="rId1" xr:uid="{BA0D9C81-F547-414C-A28F-25DA56C7D1AB}"/>
    <hyperlink ref="S42" r:id="rId2" display="https://inldigitallibrary.inl.gov/sites/sti/sti/Sort_129862.pdf_x000a__x000a_" xr:uid="{0C5690C1-ED1C-8647-B6EB-55013768C9A4}"/>
    <hyperlink ref="S75" r:id="rId3" display="https://www.sciencedirect.com/science/article/pii/S1290072903000218" xr:uid="{FB986645-DAA7-E546-AB13-44635CD5B6AC}"/>
    <hyperlink ref="R5" r:id="rId4" xr:uid="{F6784630-8313-6844-914B-DA218CBAB253}"/>
  </hyperlinks>
  <pageMargins left="0.7" right="0.7" top="0.75" bottom="0.75" header="0.3" footer="0.3"/>
  <pageSetup orientation="portrait" horizontalDpi="0" verticalDpi="0"/>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67" zoomScale="192" workbookViewId="0">
      <selection activeCell="C73" sqref="C73"/>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7" t="s">
        <v>192</v>
      </c>
      <c r="B1" s="138" t="s">
        <v>1</v>
      </c>
      <c r="C1" s="139" t="s">
        <v>321</v>
      </c>
    </row>
    <row r="2" spans="1:5" x14ac:dyDescent="0.2">
      <c r="A2" s="137"/>
      <c r="B2" s="138"/>
      <c r="C2" s="140"/>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194</v>
      </c>
      <c r="C7" s="45"/>
    </row>
    <row r="8" spans="1:5" ht="16" x14ac:dyDescent="0.2">
      <c r="A8" s="63">
        <v>212</v>
      </c>
      <c r="B8" s="44" t="s">
        <v>8</v>
      </c>
      <c r="C8" s="45">
        <v>2573469.8719999976</v>
      </c>
    </row>
    <row r="9" spans="1:5" ht="16" x14ac:dyDescent="0.2">
      <c r="A9" s="63">
        <v>213</v>
      </c>
      <c r="B9" s="44" t="s">
        <v>122</v>
      </c>
      <c r="C9" s="45"/>
    </row>
    <row r="10" spans="1:5" ht="16" x14ac:dyDescent="0.2">
      <c r="A10" s="63">
        <v>214</v>
      </c>
      <c r="B10" s="44" t="s">
        <v>9</v>
      </c>
      <c r="C10" s="45">
        <f>SUM(C11:C11)</f>
        <v>225536.86</v>
      </c>
    </row>
    <row r="11" spans="1:5" ht="16" x14ac:dyDescent="0.2">
      <c r="A11" s="63">
        <v>214.7</v>
      </c>
      <c r="B11" s="44" t="s">
        <v>195</v>
      </c>
      <c r="C11" s="45">
        <v>225536.86</v>
      </c>
      <c r="E11" s="72"/>
    </row>
    <row r="12" spans="1:5" ht="16" x14ac:dyDescent="0.2">
      <c r="A12" s="63">
        <v>217</v>
      </c>
      <c r="B12" s="44" t="s">
        <v>196</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191</v>
      </c>
      <c r="C15" s="45">
        <f>C16+C17+C18</f>
        <v>2004852</v>
      </c>
    </row>
    <row r="16" spans="1:5" ht="16" x14ac:dyDescent="0.2">
      <c r="A16" s="63">
        <v>221.11</v>
      </c>
      <c r="B16" s="44" t="s">
        <v>190</v>
      </c>
      <c r="C16" s="45">
        <v>762382.4</v>
      </c>
    </row>
    <row r="17" spans="1:4" ht="16" x14ac:dyDescent="0.2">
      <c r="A17" s="63">
        <v>221.12</v>
      </c>
      <c r="B17" s="48" t="s">
        <v>197</v>
      </c>
      <c r="C17" s="45">
        <v>1201688.6000000001</v>
      </c>
    </row>
    <row r="18" spans="1:4" ht="16" x14ac:dyDescent="0.2">
      <c r="A18" s="63">
        <v>221.13</v>
      </c>
      <c r="B18" s="48" t="s">
        <v>198</v>
      </c>
      <c r="C18" s="45">
        <v>40781</v>
      </c>
    </row>
    <row r="19" spans="1:4" ht="16" x14ac:dyDescent="0.2">
      <c r="A19" s="63">
        <v>221.2</v>
      </c>
      <c r="B19" s="48" t="s">
        <v>199</v>
      </c>
      <c r="C19" s="45">
        <f>C20</f>
        <v>2114223</v>
      </c>
    </row>
    <row r="20" spans="1:4" ht="17" thickBot="1" x14ac:dyDescent="0.25">
      <c r="A20" s="63">
        <v>221.21</v>
      </c>
      <c r="B20" s="48" t="s">
        <v>200</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133</v>
      </c>
      <c r="C22" s="45">
        <v>322663</v>
      </c>
    </row>
    <row r="23" spans="1:4" ht="16" thickBot="1" x14ac:dyDescent="0.25">
      <c r="A23" s="36">
        <v>221.21299999999999</v>
      </c>
      <c r="B23" s="37" t="s">
        <v>184</v>
      </c>
      <c r="C23" s="45">
        <v>400000</v>
      </c>
    </row>
    <row r="24" spans="1:4" ht="16" thickBot="1" x14ac:dyDescent="0.25">
      <c r="A24" s="36">
        <v>221.214</v>
      </c>
      <c r="B24" s="37" t="s">
        <v>185</v>
      </c>
    </row>
    <row r="25" spans="1:4" ht="16" x14ac:dyDescent="0.2">
      <c r="A25" s="63">
        <v>221.3</v>
      </c>
      <c r="B25" s="48" t="s">
        <v>201</v>
      </c>
      <c r="C25" s="45">
        <f>C26+C30+C31</f>
        <v>4818221.5999999996</v>
      </c>
    </row>
    <row r="26" spans="1:4" ht="16" x14ac:dyDescent="0.2">
      <c r="A26" s="63">
        <v>221.31</v>
      </c>
      <c r="B26" s="48" t="s">
        <v>13</v>
      </c>
      <c r="C26" s="45">
        <v>4170231</v>
      </c>
    </row>
    <row r="27" spans="1:4" ht="16" x14ac:dyDescent="0.2">
      <c r="A27" s="71">
        <v>221.31100000000001</v>
      </c>
      <c r="B27" s="48" t="s">
        <v>325</v>
      </c>
      <c r="C27" s="45">
        <v>3200000</v>
      </c>
    </row>
    <row r="28" spans="1:4" ht="16" x14ac:dyDescent="0.2">
      <c r="A28" s="71">
        <v>221.31200000000001</v>
      </c>
      <c r="B28" s="48" t="s">
        <v>327</v>
      </c>
      <c r="C28" s="45">
        <v>850000</v>
      </c>
    </row>
    <row r="29" spans="1:4" ht="16" x14ac:dyDescent="0.2">
      <c r="A29" s="71">
        <v>221.31299999999999</v>
      </c>
      <c r="B29" s="48" t="s">
        <v>326</v>
      </c>
      <c r="C29" s="45">
        <v>120231</v>
      </c>
    </row>
    <row r="30" spans="1:4" ht="16" x14ac:dyDescent="0.2">
      <c r="A30" s="63">
        <v>221.32</v>
      </c>
      <c r="B30" s="48" t="s">
        <v>14</v>
      </c>
      <c r="C30" s="45">
        <v>647990.6</v>
      </c>
    </row>
    <row r="31" spans="1:4" ht="16" x14ac:dyDescent="0.2">
      <c r="A31" s="63">
        <v>221.33</v>
      </c>
      <c r="B31" s="48" t="s">
        <v>202</v>
      </c>
      <c r="C31" s="45">
        <v>0</v>
      </c>
    </row>
    <row r="32" spans="1:4" ht="16" x14ac:dyDescent="0.2">
      <c r="A32" s="63" t="s">
        <v>203</v>
      </c>
      <c r="B32" s="44" t="s">
        <v>15</v>
      </c>
      <c r="C32" s="45">
        <f>C33+C34+C38+C39+C40</f>
        <v>5908950.5999999996</v>
      </c>
    </row>
    <row r="33" spans="1:3" ht="16" x14ac:dyDescent="0.2">
      <c r="A33" s="63">
        <v>222.1</v>
      </c>
      <c r="B33" s="44" t="s">
        <v>204</v>
      </c>
      <c r="C33" s="45">
        <v>0</v>
      </c>
    </row>
    <row r="34" spans="1:3" ht="16" x14ac:dyDescent="0.2">
      <c r="A34" s="63">
        <v>222.2</v>
      </c>
      <c r="B34" s="44" t="s">
        <v>205</v>
      </c>
      <c r="C34" s="45">
        <v>4890230.5999999996</v>
      </c>
    </row>
    <row r="35" spans="1:3" ht="16" x14ac:dyDescent="0.2">
      <c r="A35" s="63">
        <v>222.21</v>
      </c>
      <c r="B35" s="44" t="s">
        <v>322</v>
      </c>
      <c r="C35" s="45">
        <v>1520786</v>
      </c>
    </row>
    <row r="36" spans="1:3" ht="32" x14ac:dyDescent="0.2">
      <c r="A36" s="63">
        <v>222.22</v>
      </c>
      <c r="B36" s="44" t="s">
        <v>323</v>
      </c>
      <c r="C36" s="45">
        <v>3341486</v>
      </c>
    </row>
    <row r="37" spans="1:3" ht="32" x14ac:dyDescent="0.2">
      <c r="A37" s="63">
        <v>222.23</v>
      </c>
      <c r="B37" s="44" t="s">
        <v>324</v>
      </c>
      <c r="C37" s="45">
        <v>27958.6</v>
      </c>
    </row>
    <row r="38" spans="1:3" ht="16" x14ac:dyDescent="0.2">
      <c r="A38" s="63">
        <v>222.3</v>
      </c>
      <c r="B38" s="44" t="s">
        <v>17</v>
      </c>
      <c r="C38" s="45">
        <v>0</v>
      </c>
    </row>
    <row r="39" spans="1:3" ht="16" x14ac:dyDescent="0.2">
      <c r="A39" s="63">
        <v>222.4</v>
      </c>
      <c r="B39" s="44" t="s">
        <v>206</v>
      </c>
      <c r="C39" s="45">
        <v>0</v>
      </c>
    </row>
    <row r="40" spans="1:3" ht="16" x14ac:dyDescent="0.2">
      <c r="A40" s="63">
        <v>222.5</v>
      </c>
      <c r="B40" s="44" t="s">
        <v>207</v>
      </c>
      <c r="C40" s="45">
        <v>1018720</v>
      </c>
    </row>
    <row r="41" spans="1:3" ht="16" x14ac:dyDescent="0.2">
      <c r="A41" s="63" t="s">
        <v>208</v>
      </c>
      <c r="B41" s="44" t="s">
        <v>209</v>
      </c>
      <c r="C41" s="45"/>
    </row>
    <row r="42" spans="1:3" ht="16" x14ac:dyDescent="0.2">
      <c r="A42" s="63" t="s">
        <v>210</v>
      </c>
      <c r="B42" s="44" t="s">
        <v>211</v>
      </c>
      <c r="C42" s="45">
        <v>456297</v>
      </c>
    </row>
    <row r="43" spans="1:3" ht="16" x14ac:dyDescent="0.2">
      <c r="A43" s="63" t="s">
        <v>212</v>
      </c>
      <c r="B43" s="44" t="s">
        <v>20</v>
      </c>
      <c r="C43" s="45">
        <v>2253208.37</v>
      </c>
    </row>
    <row r="44" spans="1:3" ht="16" x14ac:dyDescent="0.2">
      <c r="A44" s="63" t="s">
        <v>213</v>
      </c>
      <c r="B44" s="44" t="s">
        <v>214</v>
      </c>
      <c r="C44" s="45">
        <v>30960</v>
      </c>
    </row>
    <row r="45" spans="1:3" ht="16" x14ac:dyDescent="0.2">
      <c r="A45" s="63">
        <v>23</v>
      </c>
      <c r="B45" s="44" t="s">
        <v>215</v>
      </c>
      <c r="C45" s="45">
        <f>C46</f>
        <v>0</v>
      </c>
    </row>
    <row r="46" spans="1:3" ht="16" x14ac:dyDescent="0.2">
      <c r="A46" s="63">
        <v>232</v>
      </c>
      <c r="B46" s="44" t="s">
        <v>22</v>
      </c>
      <c r="C46" s="45">
        <f>C47</f>
        <v>0</v>
      </c>
    </row>
    <row r="47" spans="1:3" ht="16" x14ac:dyDescent="0.2">
      <c r="A47" s="63">
        <v>232.1</v>
      </c>
      <c r="B47" s="44" t="s">
        <v>216</v>
      </c>
      <c r="C47" s="45">
        <v>0</v>
      </c>
    </row>
    <row r="48" spans="1:3" ht="16" x14ac:dyDescent="0.2">
      <c r="A48" s="63">
        <v>24</v>
      </c>
      <c r="B48" s="44" t="s">
        <v>23</v>
      </c>
      <c r="C48" s="45">
        <f>C49+C50+C51</f>
        <v>73415.62000000001</v>
      </c>
    </row>
    <row r="49" spans="1:3" ht="16" x14ac:dyDescent="0.2">
      <c r="A49" s="63" t="s">
        <v>217</v>
      </c>
      <c r="B49" s="44" t="s">
        <v>218</v>
      </c>
      <c r="C49" s="45">
        <v>1627.02</v>
      </c>
    </row>
    <row r="50" spans="1:3" ht="16" x14ac:dyDescent="0.2">
      <c r="A50" s="63" t="s">
        <v>219</v>
      </c>
      <c r="B50" s="44" t="s">
        <v>220</v>
      </c>
      <c r="C50" s="45">
        <v>0</v>
      </c>
    </row>
    <row r="51" spans="1:3" ht="16" x14ac:dyDescent="0.2">
      <c r="A51" s="63" t="s">
        <v>221</v>
      </c>
      <c r="B51" s="44" t="s">
        <v>222</v>
      </c>
      <c r="C51" s="45">
        <v>71788.600000000006</v>
      </c>
    </row>
    <row r="52" spans="1:3" ht="16" x14ac:dyDescent="0.2">
      <c r="A52" s="63">
        <v>25</v>
      </c>
      <c r="B52" s="44" t="s">
        <v>24</v>
      </c>
      <c r="C52" s="45">
        <f>C53</f>
        <v>9836580.5</v>
      </c>
    </row>
    <row r="53" spans="1:3" ht="16" x14ac:dyDescent="0.2">
      <c r="A53" s="63" t="s">
        <v>223</v>
      </c>
      <c r="B53" s="44" t="s">
        <v>28</v>
      </c>
      <c r="C53" s="45">
        <v>9836580.5</v>
      </c>
    </row>
    <row r="54" spans="1:3" ht="16" x14ac:dyDescent="0.2">
      <c r="A54" s="63">
        <v>26</v>
      </c>
      <c r="B54" s="44" t="s">
        <v>224</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225</v>
      </c>
      <c r="C57" s="45">
        <v>1333020.8</v>
      </c>
    </row>
    <row r="58" spans="1:3" ht="16" x14ac:dyDescent="0.2">
      <c r="A58" s="63">
        <v>33</v>
      </c>
      <c r="B58" s="44" t="s">
        <v>31</v>
      </c>
      <c r="C58" s="45">
        <f>C59</f>
        <v>2407166.4000000004</v>
      </c>
    </row>
    <row r="59" spans="1:3" ht="16" x14ac:dyDescent="0.2">
      <c r="A59" s="63">
        <v>331</v>
      </c>
      <c r="B59" s="44" t="s">
        <v>226</v>
      </c>
      <c r="C59" s="45">
        <f>C60+C61</f>
        <v>2407166.4000000004</v>
      </c>
    </row>
    <row r="60" spans="1:3" ht="16" x14ac:dyDescent="0.2">
      <c r="A60" s="63">
        <v>331.3</v>
      </c>
      <c r="B60" s="44" t="s">
        <v>227</v>
      </c>
      <c r="C60" s="45">
        <v>215000</v>
      </c>
    </row>
    <row r="61" spans="1:3" ht="16" x14ac:dyDescent="0.2">
      <c r="A61" s="63">
        <v>331.5</v>
      </c>
      <c r="B61" s="44" t="s">
        <v>228</v>
      </c>
      <c r="C61" s="45">
        <v>2192166.4000000004</v>
      </c>
    </row>
    <row r="62" spans="1:3" ht="16" x14ac:dyDescent="0.2">
      <c r="A62" s="63">
        <v>34</v>
      </c>
      <c r="B62" s="44" t="s">
        <v>32</v>
      </c>
      <c r="C62" s="45">
        <f>C63+C64</f>
        <v>1665282.7999999998</v>
      </c>
    </row>
    <row r="63" spans="1:3" ht="16" x14ac:dyDescent="0.2">
      <c r="A63" s="63">
        <v>341</v>
      </c>
      <c r="B63" s="44" t="s">
        <v>229</v>
      </c>
      <c r="C63" s="45">
        <v>1635355.7999999998</v>
      </c>
    </row>
    <row r="64" spans="1:3" ht="16" x14ac:dyDescent="0.2">
      <c r="A64" s="63">
        <v>345</v>
      </c>
      <c r="B64" s="44" t="s">
        <v>230</v>
      </c>
      <c r="C64" s="45">
        <v>29927</v>
      </c>
    </row>
    <row r="65" spans="1:3" ht="16" x14ac:dyDescent="0.2">
      <c r="A65" s="63">
        <v>35</v>
      </c>
      <c r="B65" s="44" t="s">
        <v>33</v>
      </c>
      <c r="C65" s="45">
        <f>C66+C67</f>
        <v>620313.58773783164</v>
      </c>
    </row>
    <row r="66" spans="1:3" ht="16" x14ac:dyDescent="0.2">
      <c r="A66" s="63">
        <v>351</v>
      </c>
      <c r="B66" s="44" t="s">
        <v>231</v>
      </c>
      <c r="C66" s="45">
        <v>257261.4</v>
      </c>
    </row>
    <row r="67" spans="1:3" ht="16" x14ac:dyDescent="0.2">
      <c r="A67" s="63">
        <v>352</v>
      </c>
      <c r="B67" s="44" t="s">
        <v>232</v>
      </c>
      <c r="C67" s="45">
        <v>363052.18773783161</v>
      </c>
    </row>
    <row r="68" spans="1:3" ht="16" x14ac:dyDescent="0.2">
      <c r="A68" s="63">
        <v>36</v>
      </c>
      <c r="B68" s="44" t="s">
        <v>233</v>
      </c>
      <c r="C68" s="45">
        <f>C69+C70</f>
        <v>416958.9359999997</v>
      </c>
    </row>
    <row r="69" spans="1:3" ht="16" x14ac:dyDescent="0.2">
      <c r="A69" s="63">
        <v>361</v>
      </c>
      <c r="B69" s="44" t="s">
        <v>231</v>
      </c>
      <c r="C69" s="45"/>
    </row>
    <row r="70" spans="1:3" ht="16" x14ac:dyDescent="0.2">
      <c r="A70" s="63">
        <v>362</v>
      </c>
      <c r="B70" s="44" t="s">
        <v>232</v>
      </c>
      <c r="C70" s="45">
        <v>416958.9359999997</v>
      </c>
    </row>
    <row r="71" spans="1:3" ht="16" x14ac:dyDescent="0.2">
      <c r="A71" s="62">
        <v>40</v>
      </c>
      <c r="B71" s="46" t="s">
        <v>234</v>
      </c>
      <c r="C71" s="47">
        <f>C72</f>
        <v>4169765</v>
      </c>
    </row>
    <row r="72" spans="1:3" ht="16" x14ac:dyDescent="0.2">
      <c r="A72" s="63">
        <v>41</v>
      </c>
      <c r="B72" s="44" t="s">
        <v>235</v>
      </c>
      <c r="C72" s="45">
        <v>4169765</v>
      </c>
    </row>
    <row r="73" spans="1:3" ht="16" x14ac:dyDescent="0.2">
      <c r="A73" s="62">
        <v>50</v>
      </c>
      <c r="B73" s="46" t="s">
        <v>236</v>
      </c>
      <c r="C73" s="47">
        <f>C74</f>
        <v>16408781.6</v>
      </c>
    </row>
    <row r="74" spans="1:3" ht="16" x14ac:dyDescent="0.2">
      <c r="A74" s="63">
        <v>54</v>
      </c>
      <c r="B74" s="44" t="s">
        <v>237</v>
      </c>
      <c r="C74" s="45">
        <v>16408781.6</v>
      </c>
    </row>
    <row r="75" spans="1:3" ht="16" x14ac:dyDescent="0.2">
      <c r="A75" s="62">
        <v>60</v>
      </c>
      <c r="B75" s="46" t="s">
        <v>34</v>
      </c>
      <c r="C75" s="47">
        <f>C76</f>
        <v>6160606</v>
      </c>
    </row>
    <row r="76" spans="1:3" ht="16" x14ac:dyDescent="0.2">
      <c r="A76" s="63">
        <v>61</v>
      </c>
      <c r="B76" s="44" t="s">
        <v>238</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239</v>
      </c>
      <c r="B79" s="44" t="s">
        <v>239</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9" zoomScale="225" workbookViewId="0">
      <selection activeCell="A19" sqref="A19"/>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240</v>
      </c>
      <c r="B1" s="52" t="s">
        <v>241</v>
      </c>
      <c r="C1" s="52" t="s">
        <v>66</v>
      </c>
      <c r="D1" s="52" t="s">
        <v>242</v>
      </c>
    </row>
    <row r="2" spans="1:4" ht="14" thickBot="1" x14ac:dyDescent="0.25">
      <c r="A2" s="141" t="s">
        <v>243</v>
      </c>
      <c r="B2" s="142"/>
      <c r="C2" s="142"/>
      <c r="D2" s="143"/>
    </row>
    <row r="3" spans="1:4" ht="14" thickBot="1" x14ac:dyDescent="0.25">
      <c r="A3" s="54" t="s">
        <v>244</v>
      </c>
      <c r="B3" s="8">
        <v>83</v>
      </c>
      <c r="C3" s="55" t="s">
        <v>245</v>
      </c>
      <c r="D3" s="55" t="s">
        <v>246</v>
      </c>
    </row>
    <row r="4" spans="1:4" ht="14" thickBot="1" x14ac:dyDescent="0.25">
      <c r="A4" s="54" t="s">
        <v>247</v>
      </c>
      <c r="B4" s="8">
        <v>20</v>
      </c>
      <c r="C4" s="55" t="s">
        <v>248</v>
      </c>
      <c r="D4" s="55"/>
    </row>
    <row r="5" spans="1:4" ht="14" thickBot="1" x14ac:dyDescent="0.25">
      <c r="A5" s="54" t="s">
        <v>249</v>
      </c>
      <c r="B5" s="8">
        <v>5.5</v>
      </c>
      <c r="C5" s="55" t="s">
        <v>250</v>
      </c>
      <c r="D5" s="55" t="s">
        <v>246</v>
      </c>
    </row>
    <row r="6" spans="1:4" ht="14" thickBot="1" x14ac:dyDescent="0.25">
      <c r="A6" s="54" t="s">
        <v>251</v>
      </c>
      <c r="B6" s="8">
        <v>16.5</v>
      </c>
      <c r="C6" s="55" t="s">
        <v>250</v>
      </c>
      <c r="D6" s="55" t="s">
        <v>246</v>
      </c>
    </row>
    <row r="7" spans="1:4" ht="14" thickBot="1" x14ac:dyDescent="0.25">
      <c r="A7" s="141" t="s">
        <v>252</v>
      </c>
      <c r="B7" s="142"/>
      <c r="C7" s="142"/>
      <c r="D7" s="143"/>
    </row>
    <row r="8" spans="1:4" ht="14" thickBot="1" x14ac:dyDescent="0.25">
      <c r="A8" s="54" t="s">
        <v>253</v>
      </c>
      <c r="B8" s="8">
        <v>145.30000000000001</v>
      </c>
      <c r="C8" s="55" t="s">
        <v>254</v>
      </c>
      <c r="D8" s="55" t="s">
        <v>255</v>
      </c>
    </row>
    <row r="9" spans="1:4" ht="14" thickBot="1" x14ac:dyDescent="0.25">
      <c r="A9" s="54" t="s">
        <v>256</v>
      </c>
      <c r="B9" s="8">
        <v>30</v>
      </c>
      <c r="C9" s="55" t="s">
        <v>257</v>
      </c>
      <c r="D9" s="55" t="s">
        <v>258</v>
      </c>
    </row>
    <row r="10" spans="1:4" ht="14" thickBot="1" x14ac:dyDescent="0.25">
      <c r="A10" s="54" t="s">
        <v>259</v>
      </c>
      <c r="B10" s="8">
        <v>19.75</v>
      </c>
      <c r="C10" s="55" t="s">
        <v>257</v>
      </c>
      <c r="D10" s="55" t="s">
        <v>260</v>
      </c>
    </row>
    <row r="11" spans="1:4" ht="14" thickBot="1" x14ac:dyDescent="0.25">
      <c r="A11" s="54" t="s">
        <v>261</v>
      </c>
      <c r="B11" s="8">
        <v>36</v>
      </c>
      <c r="C11" s="55" t="s">
        <v>262</v>
      </c>
      <c r="D11" s="55" t="s">
        <v>246</v>
      </c>
    </row>
    <row r="12" spans="1:4" ht="14" thickBot="1" x14ac:dyDescent="0.25">
      <c r="A12" s="141" t="s">
        <v>13</v>
      </c>
      <c r="B12" s="142"/>
      <c r="C12" s="142"/>
      <c r="D12" s="143"/>
    </row>
    <row r="13" spans="1:4" ht="14" thickBot="1" x14ac:dyDescent="0.25">
      <c r="A13" s="54" t="s">
        <v>263</v>
      </c>
      <c r="B13" s="8" t="s">
        <v>264</v>
      </c>
      <c r="C13" s="55" t="s">
        <v>246</v>
      </c>
      <c r="D13" s="55" t="s">
        <v>265</v>
      </c>
    </row>
    <row r="14" spans="1:4" ht="14" thickBot="1" x14ac:dyDescent="0.25">
      <c r="A14" s="54" t="s">
        <v>266</v>
      </c>
      <c r="B14" s="8">
        <v>124</v>
      </c>
      <c r="C14" s="55" t="s">
        <v>262</v>
      </c>
      <c r="D14" s="55" t="s">
        <v>267</v>
      </c>
    </row>
    <row r="15" spans="1:4" ht="14" thickBot="1" x14ac:dyDescent="0.25">
      <c r="A15" s="54" t="s">
        <v>268</v>
      </c>
      <c r="B15" s="8">
        <v>1</v>
      </c>
      <c r="C15" s="55" t="s">
        <v>250</v>
      </c>
      <c r="D15" s="55" t="s">
        <v>246</v>
      </c>
    </row>
    <row r="16" spans="1:4" ht="16" thickBot="1" x14ac:dyDescent="0.25">
      <c r="A16" s="54" t="s">
        <v>269</v>
      </c>
      <c r="B16" s="8">
        <v>818.4</v>
      </c>
      <c r="C16" s="55" t="s">
        <v>270</v>
      </c>
      <c r="D16" s="55" t="s">
        <v>246</v>
      </c>
    </row>
    <row r="17" spans="1:4" ht="14" thickBot="1" x14ac:dyDescent="0.25">
      <c r="A17" s="54" t="s">
        <v>271</v>
      </c>
      <c r="B17" s="8">
        <v>318</v>
      </c>
      <c r="C17" s="55" t="s">
        <v>175</v>
      </c>
      <c r="D17" s="55"/>
    </row>
    <row r="18" spans="1:4" ht="16" thickBot="1" x14ac:dyDescent="0.25">
      <c r="A18" s="54" t="s">
        <v>272</v>
      </c>
      <c r="B18" s="8">
        <v>570</v>
      </c>
      <c r="C18" s="55" t="s">
        <v>270</v>
      </c>
      <c r="D18" s="55" t="s">
        <v>246</v>
      </c>
    </row>
    <row r="19" spans="1:4" ht="14" thickBot="1" x14ac:dyDescent="0.25">
      <c r="A19" s="54" t="s">
        <v>273</v>
      </c>
      <c r="B19" s="8">
        <v>1.9E-2</v>
      </c>
      <c r="C19" s="55" t="s">
        <v>274</v>
      </c>
      <c r="D19" s="55" t="s">
        <v>246</v>
      </c>
    </row>
    <row r="20" spans="1:4" ht="14" thickBot="1" x14ac:dyDescent="0.25">
      <c r="A20" s="141" t="s">
        <v>275</v>
      </c>
      <c r="B20" s="142"/>
      <c r="C20" s="142"/>
      <c r="D20" s="143"/>
    </row>
    <row r="21" spans="1:4" ht="14" thickBot="1" x14ac:dyDescent="0.25">
      <c r="A21" s="54" t="s">
        <v>276</v>
      </c>
      <c r="B21" s="8">
        <v>4</v>
      </c>
      <c r="C21" s="55" t="s">
        <v>262</v>
      </c>
      <c r="D21" s="55" t="s">
        <v>246</v>
      </c>
    </row>
    <row r="22" spans="1:4" ht="14" thickBot="1" x14ac:dyDescent="0.25">
      <c r="A22" s="54" t="s">
        <v>277</v>
      </c>
      <c r="B22" s="8">
        <v>1</v>
      </c>
      <c r="C22" s="55" t="s">
        <v>262</v>
      </c>
      <c r="D22" s="55" t="s">
        <v>246</v>
      </c>
    </row>
    <row r="23" spans="1:4" ht="14" thickBot="1" x14ac:dyDescent="0.25">
      <c r="A23" s="54" t="s">
        <v>278</v>
      </c>
      <c r="B23" s="8">
        <v>124</v>
      </c>
      <c r="C23" s="55" t="s">
        <v>262</v>
      </c>
      <c r="D23" s="55" t="s">
        <v>279</v>
      </c>
    </row>
    <row r="24" spans="1:4" ht="14" thickBot="1" x14ac:dyDescent="0.25">
      <c r="A24" s="54" t="s">
        <v>280</v>
      </c>
      <c r="B24" s="8">
        <v>1</v>
      </c>
      <c r="C24" s="55" t="s">
        <v>250</v>
      </c>
      <c r="D24" s="55" t="s">
        <v>246</v>
      </c>
    </row>
    <row r="25" spans="1:4" ht="16" thickBot="1" x14ac:dyDescent="0.25">
      <c r="A25" s="54" t="s">
        <v>281</v>
      </c>
      <c r="B25" s="8">
        <v>880.8</v>
      </c>
      <c r="C25" s="55" t="s">
        <v>270</v>
      </c>
      <c r="D25" s="55" t="s">
        <v>282</v>
      </c>
    </row>
    <row r="26" spans="1:4" ht="14" thickBot="1" x14ac:dyDescent="0.25">
      <c r="A26" s="54" t="s">
        <v>283</v>
      </c>
      <c r="B26" s="8">
        <v>309</v>
      </c>
      <c r="C26" s="55" t="s">
        <v>175</v>
      </c>
      <c r="D26" s="55" t="s">
        <v>246</v>
      </c>
    </row>
    <row r="27" spans="1:4" ht="18" thickBot="1" x14ac:dyDescent="0.25">
      <c r="A27" s="54" t="s">
        <v>284</v>
      </c>
      <c r="B27" s="8">
        <v>49.2</v>
      </c>
      <c r="C27" s="55" t="s">
        <v>270</v>
      </c>
      <c r="D27" s="55" t="s">
        <v>285</v>
      </c>
    </row>
    <row r="28" spans="1:4" ht="14" thickBot="1" x14ac:dyDescent="0.25">
      <c r="A28" s="54" t="s">
        <v>286</v>
      </c>
      <c r="B28" s="8">
        <v>14</v>
      </c>
      <c r="C28" s="55" t="s">
        <v>175</v>
      </c>
      <c r="D28" s="55" t="s">
        <v>246</v>
      </c>
    </row>
    <row r="29" spans="1:4" ht="18" thickBot="1" x14ac:dyDescent="0.25">
      <c r="A29" s="54" t="s">
        <v>287</v>
      </c>
      <c r="B29" s="8">
        <v>14</v>
      </c>
      <c r="C29" s="55" t="s">
        <v>175</v>
      </c>
      <c r="D29" s="55" t="s">
        <v>285</v>
      </c>
    </row>
    <row r="30" spans="1:4" ht="14" thickBot="1" x14ac:dyDescent="0.25">
      <c r="A30" s="141" t="s">
        <v>288</v>
      </c>
      <c r="B30" s="142"/>
      <c r="C30" s="142"/>
      <c r="D30" s="143"/>
    </row>
    <row r="31" spans="1:4" ht="14" thickBot="1" x14ac:dyDescent="0.2">
      <c r="A31" s="54" t="s">
        <v>289</v>
      </c>
      <c r="B31" s="8">
        <v>5</v>
      </c>
      <c r="C31" s="56"/>
      <c r="D31" s="55" t="s">
        <v>246</v>
      </c>
    </row>
    <row r="32" spans="1:4" ht="14" thickBot="1" x14ac:dyDescent="0.2">
      <c r="A32" s="54" t="s">
        <v>290</v>
      </c>
      <c r="B32" s="8">
        <v>2</v>
      </c>
      <c r="C32" s="56"/>
      <c r="D32" s="55" t="s">
        <v>246</v>
      </c>
    </row>
    <row r="33" spans="1:4" ht="14" thickBot="1" x14ac:dyDescent="0.2">
      <c r="A33" s="54" t="s">
        <v>291</v>
      </c>
      <c r="B33" s="8">
        <v>9</v>
      </c>
      <c r="C33" s="56"/>
      <c r="D33" s="55" t="s">
        <v>246</v>
      </c>
    </row>
    <row r="34" spans="1:4" ht="14" thickBot="1" x14ac:dyDescent="0.2">
      <c r="A34" s="54" t="s">
        <v>292</v>
      </c>
      <c r="B34" s="8">
        <v>213</v>
      </c>
      <c r="C34" s="56"/>
      <c r="D34" s="55" t="s">
        <v>246</v>
      </c>
    </row>
    <row r="35" spans="1:4" s="61" customFormat="1" ht="29" thickBot="1" x14ac:dyDescent="0.25">
      <c r="A35" s="57" t="s">
        <v>293</v>
      </c>
      <c r="B35" s="58">
        <v>48</v>
      </c>
      <c r="C35" s="59" t="s">
        <v>246</v>
      </c>
      <c r="D35" s="60" t="s">
        <v>294</v>
      </c>
    </row>
    <row r="36" spans="1:4" s="61" customFormat="1" ht="14" thickBot="1" x14ac:dyDescent="0.25">
      <c r="A36" s="57" t="s">
        <v>193</v>
      </c>
      <c r="B36" s="58">
        <v>277</v>
      </c>
      <c r="C36" s="59"/>
      <c r="D36" s="60"/>
    </row>
    <row r="37" spans="1:4" ht="14" thickBot="1" x14ac:dyDescent="0.25">
      <c r="A37" s="141" t="s">
        <v>295</v>
      </c>
      <c r="B37" s="142"/>
      <c r="C37" s="142"/>
      <c r="D37" s="143"/>
    </row>
    <row r="38" spans="1:4" ht="14" thickBot="1" x14ac:dyDescent="0.25">
      <c r="A38" s="54" t="s">
        <v>296</v>
      </c>
      <c r="B38" s="8">
        <v>54.2</v>
      </c>
      <c r="C38" s="55" t="s">
        <v>175</v>
      </c>
      <c r="D38" s="55" t="s">
        <v>297</v>
      </c>
    </row>
    <row r="39" spans="1:4" ht="14" thickBot="1" x14ac:dyDescent="0.25">
      <c r="A39" s="54" t="s">
        <v>298</v>
      </c>
      <c r="B39" s="8">
        <v>56.3</v>
      </c>
      <c r="C39" s="55" t="s">
        <v>175</v>
      </c>
      <c r="D39" s="55" t="s">
        <v>299</v>
      </c>
    </row>
    <row r="40" spans="1:4" ht="14" thickBot="1" x14ac:dyDescent="0.25">
      <c r="A40" s="54" t="s">
        <v>300</v>
      </c>
      <c r="B40" s="8">
        <v>39.700000000000003</v>
      </c>
      <c r="C40" s="55" t="s">
        <v>175</v>
      </c>
      <c r="D40" s="55" t="s">
        <v>301</v>
      </c>
    </row>
    <row r="41" spans="1:4" ht="14" thickBot="1" x14ac:dyDescent="0.25">
      <c r="A41" s="54" t="s">
        <v>302</v>
      </c>
      <c r="B41" s="8">
        <v>95.3</v>
      </c>
      <c r="C41" s="55" t="s">
        <v>175</v>
      </c>
      <c r="D41" s="55" t="s">
        <v>303</v>
      </c>
    </row>
    <row r="42" spans="1:4" ht="14" thickBot="1" x14ac:dyDescent="0.25">
      <c r="A42" s="54" t="s">
        <v>304</v>
      </c>
      <c r="B42" s="8">
        <v>2571.9</v>
      </c>
      <c r="C42" s="55" t="s">
        <v>175</v>
      </c>
      <c r="D42" s="55" t="s">
        <v>305</v>
      </c>
    </row>
    <row r="43" spans="1:4" ht="14" thickBot="1" x14ac:dyDescent="0.25">
      <c r="A43" s="54" t="s">
        <v>306</v>
      </c>
      <c r="B43" s="8">
        <v>925.3</v>
      </c>
      <c r="C43" s="55" t="s">
        <v>175</v>
      </c>
      <c r="D43" s="55" t="s">
        <v>307</v>
      </c>
    </row>
    <row r="44" spans="1:4" ht="14" thickBot="1" x14ac:dyDescent="0.25">
      <c r="A44" s="141" t="s">
        <v>308</v>
      </c>
      <c r="B44" s="142"/>
      <c r="C44" s="142"/>
      <c r="D44" s="143"/>
    </row>
    <row r="45" spans="1:4" ht="14" thickBot="1" x14ac:dyDescent="0.25">
      <c r="A45" s="54" t="s">
        <v>309</v>
      </c>
      <c r="B45" s="8">
        <v>8.3000000000000007</v>
      </c>
      <c r="C45" s="55" t="s">
        <v>274</v>
      </c>
      <c r="D45" s="55" t="s">
        <v>310</v>
      </c>
    </row>
    <row r="46" spans="1:4" ht="14" thickBot="1" x14ac:dyDescent="0.25">
      <c r="A46" s="141" t="s">
        <v>311</v>
      </c>
      <c r="B46" s="142"/>
      <c r="C46" s="142"/>
      <c r="D46" s="143"/>
    </row>
    <row r="47" spans="1:4" ht="14" thickBot="1" x14ac:dyDescent="0.25">
      <c r="A47" s="54" t="s">
        <v>312</v>
      </c>
      <c r="B47" s="8">
        <v>156</v>
      </c>
      <c r="C47" s="55" t="s">
        <v>175</v>
      </c>
      <c r="D47" s="55" t="s">
        <v>313</v>
      </c>
    </row>
    <row r="48" spans="1:4" ht="14" thickBot="1" x14ac:dyDescent="0.25">
      <c r="A48" s="54" t="s">
        <v>314</v>
      </c>
      <c r="B48" s="8">
        <v>4</v>
      </c>
      <c r="C48" s="55" t="s">
        <v>262</v>
      </c>
      <c r="D48" s="55" t="s">
        <v>315</v>
      </c>
    </row>
    <row r="49" spans="1:4" ht="14" thickBot="1" x14ac:dyDescent="0.25">
      <c r="A49" s="54" t="s">
        <v>316</v>
      </c>
      <c r="B49" s="8">
        <v>0.86</v>
      </c>
      <c r="C49" s="55" t="s">
        <v>274</v>
      </c>
      <c r="D49" s="55" t="s">
        <v>317</v>
      </c>
    </row>
    <row r="50" spans="1:4" ht="14" thickBot="1" x14ac:dyDescent="0.25">
      <c r="A50" s="141" t="s">
        <v>318</v>
      </c>
      <c r="B50" s="142"/>
      <c r="C50" s="142"/>
      <c r="D50" s="143"/>
    </row>
    <row r="51" spans="1:4" ht="14" thickBot="1" x14ac:dyDescent="0.25">
      <c r="A51" s="54" t="s">
        <v>319</v>
      </c>
      <c r="B51" s="8">
        <v>1.1100000000000001</v>
      </c>
      <c r="C51" s="55" t="s">
        <v>274</v>
      </c>
      <c r="D51" s="55" t="s">
        <v>313</v>
      </c>
    </row>
    <row r="52" spans="1:4" ht="14" thickBot="1" x14ac:dyDescent="0.25">
      <c r="A52" s="54" t="s">
        <v>320</v>
      </c>
      <c r="B52" s="8">
        <v>1.587</v>
      </c>
      <c r="C52" s="55" t="s">
        <v>274</v>
      </c>
      <c r="D52" s="55" t="s">
        <v>313</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A17" sqref="A17"/>
    </sheetView>
  </sheetViews>
  <sheetFormatPr baseColWidth="10" defaultRowHeight="15" x14ac:dyDescent="0.2"/>
  <cols>
    <col min="1" max="1" width="33.33203125" customWidth="1"/>
    <col min="2" max="2" width="6.5" customWidth="1"/>
  </cols>
  <sheetData>
    <row r="1" spans="1:3" s="100" customFormat="1" x14ac:dyDescent="0.2">
      <c r="A1" s="100" t="s">
        <v>395</v>
      </c>
      <c r="B1" s="100" t="s">
        <v>241</v>
      </c>
    </row>
    <row r="2" spans="1:3" x14ac:dyDescent="0.2">
      <c r="A2" t="s">
        <v>394</v>
      </c>
      <c r="B2" s="4">
        <f>MARVEL_Cost!C56/(MARVEL_Cost!C6+MARVEL_Cost!C13+MARVEL_Cost!C45)</f>
        <v>6.5389932052543287E-2</v>
      </c>
    </row>
    <row r="3" spans="1:3" x14ac:dyDescent="0.2">
      <c r="A3" t="s">
        <v>404</v>
      </c>
      <c r="B3">
        <v>5</v>
      </c>
    </row>
    <row r="4" spans="1:3" x14ac:dyDescent="0.2">
      <c r="A4" t="s">
        <v>405</v>
      </c>
      <c r="B4">
        <v>5</v>
      </c>
    </row>
    <row r="5" spans="1:3" x14ac:dyDescent="0.2">
      <c r="A5" t="s">
        <v>406</v>
      </c>
      <c r="B5">
        <v>5</v>
      </c>
    </row>
    <row r="6" spans="1:3" x14ac:dyDescent="0.2">
      <c r="A6" t="s">
        <v>407</v>
      </c>
      <c r="B6">
        <v>1800</v>
      </c>
    </row>
    <row r="7" spans="1:3" x14ac:dyDescent="0.2">
      <c r="A7" t="s">
        <v>399</v>
      </c>
      <c r="B7">
        <v>10</v>
      </c>
    </row>
    <row r="8" spans="1:3" x14ac:dyDescent="0.2">
      <c r="A8" t="s">
        <v>408</v>
      </c>
      <c r="B8">
        <v>0.01</v>
      </c>
    </row>
    <row r="9" spans="1:3" x14ac:dyDescent="0.2">
      <c r="A9" t="s">
        <v>428</v>
      </c>
      <c r="B9">
        <v>0.08</v>
      </c>
    </row>
    <row r="10" spans="1:3" x14ac:dyDescent="0.2">
      <c r="A10" s="6" t="s">
        <v>420</v>
      </c>
      <c r="B10">
        <v>1</v>
      </c>
      <c r="C10" s="144" t="s">
        <v>429</v>
      </c>
    </row>
    <row r="11" spans="1:3" x14ac:dyDescent="0.2">
      <c r="A11" s="6" t="s">
        <v>427</v>
      </c>
      <c r="B11">
        <v>0.5</v>
      </c>
      <c r="C11" s="144"/>
    </row>
    <row r="12" spans="1:3" x14ac:dyDescent="0.2">
      <c r="A12" s="6" t="s">
        <v>422</v>
      </c>
      <c r="B12">
        <v>0.6</v>
      </c>
      <c r="C12" s="144"/>
    </row>
    <row r="13" spans="1:3" x14ac:dyDescent="0.2">
      <c r="A13" s="86" t="s">
        <v>423</v>
      </c>
      <c r="B13">
        <v>0.4</v>
      </c>
      <c r="C13" s="144"/>
    </row>
    <row r="14" spans="1:3" x14ac:dyDescent="0.2">
      <c r="A14" s="6" t="s">
        <v>424</v>
      </c>
      <c r="B14">
        <v>0.3</v>
      </c>
      <c r="C14" s="144"/>
    </row>
    <row r="15" spans="1:3" x14ac:dyDescent="0.2">
      <c r="A15" s="6" t="s">
        <v>430</v>
      </c>
      <c r="B15">
        <v>20</v>
      </c>
    </row>
  </sheetData>
  <mergeCells count="1">
    <mergeCell ref="C10:C14"/>
  </mergeCells>
  <dataValidations count="1">
    <dataValidation type="list" allowBlank="1" showInputMessage="1" showErrorMessage="1" sqref="A10:A14" xr:uid="{CF33C35E-6228-1344-B339-BF1C0841C758}">
      <formula1>"No Learning, Onsite Learning, Factory Primary Structure, Factory Drums, Factory Other, Licensing Learning"</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2025-06-23T14:19:39Z</dcterms:modified>
</cp:coreProperties>
</file>