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macaoiefp-my.sharepoint.com/personal/8065023_formacao_iefp_pt/Documents/"/>
    </mc:Choice>
  </mc:AlternateContent>
  <xr:revisionPtr revIDLastSave="4" documentId="8_{E74BABEE-987A-43EB-9B80-EFA9A2F863D6}" xr6:coauthVersionLast="47" xr6:coauthVersionMax="47" xr10:uidLastSave="{DB98E05B-F577-494B-A149-513C03C5A5EE}"/>
  <bookViews>
    <workbookView xWindow="-108" yWindow="-108" windowWidth="23256" windowHeight="12576" tabRatio="983" activeTab="1" xr2:uid="{00000000-000D-0000-FFFF-FFFF00000000}"/>
  </bookViews>
  <sheets>
    <sheet name="Folha1" sheetId="1" r:id="rId1"/>
    <sheet name="19-5-2020" sheetId="4" r:id="rId2"/>
    <sheet name="Folha2" sheetId="2" r:id="rId3"/>
    <sheet name="Folha3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Unspecified"/>
    </ext>
  </extLst>
</workbook>
</file>

<file path=xl/calcChain.xml><?xml version="1.0" encoding="utf-8"?>
<calcChain xmlns="http://schemas.openxmlformats.org/spreadsheetml/2006/main">
  <c r="I5" i="4" l="1"/>
  <c r="G7" i="4"/>
  <c r="G6" i="4"/>
  <c r="F11" i="4"/>
  <c r="F10" i="4"/>
  <c r="E11" i="4"/>
  <c r="E10" i="4"/>
  <c r="D11" i="4"/>
  <c r="D5" i="4"/>
  <c r="E4" i="4" l="1"/>
  <c r="D4" i="4"/>
  <c r="E22" i="4"/>
  <c r="E20" i="4"/>
  <c r="D8" i="4"/>
  <c r="F6" i="4"/>
  <c r="F7" i="4"/>
  <c r="F8" i="4"/>
  <c r="F9" i="4"/>
  <c r="F5" i="4"/>
  <c r="E14" i="4" s="1"/>
  <c r="E6" i="4"/>
  <c r="E7" i="4"/>
  <c r="E8" i="4"/>
  <c r="E9" i="4"/>
  <c r="E5" i="4"/>
  <c r="G5" i="4" s="1"/>
  <c r="D10" i="4"/>
  <c r="D7" i="4"/>
  <c r="D9" i="4"/>
  <c r="D6" i="4"/>
  <c r="F16" i="3" l="1"/>
  <c r="J16" i="3" s="1"/>
  <c r="D16" i="3"/>
  <c r="F15" i="3"/>
  <c r="D15" i="3"/>
  <c r="J14" i="3"/>
  <c r="F14" i="3"/>
  <c r="D14" i="3"/>
  <c r="G14" i="3" s="1"/>
  <c r="F13" i="3"/>
  <c r="J13" i="3" s="1"/>
  <c r="D13" i="3"/>
  <c r="G13" i="3" s="1"/>
  <c r="F12" i="3"/>
  <c r="J12" i="3" s="1"/>
  <c r="D12" i="3"/>
  <c r="G12" i="3" s="1"/>
  <c r="F11" i="3"/>
  <c r="G11" i="3" s="1"/>
  <c r="D11" i="3"/>
  <c r="F10" i="3"/>
  <c r="J10" i="3" s="1"/>
  <c r="D10" i="3"/>
  <c r="F9" i="3"/>
  <c r="J9" i="3" s="1"/>
  <c r="D9" i="3"/>
  <c r="G9" i="3" s="1"/>
  <c r="F8" i="3"/>
  <c r="J8" i="3" s="1"/>
  <c r="D8" i="3"/>
  <c r="F7" i="3"/>
  <c r="J7" i="3" s="1"/>
  <c r="D7" i="3"/>
  <c r="G7" i="3" s="1"/>
  <c r="F6" i="3"/>
  <c r="J6" i="3" s="1"/>
  <c r="D6" i="3"/>
  <c r="G6" i="3" s="1"/>
  <c r="F5" i="3"/>
  <c r="J5" i="3" s="1"/>
  <c r="D5" i="3"/>
  <c r="G5" i="3" s="1"/>
  <c r="F4" i="3"/>
  <c r="J4" i="3" s="1"/>
  <c r="D4" i="3"/>
  <c r="I3" i="3"/>
  <c r="F28" i="2"/>
  <c r="F27" i="2"/>
  <c r="F26" i="2"/>
  <c r="F25" i="2"/>
  <c r="F24" i="2"/>
  <c r="F23" i="2"/>
  <c r="J21" i="2"/>
  <c r="I27" i="2" s="1"/>
  <c r="C21" i="2"/>
  <c r="B20" i="2"/>
  <c r="C20" i="2" s="1"/>
  <c r="B19" i="2"/>
  <c r="C19" i="2" s="1"/>
  <c r="J18" i="2"/>
  <c r="F18" i="2"/>
  <c r="H18" i="2" s="1"/>
  <c r="B18" i="2"/>
  <c r="C18" i="2" s="1"/>
  <c r="J17" i="2"/>
  <c r="F17" i="2"/>
  <c r="H17" i="2" s="1"/>
  <c r="B17" i="2"/>
  <c r="J16" i="2"/>
  <c r="F16" i="2"/>
  <c r="H16" i="2" s="1"/>
  <c r="B11" i="2"/>
  <c r="C11" i="2" s="1"/>
  <c r="F10" i="2"/>
  <c r="F11" i="2" s="1"/>
  <c r="B10" i="2"/>
  <c r="C10" i="2" s="1"/>
  <c r="B9" i="2"/>
  <c r="C9" i="2" s="1"/>
  <c r="B8" i="2"/>
  <c r="C8" i="2" s="1"/>
  <c r="B7" i="2"/>
  <c r="C7" i="2" s="1"/>
  <c r="B6" i="2"/>
  <c r="C6" i="2" s="1"/>
  <c r="G5" i="2"/>
  <c r="B5" i="2"/>
  <c r="B13" i="2" s="1"/>
  <c r="I16" i="1"/>
  <c r="D16" i="1"/>
  <c r="G16" i="1" s="1"/>
  <c r="C16" i="1"/>
  <c r="F16" i="1" s="1"/>
  <c r="I15" i="1"/>
  <c r="D15" i="1"/>
  <c r="G15" i="1" s="1"/>
  <c r="C15" i="1"/>
  <c r="E15" i="1" s="1"/>
  <c r="I14" i="1"/>
  <c r="D14" i="1"/>
  <c r="G14" i="1" s="1"/>
  <c r="C14" i="1"/>
  <c r="F14" i="1" s="1"/>
  <c r="I13" i="1"/>
  <c r="F13" i="1"/>
  <c r="D13" i="1"/>
  <c r="G13" i="1" s="1"/>
  <c r="C13" i="1"/>
  <c r="I12" i="1"/>
  <c r="D12" i="1"/>
  <c r="G12" i="1" s="1"/>
  <c r="C12" i="1"/>
  <c r="F12" i="1" s="1"/>
  <c r="I11" i="1"/>
  <c r="F11" i="1"/>
  <c r="D11" i="1"/>
  <c r="G11" i="1" s="1"/>
  <c r="C11" i="1"/>
  <c r="I10" i="1"/>
  <c r="G10" i="1"/>
  <c r="D10" i="1"/>
  <c r="C10" i="1"/>
  <c r="F10" i="1" s="1"/>
  <c r="I9" i="1"/>
  <c r="F9" i="1"/>
  <c r="D9" i="1"/>
  <c r="G9" i="1" s="1"/>
  <c r="C9" i="1"/>
  <c r="I8" i="1"/>
  <c r="D8" i="1"/>
  <c r="G8" i="1" s="1"/>
  <c r="C8" i="1"/>
  <c r="F8" i="1" s="1"/>
  <c r="I7" i="1"/>
  <c r="D7" i="1"/>
  <c r="G7" i="1" s="1"/>
  <c r="C7" i="1"/>
  <c r="E7" i="1" s="1"/>
  <c r="I6" i="1"/>
  <c r="D6" i="1"/>
  <c r="G6" i="1" s="1"/>
  <c r="C6" i="1"/>
  <c r="F6" i="1" s="1"/>
  <c r="I5" i="1"/>
  <c r="D5" i="1"/>
  <c r="C5" i="1"/>
  <c r="E5" i="1" s="1"/>
  <c r="E9" i="1" l="1"/>
  <c r="I24" i="2"/>
  <c r="E10" i="1"/>
  <c r="H10" i="1" s="1"/>
  <c r="G10" i="3"/>
  <c r="I10" i="3" s="1"/>
  <c r="I11" i="3" s="1"/>
  <c r="F7" i="1"/>
  <c r="G4" i="3"/>
  <c r="E14" i="1"/>
  <c r="H14" i="1" s="1"/>
  <c r="C5" i="2"/>
  <c r="I12" i="3"/>
  <c r="I13" i="3" s="1"/>
  <c r="I14" i="3" s="1"/>
  <c r="I15" i="3" s="1"/>
  <c r="I16" i="3" s="1"/>
  <c r="I17" i="3" s="1"/>
  <c r="J6" i="1"/>
  <c r="K6" i="1" s="1"/>
  <c r="B22" i="2"/>
  <c r="G16" i="3"/>
  <c r="J10" i="1"/>
  <c r="K10" i="1" s="1"/>
  <c r="F15" i="1"/>
  <c r="I28" i="2"/>
  <c r="G15" i="3"/>
  <c r="E6" i="1"/>
  <c r="H6" i="1" s="1"/>
  <c r="E11" i="1"/>
  <c r="E13" i="1"/>
  <c r="J13" i="1" s="1"/>
  <c r="K13" i="1" s="1"/>
  <c r="G8" i="3"/>
  <c r="H11" i="1"/>
  <c r="J11" i="1"/>
  <c r="K11" i="1" s="1"/>
  <c r="G25" i="2"/>
  <c r="G24" i="2"/>
  <c r="J24" i="2" s="1"/>
  <c r="I16" i="2"/>
  <c r="G23" i="2"/>
  <c r="I4" i="3"/>
  <c r="I5" i="3" s="1"/>
  <c r="I6" i="3" s="1"/>
  <c r="I7" i="3" s="1"/>
  <c r="I8" i="3" s="1"/>
  <c r="J7" i="1"/>
  <c r="K7" i="1" s="1"/>
  <c r="H7" i="1"/>
  <c r="H9" i="1"/>
  <c r="J9" i="1"/>
  <c r="K9" i="1" s="1"/>
  <c r="J5" i="1"/>
  <c r="H15" i="1"/>
  <c r="J15" i="1"/>
  <c r="K15" i="1" s="1"/>
  <c r="H28" i="2"/>
  <c r="H24" i="2"/>
  <c r="C13" i="2"/>
  <c r="H27" i="2"/>
  <c r="H23" i="2"/>
  <c r="H25" i="2"/>
  <c r="H26" i="2"/>
  <c r="I17" i="2"/>
  <c r="G26" i="2"/>
  <c r="G28" i="2"/>
  <c r="I18" i="2"/>
  <c r="G27" i="2"/>
  <c r="J27" i="2" s="1"/>
  <c r="C17" i="2"/>
  <c r="C22" i="2" s="1"/>
  <c r="I25" i="2"/>
  <c r="J11" i="3"/>
  <c r="J15" i="3"/>
  <c r="E8" i="1"/>
  <c r="H8" i="1" s="1"/>
  <c r="E12" i="1"/>
  <c r="H12" i="1" s="1"/>
  <c r="E16" i="1"/>
  <c r="H16" i="1" s="1"/>
  <c r="I26" i="2"/>
  <c r="I23" i="2"/>
  <c r="J25" i="2" l="1"/>
  <c r="J23" i="2"/>
  <c r="J28" i="2"/>
  <c r="H13" i="1"/>
  <c r="J26" i="2"/>
  <c r="J14" i="1"/>
  <c r="K14" i="1" s="1"/>
  <c r="J12" i="1"/>
  <c r="K12" i="1" s="1"/>
  <c r="J8" i="1"/>
  <c r="K8" i="1" s="1"/>
  <c r="J16" i="1"/>
  <c r="K16" i="1" s="1"/>
</calcChain>
</file>

<file path=xl/sharedStrings.xml><?xml version="1.0" encoding="utf-8"?>
<sst xmlns="http://schemas.openxmlformats.org/spreadsheetml/2006/main" count="108" uniqueCount="79">
  <si>
    <t>Custo Total</t>
  </si>
  <si>
    <t>Custo Unitário</t>
  </si>
  <si>
    <t>Preço Venda</t>
  </si>
  <si>
    <t>Margem</t>
  </si>
  <si>
    <t>Quantidade</t>
  </si>
  <si>
    <t>C. Variavel</t>
  </si>
  <si>
    <t>C. Fixo</t>
  </si>
  <si>
    <t>C. Variável</t>
  </si>
  <si>
    <t>C. Total</t>
  </si>
  <si>
    <t>3*Qt</t>
  </si>
  <si>
    <t>(3*Qt) + (C.Fixo)</t>
  </si>
  <si>
    <t>Unitário</t>
  </si>
  <si>
    <t>Receitas Totais</t>
  </si>
  <si>
    <t>Total</t>
  </si>
  <si>
    <t>Unitária</t>
  </si>
  <si>
    <t>Ponto Crítico de Vendas</t>
  </si>
  <si>
    <t>Custo Fixo</t>
  </si>
  <si>
    <t>Quantidade de produto para alcançar break even,</t>
  </si>
  <si>
    <t>(P.V. - C. V.)</t>
  </si>
  <si>
    <t>(3,3 - 3)</t>
  </si>
  <si>
    <t>alcançar prejuízo zero,</t>
  </si>
  <si>
    <t>que permita atingir margem para suportar os custos fixos</t>
  </si>
  <si>
    <t>Ano</t>
  </si>
  <si>
    <t>Qtd</t>
  </si>
  <si>
    <t>Vendas</t>
  </si>
  <si>
    <t>Custo Variável</t>
  </si>
  <si>
    <t>Cash Flow</t>
  </si>
  <si>
    <t>Valor Residual</t>
  </si>
  <si>
    <t>Ponto Crítico</t>
  </si>
  <si>
    <t>Payback</t>
  </si>
  <si>
    <t>4º Ano</t>
  </si>
  <si>
    <t>Cash Flow Acumulado &gt;= zero</t>
  </si>
  <si>
    <t>Valor Atualizado Liquido</t>
  </si>
  <si>
    <t>VAL</t>
  </si>
  <si>
    <t>Taxa Interna Rentabilidade</t>
  </si>
  <si>
    <t>TIR</t>
  </si>
  <si>
    <t>6 Anos</t>
  </si>
  <si>
    <t>TIR Anual</t>
  </si>
  <si>
    <t>Custos Fixos</t>
  </si>
  <si>
    <t>Custo Oportunidade</t>
  </si>
  <si>
    <t>Mês</t>
  </si>
  <si>
    <t>Inv</t>
  </si>
  <si>
    <t>Anual</t>
  </si>
  <si>
    <t>Armazém</t>
  </si>
  <si>
    <t>Máquina</t>
  </si>
  <si>
    <t>Máquinas</t>
  </si>
  <si>
    <t>EDP</t>
  </si>
  <si>
    <t>Água</t>
  </si>
  <si>
    <t>Mercedes</t>
  </si>
  <si>
    <t>M.P</t>
  </si>
  <si>
    <t>Gasol</t>
  </si>
  <si>
    <t>Defeitos</t>
  </si>
  <si>
    <t>Secretária</t>
  </si>
  <si>
    <t>MOD</t>
  </si>
  <si>
    <t>Salário</t>
  </si>
  <si>
    <t>Colaborador</t>
  </si>
  <si>
    <t>QTD</t>
  </si>
  <si>
    <t>Encargos Gerais Fabrico MOD 3 Turnos Ano</t>
  </si>
  <si>
    <t>1 Turno</t>
  </si>
  <si>
    <t>2 Turnos</t>
  </si>
  <si>
    <t>3 Turnos</t>
  </si>
  <si>
    <t>P.V</t>
  </si>
  <si>
    <t>Salários MOD</t>
  </si>
  <si>
    <t>Desconto - 10%</t>
  </si>
  <si>
    <t>C. V. MP</t>
  </si>
  <si>
    <t>Receitas</t>
  </si>
  <si>
    <t>Lucro</t>
  </si>
  <si>
    <t>1 turno</t>
  </si>
  <si>
    <t>2 turno</t>
  </si>
  <si>
    <t>3 turno</t>
  </si>
  <si>
    <t>Custo</t>
  </si>
  <si>
    <t>C. Fixos</t>
  </si>
  <si>
    <t>C. Variáveis</t>
  </si>
  <si>
    <t>Investimento</t>
  </si>
  <si>
    <t>Acumulado</t>
  </si>
  <si>
    <t>Total Unit</t>
  </si>
  <si>
    <t>Custos totais</t>
  </si>
  <si>
    <t>Cash flow Acum.</t>
  </si>
  <si>
    <t>Valor residual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</si>
</sst>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#,##0.00\ &quot;€&quot;;[Red]\-#,##0.00\ &quot;€&quot;"/>
    <numFmt numFmtId="164" formatCode="#,##0.00\ [$€-816];[Red]\-#,##0.00\ [$€-816]"/>
    <numFmt numFmtId="165" formatCode="#,##0.00&quot; €&quot;"/>
    <numFmt numFmtId="166" formatCode="#,##0&quot; €&quot;"/>
    <numFmt numFmtId="167" formatCode="#,##0.000"/>
    <numFmt numFmtId="168" formatCode="#,##0.00\ [$€-1];\-#,##0.00\ [$€-1]"/>
    <numFmt numFmtId="169" formatCode="_-* #,##0.00\ [$€-816]_-;\-* #,##0.00\ [$€-816]_-;_-* &quot;-&quot;??\ [$€-816]_-;_-@_-"/>
  </numFmts>
  <fonts count="13" x14ac:knownFonts="1">
    <font>
      <sz val="11"/>
      <color rgb="FF000000"/>
      <name val="Calibri"/>
      <family val="2"/>
      <charset val="1"/>
    </font>
    <font>
      <b/>
      <u/>
      <sz val="14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1"/>
      <color rgb="FFFF6600"/>
      <name val="Calibri"/>
      <family val="2"/>
      <charset val="1"/>
    </font>
    <font>
      <sz val="11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color rgb="FF000000"/>
      <name val="Calibri"/>
      <family val="2"/>
    </font>
    <font>
      <sz val="14"/>
      <color rgb="FF000000"/>
      <name val="Calibri"/>
      <family val="2"/>
    </font>
    <font>
      <sz val="16"/>
      <color rgb="FFFF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76">
    <xf numFmtId="0" fontId="0" fillId="0" borderId="0" xfId="0"/>
    <xf numFmtId="0" fontId="0" fillId="0" borderId="7" xfId="0" applyBorder="1"/>
    <xf numFmtId="0" fontId="0" fillId="0" borderId="8" xfId="0" applyBorder="1"/>
    <xf numFmtId="3" fontId="0" fillId="0" borderId="13" xfId="0" applyNumberFormat="1" applyBorder="1"/>
    <xf numFmtId="166" fontId="0" fillId="0" borderId="13" xfId="0" applyNumberFormat="1" applyBorder="1"/>
    <xf numFmtId="165" fontId="0" fillId="0" borderId="13" xfId="0" applyNumberFormat="1" applyBorder="1"/>
    <xf numFmtId="0" fontId="1" fillId="0" borderId="0" xfId="0" applyFont="1"/>
    <xf numFmtId="0" fontId="1" fillId="0" borderId="0" xfId="0" applyFont="1" applyAlignment="1">
      <alignment horizontal="center"/>
    </xf>
    <xf numFmtId="4" fontId="3" fillId="0" borderId="0" xfId="0" applyNumberFormat="1" applyFont="1"/>
    <xf numFmtId="0" fontId="0" fillId="0" borderId="0" xfId="0" applyAlignment="1">
      <alignment horizontal="right"/>
    </xf>
    <xf numFmtId="0" fontId="3" fillId="0" borderId="0" xfId="0" applyFont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168" fontId="0" fillId="0" borderId="13" xfId="0" applyNumberFormat="1" applyBorder="1"/>
    <xf numFmtId="165" fontId="0" fillId="0" borderId="0" xfId="0" applyNumberFormat="1"/>
    <xf numFmtId="9" fontId="0" fillId="0" borderId="13" xfId="0" applyNumberFormat="1" applyBorder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4" fillId="0" borderId="0" xfId="0" applyFont="1"/>
    <xf numFmtId="164" fontId="4" fillId="0" borderId="0" xfId="0" applyNumberFormat="1" applyFont="1"/>
    <xf numFmtId="165" fontId="1" fillId="0" borderId="0" xfId="0" applyNumberFormat="1" applyFont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0" xfId="0" applyFont="1" applyAlignment="1">
      <alignment horizontal="center"/>
    </xf>
    <xf numFmtId="169" fontId="7" fillId="0" borderId="13" xfId="0" applyNumberFormat="1" applyFont="1" applyBorder="1" applyAlignment="1">
      <alignment horizontal="center"/>
    </xf>
    <xf numFmtId="169" fontId="7" fillId="0" borderId="15" xfId="0" applyNumberFormat="1" applyFont="1" applyBorder="1" applyAlignment="1">
      <alignment horizontal="center"/>
    </xf>
    <xf numFmtId="169" fontId="7" fillId="0" borderId="0" xfId="0" applyNumberFormat="1" applyFont="1" applyAlignment="1">
      <alignment horizontal="center"/>
    </xf>
    <xf numFmtId="169" fontId="8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9" fontId="6" fillId="0" borderId="0" xfId="0" applyNumberFormat="1" applyFont="1"/>
    <xf numFmtId="0" fontId="6" fillId="0" borderId="0" xfId="0" applyFont="1" applyAlignment="1">
      <alignment horizontal="right"/>
    </xf>
    <xf numFmtId="9" fontId="8" fillId="0" borderId="0" xfId="1" applyFont="1"/>
    <xf numFmtId="10" fontId="7" fillId="0" borderId="0" xfId="1" applyNumberFormat="1" applyFont="1"/>
    <xf numFmtId="3" fontId="10" fillId="0" borderId="13" xfId="0" applyNumberFormat="1" applyFont="1" applyBorder="1"/>
    <xf numFmtId="0" fontId="10" fillId="0" borderId="0" xfId="0" applyFont="1"/>
    <xf numFmtId="0" fontId="2" fillId="0" borderId="0" xfId="0" applyFont="1"/>
    <xf numFmtId="164" fontId="0" fillId="2" borderId="1" xfId="0" applyNumberForma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8" xfId="0" applyFill="1" applyBorder="1" applyAlignment="1">
      <alignment horizontal="center"/>
    </xf>
    <xf numFmtId="166" fontId="0" fillId="2" borderId="13" xfId="0" applyNumberFormat="1" applyFill="1" applyBorder="1"/>
    <xf numFmtId="166" fontId="10" fillId="2" borderId="13" xfId="0" applyNumberFormat="1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165" fontId="0" fillId="3" borderId="13" xfId="0" applyNumberFormat="1" applyFill="1" applyBorder="1"/>
    <xf numFmtId="165" fontId="10" fillId="3" borderId="13" xfId="0" applyNumberFormat="1" applyFont="1" applyFill="1" applyBorder="1"/>
    <xf numFmtId="167" fontId="10" fillId="3" borderId="13" xfId="0" applyNumberFormat="1" applyFont="1" applyFill="1" applyBorder="1"/>
    <xf numFmtId="0" fontId="0" fillId="4" borderId="4" xfId="0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165" fontId="0" fillId="4" borderId="14" xfId="0" applyNumberFormat="1" applyFill="1" applyBorder="1"/>
    <xf numFmtId="165" fontId="10" fillId="4" borderId="14" xfId="0" applyNumberFormat="1" applyFont="1" applyFill="1" applyBorder="1"/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165" fontId="0" fillId="5" borderId="13" xfId="0" applyNumberFormat="1" applyFill="1" applyBorder="1"/>
    <xf numFmtId="165" fontId="10" fillId="5" borderId="13" xfId="0" applyNumberFormat="1" applyFont="1" applyFill="1" applyBorder="1"/>
    <xf numFmtId="0" fontId="11" fillId="0" borderId="0" xfId="0" applyFont="1"/>
    <xf numFmtId="0" fontId="6" fillId="0" borderId="13" xfId="0" applyFont="1" applyBorder="1" applyAlignment="1">
      <alignment horizontal="center" vertical="center"/>
    </xf>
    <xf numFmtId="8" fontId="7" fillId="0" borderId="13" xfId="0" applyNumberFormat="1" applyFont="1" applyBorder="1" applyAlignment="1">
      <alignment horizontal="right" vertical="center"/>
    </xf>
    <xf numFmtId="169" fontId="7" fillId="0" borderId="13" xfId="0" applyNumberFormat="1" applyFont="1" applyBorder="1" applyAlignment="1">
      <alignment horizontal="right" vertical="center"/>
    </xf>
    <xf numFmtId="169" fontId="7" fillId="0" borderId="13" xfId="0" applyNumberFormat="1" applyFont="1" applyBorder="1" applyAlignment="1">
      <alignment vertical="center"/>
    </xf>
    <xf numFmtId="169" fontId="7" fillId="0" borderId="0" xfId="0" applyNumberFormat="1" applyFont="1" applyAlignment="1">
      <alignment horizontal="right"/>
    </xf>
    <xf numFmtId="169" fontId="12" fillId="0" borderId="15" xfId="0" applyNumberFormat="1" applyFont="1" applyBorder="1" applyAlignment="1">
      <alignment horizontal="center"/>
    </xf>
    <xf numFmtId="169" fontId="7" fillId="0" borderId="13" xfId="0" applyNumberFormat="1" applyFont="1" applyBorder="1" applyAlignment="1">
      <alignment horizontal="center" vertical="center"/>
    </xf>
    <xf numFmtId="8" fontId="7" fillId="0" borderId="0" xfId="0" applyNumberFormat="1" applyFont="1" applyAlignment="1">
      <alignment horizontal="right"/>
    </xf>
    <xf numFmtId="8" fontId="7" fillId="0" borderId="0" xfId="0" applyNumberFormat="1" applyFont="1" applyAlignment="1">
      <alignment horizontal="right" vertical="center"/>
    </xf>
    <xf numFmtId="169" fontId="12" fillId="0" borderId="0" xfId="0" applyNumberFormat="1" applyFont="1" applyAlignment="1">
      <alignment horizontal="right"/>
    </xf>
    <xf numFmtId="0" fontId="6" fillId="0" borderId="0" xfId="0" applyFont="1" applyAlignment="1">
      <alignment horizontal="left" vertical="center"/>
    </xf>
    <xf numFmtId="8" fontId="7" fillId="0" borderId="0" xfId="0" applyNumberFormat="1" applyFont="1" applyFill="1" applyBorder="1" applyAlignment="1">
      <alignment horizontal="right"/>
    </xf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2"/>
  <sheetViews>
    <sheetView view="pageBreakPreview" zoomScale="175" zoomScaleNormal="145" zoomScaleSheetLayoutView="175" workbookViewId="0">
      <selection activeCell="D10" sqref="D10"/>
    </sheetView>
  </sheetViews>
  <sheetFormatPr defaultRowHeight="14.4" x14ac:dyDescent="0.3"/>
  <cols>
    <col min="1" max="1" width="6.109375"/>
    <col min="2" max="2" width="10.88671875" bestFit="1" customWidth="1"/>
    <col min="3" max="3" width="12.33203125" customWidth="1"/>
    <col min="4" max="4" width="10.88671875" bestFit="1" customWidth="1"/>
    <col min="5" max="5" width="13.44140625" bestFit="1" customWidth="1"/>
    <col min="6" max="6" width="10.5546875" bestFit="1" customWidth="1"/>
    <col min="7" max="8" width="11.109375" bestFit="1" customWidth="1"/>
    <col min="9" max="9" width="16.33203125" bestFit="1" customWidth="1"/>
    <col min="10" max="10" width="15.5546875" customWidth="1"/>
    <col min="11" max="11" width="12.5546875" bestFit="1" customWidth="1"/>
    <col min="12" max="1025" width="8.33203125"/>
  </cols>
  <sheetData>
    <row r="2" spans="2:11" x14ac:dyDescent="0.3">
      <c r="C2" s="39">
        <v>3</v>
      </c>
      <c r="D2" s="40" t="s">
        <v>0</v>
      </c>
      <c r="E2" s="41"/>
      <c r="F2" s="45"/>
      <c r="G2" s="46" t="s">
        <v>1</v>
      </c>
      <c r="H2" s="46"/>
      <c r="I2" s="52" t="s">
        <v>2</v>
      </c>
      <c r="J2" s="57" t="s">
        <v>3</v>
      </c>
      <c r="K2" s="58" t="s">
        <v>3</v>
      </c>
    </row>
    <row r="3" spans="2:11" x14ac:dyDescent="0.3">
      <c r="B3" s="1" t="s">
        <v>4</v>
      </c>
      <c r="C3" s="42" t="s">
        <v>5</v>
      </c>
      <c r="D3" s="42" t="s">
        <v>6</v>
      </c>
      <c r="E3" s="42" t="s">
        <v>0</v>
      </c>
      <c r="F3" s="47" t="s">
        <v>7</v>
      </c>
      <c r="G3" s="47" t="s">
        <v>6</v>
      </c>
      <c r="H3" s="48" t="s">
        <v>8</v>
      </c>
      <c r="I3" s="53">
        <v>3.3</v>
      </c>
      <c r="J3" s="59"/>
      <c r="K3" s="60"/>
    </row>
    <row r="4" spans="2:11" x14ac:dyDescent="0.3">
      <c r="B4" s="2"/>
      <c r="C4" s="42" t="s">
        <v>9</v>
      </c>
      <c r="D4" s="42">
        <v>4000</v>
      </c>
      <c r="E4" s="42" t="s">
        <v>10</v>
      </c>
      <c r="F4" s="47" t="s">
        <v>11</v>
      </c>
      <c r="G4" s="47" t="s">
        <v>11</v>
      </c>
      <c r="H4" s="48" t="s">
        <v>11</v>
      </c>
      <c r="I4" s="54" t="s">
        <v>12</v>
      </c>
      <c r="J4" s="59" t="s">
        <v>13</v>
      </c>
      <c r="K4" s="60" t="s">
        <v>14</v>
      </c>
    </row>
    <row r="5" spans="2:11" x14ac:dyDescent="0.3">
      <c r="B5" s="3">
        <v>0</v>
      </c>
      <c r="C5" s="43">
        <f t="shared" ref="C5:C16" si="0">B5*$C$2</f>
        <v>0</v>
      </c>
      <c r="D5" s="43">
        <f t="shared" ref="D5:D16" si="1">$D$4</f>
        <v>4000</v>
      </c>
      <c r="E5" s="43">
        <f t="shared" ref="E5:E16" si="2">C5+D5</f>
        <v>4000</v>
      </c>
      <c r="F5" s="49">
        <v>0</v>
      </c>
      <c r="G5" s="49">
        <v>0</v>
      </c>
      <c r="H5" s="49">
        <v>0</v>
      </c>
      <c r="I5" s="55">
        <f t="shared" ref="I5:I16" si="3">$I$3*B5</f>
        <v>0</v>
      </c>
      <c r="J5" s="61">
        <f t="shared" ref="J5:J16" si="4">I5-E5</f>
        <v>-4000</v>
      </c>
      <c r="K5" s="61">
        <v>-4000</v>
      </c>
    </row>
    <row r="6" spans="2:11" x14ac:dyDescent="0.3">
      <c r="B6" s="3">
        <v>1</v>
      </c>
      <c r="C6" s="43">
        <f t="shared" si="0"/>
        <v>3</v>
      </c>
      <c r="D6" s="43">
        <f t="shared" si="1"/>
        <v>4000</v>
      </c>
      <c r="E6" s="43">
        <f t="shared" si="2"/>
        <v>4003</v>
      </c>
      <c r="F6" s="49">
        <f t="shared" ref="F6:F16" si="5">C6/B6</f>
        <v>3</v>
      </c>
      <c r="G6" s="49">
        <f t="shared" ref="G6:G16" si="6">D6/B6</f>
        <v>4000</v>
      </c>
      <c r="H6" s="49">
        <f t="shared" ref="H6:H16" si="7">E6/B6</f>
        <v>4003</v>
      </c>
      <c r="I6" s="55">
        <f t="shared" si="3"/>
        <v>3.3</v>
      </c>
      <c r="J6" s="61">
        <f t="shared" si="4"/>
        <v>-3999.7</v>
      </c>
      <c r="K6" s="61">
        <f t="shared" ref="K6:K16" si="8">J6/B6</f>
        <v>-3999.7</v>
      </c>
    </row>
    <row r="7" spans="2:11" x14ac:dyDescent="0.3">
      <c r="B7" s="3">
        <v>5</v>
      </c>
      <c r="C7" s="43">
        <f t="shared" si="0"/>
        <v>15</v>
      </c>
      <c r="D7" s="43">
        <f t="shared" si="1"/>
        <v>4000</v>
      </c>
      <c r="E7" s="43">
        <f t="shared" si="2"/>
        <v>4015</v>
      </c>
      <c r="F7" s="49">
        <f t="shared" si="5"/>
        <v>3</v>
      </c>
      <c r="G7" s="49">
        <f t="shared" si="6"/>
        <v>800</v>
      </c>
      <c r="H7" s="49">
        <f t="shared" si="7"/>
        <v>803</v>
      </c>
      <c r="I7" s="55">
        <f t="shared" si="3"/>
        <v>16.5</v>
      </c>
      <c r="J7" s="61">
        <f t="shared" si="4"/>
        <v>-3998.5</v>
      </c>
      <c r="K7" s="61">
        <f t="shared" si="8"/>
        <v>-799.7</v>
      </c>
    </row>
    <row r="8" spans="2:11" x14ac:dyDescent="0.3">
      <c r="B8" s="3">
        <v>10</v>
      </c>
      <c r="C8" s="43">
        <f t="shared" si="0"/>
        <v>30</v>
      </c>
      <c r="D8" s="43">
        <f t="shared" si="1"/>
        <v>4000</v>
      </c>
      <c r="E8" s="43">
        <f t="shared" si="2"/>
        <v>4030</v>
      </c>
      <c r="F8" s="49">
        <f t="shared" si="5"/>
        <v>3</v>
      </c>
      <c r="G8" s="49">
        <f t="shared" si="6"/>
        <v>400</v>
      </c>
      <c r="H8" s="49">
        <f t="shared" si="7"/>
        <v>403</v>
      </c>
      <c r="I8" s="55">
        <f t="shared" si="3"/>
        <v>33</v>
      </c>
      <c r="J8" s="61">
        <f t="shared" si="4"/>
        <v>-3997</v>
      </c>
      <c r="K8" s="61">
        <f t="shared" si="8"/>
        <v>-399.7</v>
      </c>
    </row>
    <row r="9" spans="2:11" x14ac:dyDescent="0.3">
      <c r="B9" s="3">
        <v>20</v>
      </c>
      <c r="C9" s="43">
        <f t="shared" si="0"/>
        <v>60</v>
      </c>
      <c r="D9" s="43">
        <f t="shared" si="1"/>
        <v>4000</v>
      </c>
      <c r="E9" s="43">
        <f t="shared" si="2"/>
        <v>4060</v>
      </c>
      <c r="F9" s="49">
        <f t="shared" si="5"/>
        <v>3</v>
      </c>
      <c r="G9" s="49">
        <f t="shared" si="6"/>
        <v>200</v>
      </c>
      <c r="H9" s="49">
        <f t="shared" si="7"/>
        <v>203</v>
      </c>
      <c r="I9" s="55">
        <f t="shared" si="3"/>
        <v>66</v>
      </c>
      <c r="J9" s="61">
        <f t="shared" si="4"/>
        <v>-3994</v>
      </c>
      <c r="K9" s="61">
        <f t="shared" si="8"/>
        <v>-199.7</v>
      </c>
    </row>
    <row r="10" spans="2:11" x14ac:dyDescent="0.3">
      <c r="B10" s="3">
        <v>50</v>
      </c>
      <c r="C10" s="43">
        <f t="shared" si="0"/>
        <v>150</v>
      </c>
      <c r="D10" s="43">
        <f t="shared" si="1"/>
        <v>4000</v>
      </c>
      <c r="E10" s="43">
        <f t="shared" si="2"/>
        <v>4150</v>
      </c>
      <c r="F10" s="49">
        <f t="shared" si="5"/>
        <v>3</v>
      </c>
      <c r="G10" s="49">
        <f t="shared" si="6"/>
        <v>80</v>
      </c>
      <c r="H10" s="49">
        <f t="shared" si="7"/>
        <v>83</v>
      </c>
      <c r="I10" s="55">
        <f t="shared" si="3"/>
        <v>165</v>
      </c>
      <c r="J10" s="61">
        <f t="shared" si="4"/>
        <v>-3985</v>
      </c>
      <c r="K10" s="61">
        <f t="shared" si="8"/>
        <v>-79.7</v>
      </c>
    </row>
    <row r="11" spans="2:11" x14ac:dyDescent="0.3">
      <c r="B11" s="3">
        <v>100</v>
      </c>
      <c r="C11" s="43">
        <f t="shared" si="0"/>
        <v>300</v>
      </c>
      <c r="D11" s="43">
        <f t="shared" si="1"/>
        <v>4000</v>
      </c>
      <c r="E11" s="43">
        <f t="shared" si="2"/>
        <v>4300</v>
      </c>
      <c r="F11" s="49">
        <f t="shared" si="5"/>
        <v>3</v>
      </c>
      <c r="G11" s="49">
        <f t="shared" si="6"/>
        <v>40</v>
      </c>
      <c r="H11" s="49">
        <f t="shared" si="7"/>
        <v>43</v>
      </c>
      <c r="I11" s="55">
        <f t="shared" si="3"/>
        <v>330</v>
      </c>
      <c r="J11" s="61">
        <f t="shared" si="4"/>
        <v>-3970</v>
      </c>
      <c r="K11" s="61">
        <f t="shared" si="8"/>
        <v>-39.700000000000003</v>
      </c>
    </row>
    <row r="12" spans="2:11" s="37" customFormat="1" x14ac:dyDescent="0.3">
      <c r="B12" s="36">
        <v>4000</v>
      </c>
      <c r="C12" s="44">
        <f t="shared" si="0"/>
        <v>12000</v>
      </c>
      <c r="D12" s="44">
        <f t="shared" si="1"/>
        <v>4000</v>
      </c>
      <c r="E12" s="44">
        <f t="shared" si="2"/>
        <v>16000</v>
      </c>
      <c r="F12" s="50">
        <f t="shared" si="5"/>
        <v>3</v>
      </c>
      <c r="G12" s="50">
        <f t="shared" si="6"/>
        <v>1</v>
      </c>
      <c r="H12" s="50">
        <f t="shared" si="7"/>
        <v>4</v>
      </c>
      <c r="I12" s="56">
        <f t="shared" si="3"/>
        <v>13200</v>
      </c>
      <c r="J12" s="62">
        <f t="shared" si="4"/>
        <v>-2800</v>
      </c>
      <c r="K12" s="62">
        <f t="shared" si="8"/>
        <v>-0.7</v>
      </c>
    </row>
    <row r="13" spans="2:11" s="37" customFormat="1" x14ac:dyDescent="0.3">
      <c r="B13" s="36">
        <v>10000</v>
      </c>
      <c r="C13" s="44">
        <f t="shared" si="0"/>
        <v>30000</v>
      </c>
      <c r="D13" s="44">
        <f t="shared" si="1"/>
        <v>4000</v>
      </c>
      <c r="E13" s="44">
        <f t="shared" si="2"/>
        <v>34000</v>
      </c>
      <c r="F13" s="50">
        <f t="shared" si="5"/>
        <v>3</v>
      </c>
      <c r="G13" s="50">
        <f t="shared" si="6"/>
        <v>0.4</v>
      </c>
      <c r="H13" s="50">
        <f t="shared" si="7"/>
        <v>3.4</v>
      </c>
      <c r="I13" s="56">
        <f t="shared" si="3"/>
        <v>33000</v>
      </c>
      <c r="J13" s="62">
        <f t="shared" si="4"/>
        <v>-1000</v>
      </c>
      <c r="K13" s="62">
        <f t="shared" si="8"/>
        <v>-0.1</v>
      </c>
    </row>
    <row r="14" spans="2:11" s="37" customFormat="1" x14ac:dyDescent="0.3">
      <c r="B14" s="36">
        <v>13333.333333333299</v>
      </c>
      <c r="C14" s="44">
        <f t="shared" si="0"/>
        <v>39999.999999999898</v>
      </c>
      <c r="D14" s="44">
        <f t="shared" si="1"/>
        <v>4000</v>
      </c>
      <c r="E14" s="44">
        <f t="shared" si="2"/>
        <v>43999.999999999898</v>
      </c>
      <c r="F14" s="50">
        <f t="shared" si="5"/>
        <v>3</v>
      </c>
      <c r="G14" s="50">
        <f t="shared" si="6"/>
        <v>0.30000000000000077</v>
      </c>
      <c r="H14" s="50">
        <f t="shared" si="7"/>
        <v>3.3000000000000007</v>
      </c>
      <c r="I14" s="56">
        <f t="shared" si="3"/>
        <v>43999.999999999884</v>
      </c>
      <c r="J14" s="62">
        <f t="shared" si="4"/>
        <v>0</v>
      </c>
      <c r="K14" s="62">
        <f t="shared" si="8"/>
        <v>0</v>
      </c>
    </row>
    <row r="15" spans="2:11" s="37" customFormat="1" x14ac:dyDescent="0.3">
      <c r="B15" s="36">
        <v>20000</v>
      </c>
      <c r="C15" s="44">
        <f t="shared" si="0"/>
        <v>60000</v>
      </c>
      <c r="D15" s="44">
        <f t="shared" si="1"/>
        <v>4000</v>
      </c>
      <c r="E15" s="44">
        <f t="shared" si="2"/>
        <v>64000</v>
      </c>
      <c r="F15" s="50">
        <f t="shared" si="5"/>
        <v>3</v>
      </c>
      <c r="G15" s="50">
        <f t="shared" si="6"/>
        <v>0.2</v>
      </c>
      <c r="H15" s="50">
        <f t="shared" si="7"/>
        <v>3.2</v>
      </c>
      <c r="I15" s="56">
        <f t="shared" si="3"/>
        <v>66000</v>
      </c>
      <c r="J15" s="62">
        <f t="shared" si="4"/>
        <v>2000</v>
      </c>
      <c r="K15" s="62">
        <f t="shared" si="8"/>
        <v>0.1</v>
      </c>
    </row>
    <row r="16" spans="2:11" s="37" customFormat="1" x14ac:dyDescent="0.3">
      <c r="B16" s="36">
        <v>100000</v>
      </c>
      <c r="C16" s="44">
        <f t="shared" si="0"/>
        <v>300000</v>
      </c>
      <c r="D16" s="44">
        <f t="shared" si="1"/>
        <v>4000</v>
      </c>
      <c r="E16" s="44">
        <f t="shared" si="2"/>
        <v>304000</v>
      </c>
      <c r="F16" s="50">
        <f t="shared" si="5"/>
        <v>3</v>
      </c>
      <c r="G16" s="51">
        <f t="shared" si="6"/>
        <v>0.04</v>
      </c>
      <c r="H16" s="50">
        <f t="shared" si="7"/>
        <v>3.04</v>
      </c>
      <c r="I16" s="56">
        <f t="shared" si="3"/>
        <v>330000</v>
      </c>
      <c r="J16" s="62">
        <f t="shared" si="4"/>
        <v>26000</v>
      </c>
      <c r="K16" s="62">
        <f t="shared" si="8"/>
        <v>0.26</v>
      </c>
    </row>
    <row r="19" spans="2:11" ht="18" x14ac:dyDescent="0.35">
      <c r="C19" s="6" t="s">
        <v>15</v>
      </c>
      <c r="F19" s="38"/>
      <c r="G19" s="7" t="s">
        <v>16</v>
      </c>
      <c r="I19" s="21">
        <v>4000</v>
      </c>
      <c r="K19" s="8">
        <v>13333.33</v>
      </c>
    </row>
    <row r="20" spans="2:11" ht="18" x14ac:dyDescent="0.35">
      <c r="B20" t="s">
        <v>17</v>
      </c>
      <c r="F20" s="9"/>
      <c r="G20" s="10" t="s">
        <v>18</v>
      </c>
      <c r="I20" s="10" t="s">
        <v>19</v>
      </c>
    </row>
    <row r="21" spans="2:11" x14ac:dyDescent="0.3">
      <c r="B21" t="s">
        <v>20</v>
      </c>
    </row>
    <row r="22" spans="2:11" x14ac:dyDescent="0.3">
      <c r="B22" t="s">
        <v>21</v>
      </c>
    </row>
  </sheetData>
  <pageMargins left="0.7" right="0.7" top="0.75" bottom="0.75" header="0.51180555555555496" footer="0.51180555555555496"/>
  <pageSetup paperSize="9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A71E-8FB9-4393-B80E-6D314C844361}">
  <dimension ref="A2:K22"/>
  <sheetViews>
    <sheetView tabSelected="1" topLeftCell="A20" zoomScale="89" zoomScaleNormal="89" workbookViewId="0">
      <selection activeCell="H5" sqref="H5"/>
    </sheetView>
  </sheetViews>
  <sheetFormatPr defaultRowHeight="14.4" x14ac:dyDescent="0.3"/>
  <cols>
    <col min="3" max="3" width="12.88671875" customWidth="1"/>
    <col min="4" max="4" width="19.44140625" customWidth="1"/>
    <col min="5" max="5" width="22.6640625" customWidth="1"/>
    <col min="6" max="6" width="17.88671875" customWidth="1"/>
    <col min="7" max="7" width="19.33203125" customWidth="1"/>
    <col min="8" max="8" width="20.33203125" bestFit="1" customWidth="1"/>
    <col min="9" max="9" width="21.44140625" bestFit="1" customWidth="1"/>
  </cols>
  <sheetData>
    <row r="2" spans="2:11" ht="21" x14ac:dyDescent="0.4">
      <c r="D2" s="26">
        <v>15</v>
      </c>
      <c r="E2" s="26">
        <v>5</v>
      </c>
      <c r="F2" s="26">
        <v>10000</v>
      </c>
    </row>
    <row r="3" spans="2:11" ht="31.5" customHeight="1" x14ac:dyDescent="0.35">
      <c r="B3" t="s">
        <v>22</v>
      </c>
      <c r="C3" t="s">
        <v>23</v>
      </c>
      <c r="D3" t="s">
        <v>24</v>
      </c>
      <c r="E3" t="s">
        <v>25</v>
      </c>
      <c r="F3" t="s">
        <v>16</v>
      </c>
      <c r="G3" t="s">
        <v>76</v>
      </c>
      <c r="H3" t="s">
        <v>26</v>
      </c>
      <c r="I3" s="63" t="s">
        <v>77</v>
      </c>
      <c r="J3" s="63"/>
      <c r="K3" s="63"/>
    </row>
    <row r="4" spans="2:11" ht="31.5" customHeight="1" x14ac:dyDescent="0.5">
      <c r="B4" s="23">
        <v>0</v>
      </c>
      <c r="C4" s="22">
        <v>0</v>
      </c>
      <c r="D4" s="24">
        <f>C4*$D$2</f>
        <v>0</v>
      </c>
      <c r="E4" s="24">
        <f>C4*$E$2</f>
        <v>0</v>
      </c>
      <c r="F4" s="24">
        <v>0</v>
      </c>
      <c r="G4" s="24">
        <v>0</v>
      </c>
      <c r="H4" s="27">
        <v>0</v>
      </c>
      <c r="I4" s="71">
        <v>-5000</v>
      </c>
    </row>
    <row r="5" spans="2:11" ht="25.8" x14ac:dyDescent="0.5">
      <c r="B5" s="22">
        <v>1</v>
      </c>
      <c r="C5" s="22">
        <v>800</v>
      </c>
      <c r="D5" s="24">
        <f>C5*$D$2</f>
        <v>12000</v>
      </c>
      <c r="E5" s="24">
        <f>C5*$E$2</f>
        <v>4000</v>
      </c>
      <c r="F5" s="24">
        <f>$F$2</f>
        <v>10000</v>
      </c>
      <c r="G5" s="24">
        <f>E5+F5</f>
        <v>14000</v>
      </c>
      <c r="H5" s="69">
        <v>-2000</v>
      </c>
      <c r="I5" s="73">
        <f>I4+H5</f>
        <v>-7000</v>
      </c>
      <c r="J5" s="23"/>
    </row>
    <row r="6" spans="2:11" ht="25.8" x14ac:dyDescent="0.5">
      <c r="B6" s="22">
        <v>2</v>
      </c>
      <c r="C6" s="22">
        <v>900</v>
      </c>
      <c r="D6" s="24">
        <f>C6*$D$2</f>
        <v>13500</v>
      </c>
      <c r="E6" s="24">
        <f t="shared" ref="E6:E9" si="0">C6*$E$2</f>
        <v>4500</v>
      </c>
      <c r="F6" s="24">
        <f t="shared" ref="F6:F9" si="1">$F$2</f>
        <v>10000</v>
      </c>
      <c r="G6" s="24">
        <f>E6+F6</f>
        <v>14500</v>
      </c>
      <c r="H6" s="69">
        <v>-1000</v>
      </c>
      <c r="I6" s="71">
        <v>-8000</v>
      </c>
      <c r="J6" s="23"/>
    </row>
    <row r="7" spans="2:11" ht="25.8" x14ac:dyDescent="0.5">
      <c r="B7" s="22">
        <v>3</v>
      </c>
      <c r="C7" s="22">
        <v>1000</v>
      </c>
      <c r="D7" s="24">
        <f t="shared" ref="D7:D9" si="2">C7*$D$2</f>
        <v>15000</v>
      </c>
      <c r="E7" s="24">
        <f t="shared" si="0"/>
        <v>5000</v>
      </c>
      <c r="F7" s="24">
        <f t="shared" si="1"/>
        <v>10000</v>
      </c>
      <c r="G7" s="24">
        <f>E7+F7</f>
        <v>15000</v>
      </c>
      <c r="H7" s="25">
        <v>0</v>
      </c>
      <c r="I7" s="71">
        <v>-8000</v>
      </c>
      <c r="J7" s="23"/>
    </row>
    <row r="8" spans="2:11" ht="25.8" x14ac:dyDescent="0.5">
      <c r="B8" s="22">
        <v>4</v>
      </c>
      <c r="C8" s="22">
        <v>1200</v>
      </c>
      <c r="D8" s="24">
        <f t="shared" si="2"/>
        <v>18000</v>
      </c>
      <c r="E8" s="24">
        <f t="shared" si="0"/>
        <v>6000</v>
      </c>
      <c r="F8" s="24">
        <f t="shared" si="1"/>
        <v>10000</v>
      </c>
      <c r="G8" s="24">
        <v>16000</v>
      </c>
      <c r="H8" s="25">
        <v>2000</v>
      </c>
      <c r="I8" s="71">
        <v>-6000</v>
      </c>
      <c r="J8" s="23"/>
    </row>
    <row r="9" spans="2:11" ht="25.8" x14ac:dyDescent="0.5">
      <c r="B9" s="22">
        <v>5</v>
      </c>
      <c r="C9" s="22">
        <v>1400</v>
      </c>
      <c r="D9" s="24">
        <f t="shared" si="2"/>
        <v>21000</v>
      </c>
      <c r="E9" s="24">
        <f t="shared" si="0"/>
        <v>7000</v>
      </c>
      <c r="F9" s="24">
        <f t="shared" si="1"/>
        <v>10000</v>
      </c>
      <c r="G9" s="24">
        <v>17000</v>
      </c>
      <c r="H9" s="25">
        <v>4000</v>
      </c>
      <c r="I9" s="71">
        <v>-2000</v>
      </c>
      <c r="J9" s="23"/>
    </row>
    <row r="10" spans="2:11" ht="25.8" x14ac:dyDescent="0.5">
      <c r="B10" s="22">
        <v>6</v>
      </c>
      <c r="C10" s="22">
        <v>1450</v>
      </c>
      <c r="D10" s="24">
        <f>C10*$D$2</f>
        <v>21750</v>
      </c>
      <c r="E10" s="24">
        <f>C10*$E$2</f>
        <v>7250</v>
      </c>
      <c r="F10" s="24">
        <f>$F$2</f>
        <v>10000</v>
      </c>
      <c r="G10" s="24">
        <v>17250</v>
      </c>
      <c r="H10" s="25">
        <v>4500</v>
      </c>
      <c r="I10" s="71">
        <v>2500</v>
      </c>
      <c r="J10" s="23"/>
    </row>
    <row r="11" spans="2:11" ht="41.25" customHeight="1" x14ac:dyDescent="0.3">
      <c r="B11" s="64">
        <v>7</v>
      </c>
      <c r="C11" s="64">
        <v>1450</v>
      </c>
      <c r="D11" s="66">
        <f>C11*$D$2</f>
        <v>21750</v>
      </c>
      <c r="E11" s="65">
        <f>C10*$E$2</f>
        <v>7250</v>
      </c>
      <c r="F11" s="70">
        <f>$F$2</f>
        <v>10000</v>
      </c>
      <c r="G11" s="67">
        <v>17250</v>
      </c>
      <c r="H11" s="70">
        <v>4500</v>
      </c>
      <c r="I11" s="72">
        <v>7000</v>
      </c>
    </row>
    <row r="12" spans="2:11" ht="25.8" x14ac:dyDescent="0.4">
      <c r="B12" s="74" t="s">
        <v>27</v>
      </c>
      <c r="C12" s="74" t="s">
        <v>78</v>
      </c>
      <c r="D12" s="26"/>
      <c r="E12" s="26"/>
      <c r="F12" s="26"/>
      <c r="G12" s="68"/>
      <c r="I12" s="75">
        <v>45000</v>
      </c>
    </row>
    <row r="14" spans="2:11" ht="25.8" x14ac:dyDescent="0.5">
      <c r="D14" s="29" t="s">
        <v>28</v>
      </c>
      <c r="E14" s="28">
        <f>(F5)/(D2-E2)</f>
        <v>1000</v>
      </c>
    </row>
    <row r="15" spans="2:11" ht="25.8" x14ac:dyDescent="0.5">
      <c r="E15" s="28"/>
    </row>
    <row r="16" spans="2:11" ht="25.8" x14ac:dyDescent="0.5">
      <c r="D16" s="30" t="s">
        <v>29</v>
      </c>
      <c r="E16" s="33" t="s">
        <v>30</v>
      </c>
      <c r="F16" s="30" t="s">
        <v>31</v>
      </c>
    </row>
    <row r="17" spans="1:6" ht="25.8" x14ac:dyDescent="0.5">
      <c r="E17" s="28"/>
    </row>
    <row r="18" spans="1:6" ht="25.8" x14ac:dyDescent="0.5">
      <c r="A18" s="31" t="s">
        <v>32</v>
      </c>
      <c r="B18" s="31"/>
      <c r="D18" s="30" t="s">
        <v>33</v>
      </c>
      <c r="E18" s="32">
        <v>25000</v>
      </c>
    </row>
    <row r="19" spans="1:6" ht="25.8" x14ac:dyDescent="0.5">
      <c r="E19" s="28"/>
    </row>
    <row r="20" spans="1:6" ht="25.8" x14ac:dyDescent="0.5">
      <c r="A20" s="31" t="s">
        <v>34</v>
      </c>
      <c r="D20" s="28" t="s">
        <v>35</v>
      </c>
      <c r="E20" s="34">
        <f>(25000/13000)</f>
        <v>1.9230769230769231</v>
      </c>
      <c r="F20" s="29" t="s">
        <v>36</v>
      </c>
    </row>
    <row r="22" spans="1:6" ht="21" x14ac:dyDescent="0.4">
      <c r="D22" s="29" t="s">
        <v>37</v>
      </c>
      <c r="E22" s="35">
        <f>(192/6)%</f>
        <v>0.32</v>
      </c>
      <c r="F22" s="29" t="s">
        <v>22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28"/>
  <sheetViews>
    <sheetView topLeftCell="D13" zoomScale="130" zoomScaleNormal="130" workbookViewId="0">
      <selection activeCell="F1" sqref="F1"/>
    </sheetView>
  </sheetViews>
  <sheetFormatPr defaultRowHeight="14.4" x14ac:dyDescent="0.3"/>
  <cols>
    <col min="1" max="1" width="8.33203125"/>
    <col min="2" max="3" width="15.88671875"/>
    <col min="4" max="4" width="8.33203125"/>
    <col min="5" max="5" width="12.88671875"/>
    <col min="6" max="6" width="13.109375"/>
    <col min="7" max="7" width="12.88671875" customWidth="1"/>
    <col min="8" max="8" width="12.44140625"/>
    <col min="9" max="9" width="13.5546875"/>
    <col min="10" max="10" width="13.88671875" customWidth="1"/>
    <col min="11" max="1025" width="8.33203125"/>
  </cols>
  <sheetData>
    <row r="3" spans="1:10" x14ac:dyDescent="0.3">
      <c r="B3" t="s">
        <v>38</v>
      </c>
      <c r="E3" s="11"/>
      <c r="F3" s="11" t="s">
        <v>39</v>
      </c>
      <c r="G3" s="11"/>
    </row>
    <row r="4" spans="1:10" x14ac:dyDescent="0.3">
      <c r="A4" s="11"/>
      <c r="B4" s="12" t="s">
        <v>22</v>
      </c>
      <c r="C4" s="12" t="s">
        <v>40</v>
      </c>
      <c r="E4" s="11"/>
      <c r="F4" s="11" t="s">
        <v>41</v>
      </c>
      <c r="G4" s="11" t="s">
        <v>42</v>
      </c>
    </row>
    <row r="5" spans="1:10" x14ac:dyDescent="0.3">
      <c r="A5" s="11" t="s">
        <v>43</v>
      </c>
      <c r="B5" s="5">
        <f>1200*12</f>
        <v>14400</v>
      </c>
      <c r="C5" s="5">
        <f t="shared" ref="C5:C11" si="0">B5/11</f>
        <v>1309.090909090909</v>
      </c>
      <c r="E5" s="11" t="s">
        <v>44</v>
      </c>
      <c r="F5" s="13">
        <v>400000</v>
      </c>
      <c r="G5" s="13">
        <f>400000*0.05</f>
        <v>20000</v>
      </c>
    </row>
    <row r="6" spans="1:10" x14ac:dyDescent="0.3">
      <c r="A6" s="11" t="s">
        <v>45</v>
      </c>
      <c r="B6" s="5">
        <f>(100000*4/6)</f>
        <v>66666.666666666672</v>
      </c>
      <c r="C6" s="5">
        <f t="shared" si="0"/>
        <v>6060.606060606061</v>
      </c>
      <c r="F6" s="14"/>
    </row>
    <row r="7" spans="1:10" x14ac:dyDescent="0.3">
      <c r="A7" s="11" t="s">
        <v>46</v>
      </c>
      <c r="B7" s="5">
        <f>3000*6</f>
        <v>18000</v>
      </c>
      <c r="C7" s="5">
        <f t="shared" si="0"/>
        <v>1636.3636363636363</v>
      </c>
    </row>
    <row r="8" spans="1:10" x14ac:dyDescent="0.3">
      <c r="A8" s="11" t="s">
        <v>47</v>
      </c>
      <c r="B8" s="5">
        <f>50*12</f>
        <v>600</v>
      </c>
      <c r="C8" s="5">
        <f t="shared" si="0"/>
        <v>54.545454545454547</v>
      </c>
      <c r="E8" s="11" t="s">
        <v>25</v>
      </c>
      <c r="F8" s="11"/>
      <c r="G8" s="11"/>
    </row>
    <row r="9" spans="1:10" x14ac:dyDescent="0.3">
      <c r="A9" s="11" t="s">
        <v>48</v>
      </c>
      <c r="B9" s="5">
        <f>750*12</f>
        <v>9000</v>
      </c>
      <c r="C9" s="5">
        <f t="shared" si="0"/>
        <v>818.18181818181813</v>
      </c>
      <c r="E9" s="11" t="s">
        <v>49</v>
      </c>
      <c r="F9" s="5">
        <v>0.2</v>
      </c>
      <c r="G9" s="11"/>
    </row>
    <row r="10" spans="1:10" x14ac:dyDescent="0.3">
      <c r="A10" s="11" t="s">
        <v>50</v>
      </c>
      <c r="B10" s="5">
        <f>150*12</f>
        <v>1800</v>
      </c>
      <c r="C10" s="5">
        <f t="shared" si="0"/>
        <v>163.63636363636363</v>
      </c>
      <c r="E10" s="11" t="s">
        <v>51</v>
      </c>
      <c r="F10" s="5">
        <f>F9*G10</f>
        <v>4.0000000000000008E-2</v>
      </c>
      <c r="G10" s="15">
        <v>0.2</v>
      </c>
    </row>
    <row r="11" spans="1:10" x14ac:dyDescent="0.3">
      <c r="A11" s="11" t="s">
        <v>52</v>
      </c>
      <c r="B11" s="5">
        <f>(650*1.3475)*14</f>
        <v>12262.25</v>
      </c>
      <c r="C11" s="5">
        <f t="shared" si="0"/>
        <v>1114.75</v>
      </c>
      <c r="E11" s="11" t="s">
        <v>13</v>
      </c>
      <c r="F11" s="5">
        <f>F9+F10</f>
        <v>0.24000000000000002</v>
      </c>
      <c r="G11" s="11"/>
    </row>
    <row r="12" spans="1:10" x14ac:dyDescent="0.3">
      <c r="A12" s="11"/>
      <c r="B12" s="5"/>
      <c r="C12" s="5"/>
    </row>
    <row r="13" spans="1:10" x14ac:dyDescent="0.3">
      <c r="A13" s="11"/>
      <c r="B13" s="5">
        <f>SUM(B5:B12)</f>
        <v>122728.91666666667</v>
      </c>
      <c r="C13" s="5">
        <f>B13/11</f>
        <v>11157.174242424242</v>
      </c>
    </row>
    <row r="14" spans="1:10" x14ac:dyDescent="0.3">
      <c r="B14" s="14"/>
      <c r="C14" s="14"/>
      <c r="E14" s="11" t="s">
        <v>53</v>
      </c>
      <c r="F14" s="11" t="s">
        <v>54</v>
      </c>
      <c r="G14" s="11" t="s">
        <v>55</v>
      </c>
      <c r="H14" s="12" t="s">
        <v>22</v>
      </c>
      <c r="I14" s="11" t="s">
        <v>40</v>
      </c>
      <c r="J14" s="11" t="s">
        <v>56</v>
      </c>
    </row>
    <row r="15" spans="1:10" x14ac:dyDescent="0.3">
      <c r="E15" s="11"/>
      <c r="F15" s="11"/>
      <c r="G15" s="11"/>
      <c r="H15" s="11"/>
      <c r="I15" s="11"/>
      <c r="J15" s="11"/>
    </row>
    <row r="16" spans="1:10" x14ac:dyDescent="0.3">
      <c r="A16" t="s">
        <v>57</v>
      </c>
      <c r="E16" s="11" t="s">
        <v>58</v>
      </c>
      <c r="F16" s="5">
        <f>550*1.3475</f>
        <v>741.125</v>
      </c>
      <c r="G16" s="11">
        <v>4</v>
      </c>
      <c r="H16" s="5">
        <f>F16*G16*14</f>
        <v>41503</v>
      </c>
      <c r="I16" s="5">
        <f>H16/11</f>
        <v>3773</v>
      </c>
      <c r="J16" s="11">
        <f>4*(2*60*1900)</f>
        <v>912000</v>
      </c>
    </row>
    <row r="17" spans="1:10" x14ac:dyDescent="0.3">
      <c r="A17" t="s">
        <v>43</v>
      </c>
      <c r="B17" s="5">
        <f>1200*12</f>
        <v>14400</v>
      </c>
      <c r="C17" s="5">
        <f>B17/11</f>
        <v>1309.090909090909</v>
      </c>
      <c r="E17" s="11" t="s">
        <v>59</v>
      </c>
      <c r="F17" s="5">
        <f>550*1.3475</f>
        <v>741.125</v>
      </c>
      <c r="G17" s="11">
        <v>8</v>
      </c>
      <c r="H17" s="5">
        <f>F17*G17*14</f>
        <v>83006</v>
      </c>
      <c r="I17" s="5">
        <f>H17/11</f>
        <v>7546</v>
      </c>
      <c r="J17" s="11">
        <f>8*(2*60*1900)</f>
        <v>1824000</v>
      </c>
    </row>
    <row r="18" spans="1:10" x14ac:dyDescent="0.3">
      <c r="A18" t="s">
        <v>45</v>
      </c>
      <c r="B18" s="5">
        <f>(100000*4/6)</f>
        <v>66666.666666666672</v>
      </c>
      <c r="C18" s="5">
        <f>B18/11</f>
        <v>6060.606060606061</v>
      </c>
      <c r="E18" s="11" t="s">
        <v>60</v>
      </c>
      <c r="F18" s="5">
        <f>550*1.3475</f>
        <v>741.125</v>
      </c>
      <c r="G18" s="11">
        <v>12</v>
      </c>
      <c r="H18" s="5">
        <f>F18*G18*14</f>
        <v>124509</v>
      </c>
      <c r="I18" s="5">
        <f>H18/11</f>
        <v>11319</v>
      </c>
      <c r="J18" s="11">
        <f>12*(2*60*1900)</f>
        <v>2736000</v>
      </c>
    </row>
    <row r="19" spans="1:10" x14ac:dyDescent="0.3">
      <c r="A19" t="s">
        <v>46</v>
      </c>
      <c r="B19" s="5">
        <f>3000*6</f>
        <v>18000</v>
      </c>
      <c r="C19" s="5">
        <f>B19/11</f>
        <v>1636.3636363636363</v>
      </c>
    </row>
    <row r="20" spans="1:10" x14ac:dyDescent="0.3">
      <c r="A20" t="s">
        <v>47</v>
      </c>
      <c r="B20" s="5">
        <f>50*12</f>
        <v>600</v>
      </c>
      <c r="C20" s="5">
        <f>B20/11</f>
        <v>54.545454545454547</v>
      </c>
      <c r="I20" s="11" t="s">
        <v>61</v>
      </c>
      <c r="J20" s="11">
        <v>0.4</v>
      </c>
    </row>
    <row r="21" spans="1:10" x14ac:dyDescent="0.3">
      <c r="A21" t="s">
        <v>62</v>
      </c>
      <c r="B21" s="5">
        <v>124509</v>
      </c>
      <c r="C21" s="5">
        <f>B21/11</f>
        <v>11319</v>
      </c>
      <c r="F21">
        <v>0.24</v>
      </c>
      <c r="I21" s="11" t="s">
        <v>63</v>
      </c>
      <c r="J21" s="11">
        <f>J20*0.9</f>
        <v>0.36000000000000004</v>
      </c>
    </row>
    <row r="22" spans="1:10" x14ac:dyDescent="0.3">
      <c r="A22" s="9" t="s">
        <v>22</v>
      </c>
      <c r="B22" s="14">
        <f>SUM(B17:B21)</f>
        <v>224175.66666666669</v>
      </c>
      <c r="C22" s="14">
        <f>SUM(C17:C21)</f>
        <v>20379.60606060606</v>
      </c>
      <c r="E22" t="s">
        <v>23</v>
      </c>
      <c r="F22" s="16" t="s">
        <v>64</v>
      </c>
      <c r="G22" t="s">
        <v>53</v>
      </c>
      <c r="H22" t="s">
        <v>16</v>
      </c>
      <c r="I22" t="s">
        <v>65</v>
      </c>
      <c r="J22" t="s">
        <v>66</v>
      </c>
    </row>
    <row r="23" spans="1:10" x14ac:dyDescent="0.3">
      <c r="C23" t="s">
        <v>40</v>
      </c>
      <c r="D23" t="s">
        <v>67</v>
      </c>
      <c r="E23" s="11">
        <v>0</v>
      </c>
      <c r="F23" s="4">
        <f t="shared" ref="F23:F28" si="1">0.24*E23</f>
        <v>0</v>
      </c>
      <c r="G23" s="5">
        <f>H16</f>
        <v>41503</v>
      </c>
      <c r="H23" s="5">
        <f t="shared" ref="H23:H28" si="2">$B$13</f>
        <v>122728.91666666667</v>
      </c>
      <c r="I23" s="5">
        <f t="shared" ref="I23:I28" si="3">$J$21*E23</f>
        <v>0</v>
      </c>
      <c r="J23" s="5">
        <f t="shared" ref="J23:J28" si="4">I23-F23-G23-H23</f>
        <v>-164231.91666666669</v>
      </c>
    </row>
    <row r="24" spans="1:10" x14ac:dyDescent="0.3">
      <c r="D24" t="s">
        <v>67</v>
      </c>
      <c r="E24" s="11">
        <v>500000</v>
      </c>
      <c r="F24" s="4">
        <f t="shared" si="1"/>
        <v>120000</v>
      </c>
      <c r="G24" s="5">
        <f>H16</f>
        <v>41503</v>
      </c>
      <c r="H24" s="5">
        <f t="shared" si="2"/>
        <v>122728.91666666667</v>
      </c>
      <c r="I24" s="5">
        <f t="shared" si="3"/>
        <v>180000.00000000003</v>
      </c>
      <c r="J24" s="5">
        <f t="shared" si="4"/>
        <v>-104231.91666666664</v>
      </c>
    </row>
    <row r="25" spans="1:10" x14ac:dyDescent="0.3">
      <c r="D25" t="s">
        <v>67</v>
      </c>
      <c r="E25" s="11">
        <v>912000</v>
      </c>
      <c r="F25" s="4">
        <f t="shared" si="1"/>
        <v>218880</v>
      </c>
      <c r="G25" s="5">
        <f>H16</f>
        <v>41503</v>
      </c>
      <c r="H25" s="5">
        <f t="shared" si="2"/>
        <v>122728.91666666667</v>
      </c>
      <c r="I25" s="5">
        <f t="shared" si="3"/>
        <v>328320.00000000006</v>
      </c>
      <c r="J25" s="5">
        <f t="shared" si="4"/>
        <v>-54791.916666666613</v>
      </c>
    </row>
    <row r="26" spans="1:10" x14ac:dyDescent="0.3">
      <c r="D26" t="s">
        <v>68</v>
      </c>
      <c r="E26" s="11">
        <v>1824000</v>
      </c>
      <c r="F26" s="4">
        <f t="shared" si="1"/>
        <v>437760</v>
      </c>
      <c r="G26" s="5">
        <f>H17</f>
        <v>83006</v>
      </c>
      <c r="H26" s="5">
        <f t="shared" si="2"/>
        <v>122728.91666666667</v>
      </c>
      <c r="I26" s="5">
        <f t="shared" si="3"/>
        <v>656640.00000000012</v>
      </c>
      <c r="J26" s="5">
        <f t="shared" si="4"/>
        <v>13145.083333333445</v>
      </c>
    </row>
    <row r="27" spans="1:10" x14ac:dyDescent="0.3">
      <c r="D27" t="s">
        <v>69</v>
      </c>
      <c r="E27" s="11">
        <v>2000000</v>
      </c>
      <c r="F27" s="4">
        <f t="shared" si="1"/>
        <v>480000</v>
      </c>
      <c r="G27" s="5">
        <f>H18</f>
        <v>124509</v>
      </c>
      <c r="H27" s="5">
        <f t="shared" si="2"/>
        <v>122728.91666666667</v>
      </c>
      <c r="I27" s="5">
        <f t="shared" si="3"/>
        <v>720000.00000000012</v>
      </c>
      <c r="J27" s="5">
        <f t="shared" si="4"/>
        <v>-7237.9166666665551</v>
      </c>
    </row>
    <row r="28" spans="1:10" x14ac:dyDescent="0.3">
      <c r="D28" t="s">
        <v>69</v>
      </c>
      <c r="E28" s="11">
        <v>2736000</v>
      </c>
      <c r="F28" s="4">
        <f t="shared" si="1"/>
        <v>656640</v>
      </c>
      <c r="G28" s="5">
        <f>H18</f>
        <v>124509</v>
      </c>
      <c r="H28" s="5">
        <f t="shared" si="2"/>
        <v>122728.91666666667</v>
      </c>
      <c r="I28" s="5">
        <f t="shared" si="3"/>
        <v>984960.00000000012</v>
      </c>
      <c r="J28" s="5">
        <f t="shared" si="4"/>
        <v>81082.083333333445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7"/>
  <sheetViews>
    <sheetView zoomScale="130" zoomScaleNormal="130" workbookViewId="0">
      <selection activeCell="J17" sqref="J17"/>
    </sheetView>
  </sheetViews>
  <sheetFormatPr defaultRowHeight="14.4" x14ac:dyDescent="0.3"/>
  <cols>
    <col min="1" max="1" width="4"/>
    <col min="2" max="2" width="4.6640625"/>
    <col min="3" max="3" width="8.33203125"/>
    <col min="4" max="4" width="12.33203125" customWidth="1"/>
    <col min="5" max="5" width="10.5546875"/>
    <col min="6" max="6" width="11.5546875"/>
    <col min="7" max="7" width="13.109375"/>
    <col min="8" max="8" width="11.6640625"/>
    <col min="9" max="9" width="11.5546875"/>
    <col min="10" max="1025" width="8.33203125"/>
  </cols>
  <sheetData>
    <row r="1" spans="1:11" x14ac:dyDescent="0.3">
      <c r="D1" s="17">
        <v>8</v>
      </c>
      <c r="E1" s="17">
        <v>2200</v>
      </c>
      <c r="F1" s="17">
        <v>3.5</v>
      </c>
      <c r="I1" t="s">
        <v>26</v>
      </c>
      <c r="J1" t="s">
        <v>70</v>
      </c>
    </row>
    <row r="2" spans="1:11" x14ac:dyDescent="0.3">
      <c r="B2" t="s">
        <v>40</v>
      </c>
      <c r="C2" t="s">
        <v>23</v>
      </c>
      <c r="D2" t="s">
        <v>24</v>
      </c>
      <c r="E2" t="s">
        <v>71</v>
      </c>
      <c r="F2" t="s">
        <v>72</v>
      </c>
      <c r="G2" t="s">
        <v>26</v>
      </c>
      <c r="H2" t="s">
        <v>73</v>
      </c>
      <c r="I2" t="s">
        <v>74</v>
      </c>
      <c r="J2" t="s">
        <v>75</v>
      </c>
    </row>
    <row r="3" spans="1:11" x14ac:dyDescent="0.3">
      <c r="B3">
        <v>0</v>
      </c>
      <c r="H3" s="18">
        <v>-3500</v>
      </c>
      <c r="I3" s="18">
        <f>H3</f>
        <v>-3500</v>
      </c>
    </row>
    <row r="4" spans="1:11" x14ac:dyDescent="0.3">
      <c r="B4">
        <v>1</v>
      </c>
      <c r="C4">
        <v>300</v>
      </c>
      <c r="D4" s="18">
        <f t="shared" ref="D4:D16" si="0">C4*$D$1</f>
        <v>2400</v>
      </c>
      <c r="E4" s="18">
        <v>2200</v>
      </c>
      <c r="F4" s="18">
        <f t="shared" ref="F4:F16" si="1">C4*$F$1</f>
        <v>1050</v>
      </c>
      <c r="G4" s="18">
        <f t="shared" ref="G4:G16" si="2">D4-E4-F4</f>
        <v>-850</v>
      </c>
      <c r="H4" s="18"/>
      <c r="I4" s="18">
        <f>I3+G4+H4</f>
        <v>-4350</v>
      </c>
      <c r="J4" s="18">
        <f t="shared" ref="J4:J16" si="3">(E4+F4)/C4</f>
        <v>10.833333333333334</v>
      </c>
    </row>
    <row r="5" spans="1:11" x14ac:dyDescent="0.3">
      <c r="B5">
        <v>2</v>
      </c>
      <c r="C5">
        <v>500</v>
      </c>
      <c r="D5" s="18">
        <f t="shared" si="0"/>
        <v>4000</v>
      </c>
      <c r="E5" s="18">
        <v>2200</v>
      </c>
      <c r="F5" s="18">
        <f t="shared" si="1"/>
        <v>1750</v>
      </c>
      <c r="G5" s="18">
        <f t="shared" si="2"/>
        <v>50</v>
      </c>
      <c r="H5" s="18"/>
      <c r="I5" s="18">
        <f>I4+G5+H5</f>
        <v>-4300</v>
      </c>
      <c r="J5" s="18">
        <f t="shared" si="3"/>
        <v>7.9</v>
      </c>
    </row>
    <row r="6" spans="1:11" x14ac:dyDescent="0.3">
      <c r="B6">
        <v>3</v>
      </c>
      <c r="C6">
        <v>800</v>
      </c>
      <c r="D6" s="18">
        <f t="shared" si="0"/>
        <v>6400</v>
      </c>
      <c r="E6" s="18">
        <v>2200</v>
      </c>
      <c r="F6" s="18">
        <f t="shared" si="1"/>
        <v>2800</v>
      </c>
      <c r="G6" s="18">
        <f t="shared" si="2"/>
        <v>1400</v>
      </c>
      <c r="H6" s="18"/>
      <c r="I6" s="18">
        <f>I5+G6+H6</f>
        <v>-2900</v>
      </c>
      <c r="J6" s="18">
        <f t="shared" si="3"/>
        <v>6.25</v>
      </c>
    </row>
    <row r="7" spans="1:11" x14ac:dyDescent="0.3">
      <c r="B7">
        <v>4</v>
      </c>
      <c r="C7">
        <v>900</v>
      </c>
      <c r="D7" s="18">
        <f t="shared" si="0"/>
        <v>7200</v>
      </c>
      <c r="E7" s="18">
        <v>3200</v>
      </c>
      <c r="F7" s="18">
        <f t="shared" si="1"/>
        <v>3150</v>
      </c>
      <c r="G7" s="18">
        <f t="shared" si="2"/>
        <v>850</v>
      </c>
      <c r="H7" s="18">
        <v>-1200</v>
      </c>
      <c r="I7" s="18">
        <f>I6+G7+H7</f>
        <v>-3250</v>
      </c>
      <c r="J7" s="18">
        <f t="shared" si="3"/>
        <v>7.0555555555555554</v>
      </c>
    </row>
    <row r="8" spans="1:11" x14ac:dyDescent="0.3">
      <c r="B8">
        <v>5</v>
      </c>
      <c r="C8">
        <v>1300</v>
      </c>
      <c r="D8" s="18">
        <f t="shared" si="0"/>
        <v>10400</v>
      </c>
      <c r="E8" s="18">
        <v>3200</v>
      </c>
      <c r="F8" s="18">
        <f t="shared" si="1"/>
        <v>4550</v>
      </c>
      <c r="G8" s="18">
        <f t="shared" si="2"/>
        <v>2650</v>
      </c>
      <c r="H8" s="18"/>
      <c r="I8" s="18">
        <f>I7+G8+H8</f>
        <v>-600</v>
      </c>
      <c r="J8" s="18">
        <f t="shared" si="3"/>
        <v>5.9615384615384617</v>
      </c>
    </row>
    <row r="9" spans="1:11" x14ac:dyDescent="0.3">
      <c r="B9">
        <v>6</v>
      </c>
      <c r="C9">
        <v>1400</v>
      </c>
      <c r="D9" s="18">
        <f t="shared" si="0"/>
        <v>11200</v>
      </c>
      <c r="E9" s="18">
        <v>3200</v>
      </c>
      <c r="F9" s="18">
        <f t="shared" si="1"/>
        <v>4900</v>
      </c>
      <c r="G9" s="18">
        <f t="shared" si="2"/>
        <v>3100</v>
      </c>
      <c r="H9" s="18"/>
      <c r="I9" s="18">
        <v>0</v>
      </c>
      <c r="J9" s="18">
        <f t="shared" si="3"/>
        <v>5.7857142857142856</v>
      </c>
    </row>
    <row r="10" spans="1:11" x14ac:dyDescent="0.3">
      <c r="A10">
        <v>1</v>
      </c>
      <c r="B10" s="19">
        <v>7</v>
      </c>
      <c r="C10" s="19">
        <v>1500</v>
      </c>
      <c r="D10" s="20">
        <f t="shared" si="0"/>
        <v>12000</v>
      </c>
      <c r="E10" s="20">
        <v>3201</v>
      </c>
      <c r="F10" s="20">
        <f t="shared" si="1"/>
        <v>5250</v>
      </c>
      <c r="G10" s="20">
        <f t="shared" si="2"/>
        <v>3549</v>
      </c>
      <c r="H10" s="20"/>
      <c r="I10" s="20">
        <f t="shared" ref="I10:I17" si="4">I9+G10+H10</f>
        <v>3549</v>
      </c>
      <c r="J10" s="20">
        <f t="shared" si="3"/>
        <v>5.6340000000000003</v>
      </c>
      <c r="K10" s="19"/>
    </row>
    <row r="11" spans="1:11" x14ac:dyDescent="0.3">
      <c r="A11">
        <v>2</v>
      </c>
      <c r="B11" s="19">
        <v>8</v>
      </c>
      <c r="C11" s="19">
        <v>1600</v>
      </c>
      <c r="D11" s="20">
        <f t="shared" si="0"/>
        <v>12800</v>
      </c>
      <c r="E11" s="20">
        <v>3202</v>
      </c>
      <c r="F11" s="20">
        <f t="shared" si="1"/>
        <v>5600</v>
      </c>
      <c r="G11" s="20">
        <f t="shared" si="2"/>
        <v>3998</v>
      </c>
      <c r="H11" s="20"/>
      <c r="I11" s="20">
        <f t="shared" si="4"/>
        <v>7547</v>
      </c>
      <c r="J11" s="20">
        <f t="shared" si="3"/>
        <v>5.5012499999999998</v>
      </c>
    </row>
    <row r="12" spans="1:11" x14ac:dyDescent="0.3">
      <c r="A12">
        <v>3</v>
      </c>
      <c r="B12" s="19">
        <v>9</v>
      </c>
      <c r="C12" s="19">
        <v>1700</v>
      </c>
      <c r="D12" s="20">
        <f t="shared" si="0"/>
        <v>13600</v>
      </c>
      <c r="E12" s="20">
        <v>3203</v>
      </c>
      <c r="F12" s="20">
        <f t="shared" si="1"/>
        <v>5950</v>
      </c>
      <c r="G12" s="20">
        <f t="shared" si="2"/>
        <v>4447</v>
      </c>
      <c r="H12" s="20"/>
      <c r="I12" s="20">
        <f t="shared" si="4"/>
        <v>11994</v>
      </c>
      <c r="J12" s="20">
        <f t="shared" si="3"/>
        <v>5.3841176470588232</v>
      </c>
    </row>
    <row r="13" spans="1:11" x14ac:dyDescent="0.3">
      <c r="A13">
        <v>4</v>
      </c>
      <c r="B13" s="19">
        <v>10</v>
      </c>
      <c r="C13" s="19">
        <v>2000</v>
      </c>
      <c r="D13" s="20">
        <f t="shared" si="0"/>
        <v>16000</v>
      </c>
      <c r="E13" s="20">
        <v>3204</v>
      </c>
      <c r="F13" s="20">
        <f t="shared" si="1"/>
        <v>7000</v>
      </c>
      <c r="G13" s="20">
        <f t="shared" si="2"/>
        <v>5796</v>
      </c>
      <c r="H13" s="20"/>
      <c r="I13" s="20">
        <f t="shared" si="4"/>
        <v>17790</v>
      </c>
      <c r="J13" s="20">
        <f t="shared" si="3"/>
        <v>5.1020000000000003</v>
      </c>
    </row>
    <row r="14" spans="1:11" x14ac:dyDescent="0.3">
      <c r="A14">
        <v>5</v>
      </c>
      <c r="B14" s="19">
        <v>11</v>
      </c>
      <c r="C14" s="19">
        <v>2100</v>
      </c>
      <c r="D14" s="20">
        <f t="shared" si="0"/>
        <v>16800</v>
      </c>
      <c r="E14" s="20">
        <v>3205</v>
      </c>
      <c r="F14" s="20">
        <f t="shared" si="1"/>
        <v>7350</v>
      </c>
      <c r="G14" s="20">
        <f t="shared" si="2"/>
        <v>6245</v>
      </c>
      <c r="H14" s="20"/>
      <c r="I14" s="20">
        <f t="shared" si="4"/>
        <v>24035</v>
      </c>
      <c r="J14" s="20">
        <f t="shared" si="3"/>
        <v>5.0261904761904761</v>
      </c>
    </row>
    <row r="15" spans="1:11" x14ac:dyDescent="0.3">
      <c r="A15">
        <v>6</v>
      </c>
      <c r="B15" s="19">
        <v>12</v>
      </c>
      <c r="C15" s="19">
        <v>2200</v>
      </c>
      <c r="D15" s="20">
        <f t="shared" si="0"/>
        <v>17600</v>
      </c>
      <c r="E15" s="20">
        <v>3206</v>
      </c>
      <c r="F15" s="20">
        <f t="shared" si="1"/>
        <v>7700</v>
      </c>
      <c r="G15" s="20">
        <f t="shared" si="2"/>
        <v>6694</v>
      </c>
      <c r="H15" s="20"/>
      <c r="I15" s="20">
        <f t="shared" si="4"/>
        <v>30729</v>
      </c>
      <c r="J15" s="20">
        <f t="shared" si="3"/>
        <v>4.9572727272727271</v>
      </c>
    </row>
    <row r="16" spans="1:11" x14ac:dyDescent="0.3">
      <c r="A16">
        <v>7</v>
      </c>
      <c r="B16" s="19">
        <v>13</v>
      </c>
      <c r="C16" s="19">
        <v>2003</v>
      </c>
      <c r="D16" s="20">
        <f t="shared" si="0"/>
        <v>16024</v>
      </c>
      <c r="E16" s="20">
        <v>3207</v>
      </c>
      <c r="F16" s="20">
        <f t="shared" si="1"/>
        <v>7010.5</v>
      </c>
      <c r="G16" s="20">
        <f t="shared" si="2"/>
        <v>5806.5</v>
      </c>
      <c r="H16" s="20"/>
      <c r="I16" s="20">
        <f t="shared" si="4"/>
        <v>36535.5</v>
      </c>
      <c r="J16" s="20">
        <f t="shared" si="3"/>
        <v>5.1010983524712934</v>
      </c>
    </row>
    <row r="17" spans="2:10" x14ac:dyDescent="0.3">
      <c r="B17" s="19"/>
      <c r="C17" s="19"/>
      <c r="D17" s="20"/>
      <c r="E17" s="20"/>
      <c r="F17" s="20"/>
      <c r="G17" s="20">
        <v>55000</v>
      </c>
      <c r="H17" s="20"/>
      <c r="I17" s="20">
        <f t="shared" si="4"/>
        <v>91535.5</v>
      </c>
      <c r="J17" s="20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D89E701BC15F14DA60DE362C2B4382C" ma:contentTypeVersion="4" ma:contentTypeDescription="Criar um novo documento." ma:contentTypeScope="" ma:versionID="b7b2299d8cdfcbab9865ccc3d4b88044">
  <xsd:schema xmlns:xsd="http://www.w3.org/2001/XMLSchema" xmlns:xs="http://www.w3.org/2001/XMLSchema" xmlns:p="http://schemas.microsoft.com/office/2006/metadata/properties" xmlns:ns2="8df3a85b-a359-4a3e-a047-b56640ac3529" targetNamespace="http://schemas.microsoft.com/office/2006/metadata/properties" ma:root="true" ma:fieldsID="d187bccc4f620a25a4635120168a1454" ns2:_="">
    <xsd:import namespace="8df3a85b-a359-4a3e-a047-b56640ac35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f3a85b-a359-4a3e-a047-b56640ac35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0A8505-B279-43EB-8BF9-4B2F88481C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f3a85b-a359-4a3e-a047-b56640ac35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DBA7F41-A69C-4D81-9A4D-9C211785D82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Folha1</vt:lpstr>
      <vt:lpstr>19-5-2020</vt:lpstr>
      <vt:lpstr>Folha2</vt:lpstr>
      <vt:lpstr>Folha3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</dc:creator>
  <cp:keywords/>
  <dc:description/>
  <cp:lastModifiedBy>IDILLY PRESTES</cp:lastModifiedBy>
  <cp:revision>3</cp:revision>
  <dcterms:created xsi:type="dcterms:W3CDTF">2006-10-20T13:27:00Z</dcterms:created>
  <dcterms:modified xsi:type="dcterms:W3CDTF">2024-08-09T13:31:20Z</dcterms:modified>
  <cp:category/>
  <cp:contentStatus/>
</cp:coreProperties>
</file>