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Chemical_analysis/Volatiles/22_23_VOC_analysis/data/"/>
    </mc:Choice>
  </mc:AlternateContent>
  <xr:revisionPtr revIDLastSave="190" documentId="8_{32867F72-EA36-CE47-8B35-8A3811068D68}" xr6:coauthVersionLast="47" xr6:coauthVersionMax="47" xr10:uidLastSave="{4C1CEB93-DAA3-E34D-8760-1D3CA377BEFE}"/>
  <bookViews>
    <workbookView xWindow="0" yWindow="0" windowWidth="28800" windowHeight="18000" activeTab="7" xr2:uid="{4E966417-62D7-4971-AAF7-3B07628EDB98}"/>
  </bookViews>
  <sheets>
    <sheet name="Sheet1" sheetId="1" r:id="rId1"/>
    <sheet name="LOD" sheetId="13" r:id="rId2"/>
    <sheet name="LOQ" sheetId="14" r:id="rId3"/>
    <sheet name="working-ISTD3" sheetId="18" r:id="rId4"/>
    <sheet name="AUG22-ISTD3" sheetId="19" r:id="rId5"/>
    <sheet name="Aug22-ISTD4" sheetId="16" r:id="rId6"/>
    <sheet name="Aug22-ISTD6" sheetId="17" r:id="rId7"/>
    <sheet name="FEB23-ISTD6" sheetId="30" r:id="rId8"/>
    <sheet name="Feb23-ISTD4" sheetId="29" r:id="rId9"/>
    <sheet name="FEB23-ISTD3" sheetId="28" r:id="rId10"/>
    <sheet name="terpinene" sheetId="31" r:id="rId11"/>
    <sheet name="linalool_high_split" sheetId="33" r:id="rId12"/>
    <sheet name="Linalool_output" sheetId="32" r:id="rId13"/>
    <sheet name="Feb23working-ISTD3" sheetId="23" r:id="rId14"/>
    <sheet name="Matrix effect-ISTD6" sheetId="24" r:id="rId15"/>
    <sheet name="matrix-ISTD4" sheetId="26" r:id="rId16"/>
    <sheet name="matrix-ISTD3" sheetId="27" r:id="rId17"/>
    <sheet name="matrix-workingISTD3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2" l="1"/>
  <c r="E3" i="32"/>
  <c r="D4" i="32"/>
  <c r="E4" i="32"/>
  <c r="D5" i="32"/>
  <c r="E5" i="32"/>
  <c r="D6" i="32"/>
  <c r="E6" i="32"/>
  <c r="D7" i="32"/>
  <c r="E7" i="32"/>
  <c r="D8" i="32"/>
  <c r="E8" i="32"/>
  <c r="D9" i="32"/>
  <c r="E9" i="32"/>
  <c r="D10" i="32"/>
  <c r="E10" i="32"/>
  <c r="D11" i="32"/>
  <c r="E11" i="32"/>
  <c r="D12" i="32"/>
  <c r="E12" i="32"/>
  <c r="D13" i="32"/>
  <c r="E13" i="32"/>
  <c r="D14" i="32"/>
  <c r="E14" i="32"/>
  <c r="D15" i="32"/>
  <c r="E15" i="32"/>
  <c r="D16" i="32"/>
  <c r="E16" i="32"/>
  <c r="D17" i="32"/>
  <c r="E17" i="32"/>
  <c r="D18" i="32"/>
  <c r="E18" i="32"/>
  <c r="D19" i="32"/>
  <c r="E19" i="32"/>
  <c r="D20" i="32"/>
  <c r="E20" i="32"/>
  <c r="D21" i="32"/>
  <c r="E21" i="32"/>
  <c r="D22" i="32"/>
  <c r="E22" i="32"/>
  <c r="D23" i="32"/>
  <c r="E23" i="32"/>
  <c r="D24" i="32"/>
  <c r="E24" i="32"/>
  <c r="D25" i="32"/>
  <c r="E25" i="32"/>
  <c r="D26" i="32"/>
  <c r="E26" i="32"/>
  <c r="D27" i="32"/>
  <c r="E27" i="32"/>
  <c r="D28" i="32"/>
  <c r="E28" i="32"/>
  <c r="D29" i="32"/>
  <c r="E29" i="32"/>
  <c r="D30" i="32"/>
  <c r="E30" i="32"/>
  <c r="D31" i="32"/>
  <c r="E31" i="32"/>
  <c r="D32" i="32"/>
  <c r="E32" i="32"/>
  <c r="D33" i="32"/>
  <c r="E33" i="32"/>
  <c r="D34" i="32"/>
  <c r="E34" i="32"/>
  <c r="D35" i="32"/>
  <c r="E35" i="32"/>
  <c r="D36" i="32"/>
  <c r="E36" i="32"/>
  <c r="D37" i="32"/>
  <c r="E37" i="32"/>
  <c r="D38" i="32"/>
  <c r="E38" i="32"/>
  <c r="D39" i="32"/>
  <c r="E39" i="32"/>
  <c r="D40" i="32"/>
  <c r="E40" i="32"/>
  <c r="E2" i="32"/>
  <c r="D2" i="32"/>
  <c r="D116" i="33"/>
  <c r="D117" i="33"/>
  <c r="E115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77" i="33"/>
  <c r="B16" i="33"/>
  <c r="G36" i="33"/>
  <c r="G39" i="33"/>
  <c r="G40" i="33"/>
  <c r="G41" i="33"/>
  <c r="G42" i="33"/>
  <c r="G46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4" i="33"/>
  <c r="G65" i="33"/>
  <c r="G66" i="33"/>
  <c r="G67" i="33"/>
  <c r="G68" i="33"/>
  <c r="G71" i="33"/>
  <c r="B17" i="33"/>
  <c r="F33" i="33" s="1"/>
  <c r="F5" i="33"/>
  <c r="F6" i="33"/>
  <c r="F7" i="33"/>
  <c r="F8" i="33"/>
  <c r="F9" i="33"/>
  <c r="F10" i="33"/>
  <c r="F11" i="33"/>
  <c r="F12" i="33"/>
  <c r="F13" i="33"/>
  <c r="F14" i="33"/>
  <c r="F4" i="33"/>
  <c r="C117" i="33"/>
  <c r="E73" i="33"/>
  <c r="C116" i="33"/>
  <c r="E72" i="33"/>
  <c r="C115" i="33"/>
  <c r="E71" i="33"/>
  <c r="C114" i="33"/>
  <c r="E70" i="33"/>
  <c r="C113" i="33"/>
  <c r="E69" i="33"/>
  <c r="C112" i="33"/>
  <c r="E68" i="33"/>
  <c r="C111" i="33"/>
  <c r="E67" i="33"/>
  <c r="C110" i="33"/>
  <c r="E66" i="33"/>
  <c r="C109" i="33"/>
  <c r="E65" i="33"/>
  <c r="C108" i="33"/>
  <c r="E64" i="33"/>
  <c r="C107" i="33"/>
  <c r="E63" i="33"/>
  <c r="C106" i="33"/>
  <c r="E62" i="33"/>
  <c r="C105" i="33"/>
  <c r="E61" i="33"/>
  <c r="C104" i="33"/>
  <c r="E60" i="33"/>
  <c r="C103" i="33"/>
  <c r="E59" i="33"/>
  <c r="C102" i="33"/>
  <c r="E58" i="33"/>
  <c r="C101" i="33"/>
  <c r="E57" i="33"/>
  <c r="C100" i="33"/>
  <c r="E56" i="33"/>
  <c r="C99" i="33"/>
  <c r="E55" i="33"/>
  <c r="C98" i="33"/>
  <c r="E54" i="33"/>
  <c r="C97" i="33"/>
  <c r="E53" i="33"/>
  <c r="C96" i="33"/>
  <c r="E52" i="33"/>
  <c r="C95" i="33"/>
  <c r="E51" i="33"/>
  <c r="C94" i="33"/>
  <c r="E50" i="33"/>
  <c r="C93" i="33"/>
  <c r="E49" i="33"/>
  <c r="C92" i="33"/>
  <c r="E48" i="33"/>
  <c r="C91" i="33"/>
  <c r="E47" i="33"/>
  <c r="C90" i="33"/>
  <c r="E46" i="33"/>
  <c r="C89" i="33"/>
  <c r="E45" i="33"/>
  <c r="C88" i="33"/>
  <c r="E44" i="33"/>
  <c r="C87" i="33"/>
  <c r="E43" i="33"/>
  <c r="C86" i="33"/>
  <c r="E42" i="33"/>
  <c r="C85" i="33"/>
  <c r="E41" i="33"/>
  <c r="C84" i="33"/>
  <c r="E40" i="33"/>
  <c r="C83" i="33"/>
  <c r="E39" i="33"/>
  <c r="C82" i="33"/>
  <c r="E38" i="33"/>
  <c r="C81" i="33"/>
  <c r="E37" i="33"/>
  <c r="C80" i="33"/>
  <c r="E36" i="33"/>
  <c r="C79" i="33"/>
  <c r="E35" i="33"/>
  <c r="C78" i="33"/>
  <c r="E34" i="33"/>
  <c r="C77" i="33"/>
  <c r="E33" i="3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8" i="23"/>
  <c r="U7" i="23"/>
  <c r="U6" i="23"/>
  <c r="U5" i="23"/>
  <c r="U4" i="23"/>
  <c r="U3" i="23"/>
  <c r="U2" i="23"/>
  <c r="G35" i="23"/>
  <c r="G33" i="23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3" i="18"/>
  <c r="U4" i="18"/>
  <c r="U2" i="18"/>
  <c r="G61" i="18"/>
  <c r="H67" i="18"/>
  <c r="H107" i="18"/>
  <c r="H105" i="18"/>
  <c r="H95" i="18"/>
  <c r="H93" i="18"/>
  <c r="H83" i="18"/>
  <c r="H81" i="18"/>
  <c r="H71" i="18"/>
  <c r="H69" i="18"/>
  <c r="E75" i="18"/>
  <c r="E77" i="18"/>
  <c r="E87" i="18"/>
  <c r="E89" i="18"/>
  <c r="E99" i="18"/>
  <c r="E101" i="18"/>
  <c r="E111" i="18"/>
  <c r="E113" i="18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" i="23"/>
  <c r="X18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9" i="23"/>
  <c r="X20" i="23"/>
  <c r="X21" i="23"/>
  <c r="X22" i="23"/>
  <c r="X23" i="23"/>
  <c r="X24" i="23"/>
  <c r="X25" i="23"/>
  <c r="X26" i="23"/>
  <c r="X27" i="23"/>
  <c r="X2" i="23"/>
  <c r="P38" i="23"/>
  <c r="T38" i="23" s="1"/>
  <c r="T44" i="23"/>
  <c r="T47" i="23"/>
  <c r="T48" i="23"/>
  <c r="U38" i="23"/>
  <c r="U39" i="23"/>
  <c r="U40" i="23"/>
  <c r="U41" i="23"/>
  <c r="U42" i="23"/>
  <c r="U43" i="23"/>
  <c r="U44" i="23"/>
  <c r="U45" i="23"/>
  <c r="U46" i="23"/>
  <c r="U47" i="23"/>
  <c r="U48" i="23"/>
  <c r="G65" i="23"/>
  <c r="G70" i="23"/>
  <c r="G76" i="23"/>
  <c r="G77" i="23"/>
  <c r="G83" i="23"/>
  <c r="G39" i="23"/>
  <c r="G40" i="23"/>
  <c r="G51" i="23"/>
  <c r="G52" i="23"/>
  <c r="G63" i="23"/>
  <c r="G38" i="23"/>
  <c r="E2" i="14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62" i="17"/>
  <c r="L64" i="17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41" i="30"/>
  <c r="H42" i="30"/>
  <c r="H43" i="30"/>
  <c r="H40" i="30"/>
  <c r="C72" i="30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F66" i="17"/>
  <c r="F63" i="17"/>
  <c r="F64" i="17"/>
  <c r="F65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G62" i="17"/>
  <c r="F62" i="17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40" i="30"/>
  <c r="F62" i="30"/>
  <c r="F63" i="30"/>
  <c r="F64" i="30"/>
  <c r="F65" i="30"/>
  <c r="E41" i="30"/>
  <c r="E42" i="30"/>
  <c r="E43" i="30"/>
  <c r="E44" i="30"/>
  <c r="E45" i="30"/>
  <c r="E46" i="30"/>
  <c r="E47" i="30"/>
  <c r="E48" i="30"/>
  <c r="E49" i="30"/>
  <c r="E50" i="30"/>
  <c r="F50" i="30" s="1"/>
  <c r="E51" i="30"/>
  <c r="E52" i="30"/>
  <c r="F52" i="30" s="1"/>
  <c r="E53" i="30"/>
  <c r="E54" i="30"/>
  <c r="E55" i="30"/>
  <c r="E56" i="30"/>
  <c r="E57" i="30"/>
  <c r="F57" i="30" s="1"/>
  <c r="E58" i="30"/>
  <c r="E59" i="30"/>
  <c r="E60" i="30"/>
  <c r="F60" i="30" s="1"/>
  <c r="E61" i="30"/>
  <c r="F61" i="30" s="1"/>
  <c r="E62" i="30"/>
  <c r="E63" i="30"/>
  <c r="E64" i="30"/>
  <c r="E65" i="30"/>
  <c r="F59" i="30"/>
  <c r="F58" i="30"/>
  <c r="F56" i="30"/>
  <c r="F55" i="30"/>
  <c r="F54" i="30"/>
  <c r="F53" i="30"/>
  <c r="F51" i="30"/>
  <c r="F49" i="30"/>
  <c r="F48" i="30"/>
  <c r="F47" i="30"/>
  <c r="F46" i="30"/>
  <c r="F45" i="30"/>
  <c r="F44" i="30"/>
  <c r="F43" i="30"/>
  <c r="F42" i="30"/>
  <c r="F41" i="30"/>
  <c r="F40" i="30"/>
  <c r="E40" i="30"/>
  <c r="R43" i="30"/>
  <c r="R44" i="30"/>
  <c r="R54" i="30"/>
  <c r="Q41" i="30"/>
  <c r="R41" i="30" s="1"/>
  <c r="Q42" i="30"/>
  <c r="R42" i="30" s="1"/>
  <c r="Q43" i="30"/>
  <c r="Q44" i="30"/>
  <c r="Q45" i="30"/>
  <c r="R45" i="30" s="1"/>
  <c r="Q46" i="30"/>
  <c r="R46" i="30" s="1"/>
  <c r="Q47" i="30"/>
  <c r="R47" i="30" s="1"/>
  <c r="T43" i="30" s="1"/>
  <c r="Q48" i="30"/>
  <c r="R48" i="30" s="1"/>
  <c r="Q49" i="30"/>
  <c r="R49" i="30" s="1"/>
  <c r="Q50" i="30"/>
  <c r="R50" i="30" s="1"/>
  <c r="Q51" i="30"/>
  <c r="R51" i="30" s="1"/>
  <c r="Q52" i="30"/>
  <c r="R52" i="30" s="1"/>
  <c r="Q53" i="30"/>
  <c r="R53" i="30" s="1"/>
  <c r="T46" i="30" s="1"/>
  <c r="Q54" i="30"/>
  <c r="Q55" i="30"/>
  <c r="R55" i="30" s="1"/>
  <c r="T47" i="30" s="1"/>
  <c r="Q56" i="30"/>
  <c r="R56" i="30" s="1"/>
  <c r="Q57" i="30"/>
  <c r="R57" i="30" s="1"/>
  <c r="Q58" i="30"/>
  <c r="R58" i="30" s="1"/>
  <c r="Q59" i="30"/>
  <c r="R59" i="30" s="1"/>
  <c r="T49" i="30" s="1"/>
  <c r="Q60" i="30"/>
  <c r="R60" i="30" s="1"/>
  <c r="Q61" i="30"/>
  <c r="R61" i="30" s="1"/>
  <c r="Q40" i="30"/>
  <c r="R40" i="30" s="1"/>
  <c r="G68" i="18"/>
  <c r="H68" i="18" s="1"/>
  <c r="G69" i="18"/>
  <c r="G70" i="18"/>
  <c r="H70" i="18" s="1"/>
  <c r="G71" i="18"/>
  <c r="G72" i="18"/>
  <c r="H72" i="18" s="1"/>
  <c r="G73" i="18"/>
  <c r="H73" i="18" s="1"/>
  <c r="G74" i="18"/>
  <c r="H74" i="18" s="1"/>
  <c r="G75" i="18"/>
  <c r="H75" i="18" s="1"/>
  <c r="G76" i="18"/>
  <c r="H76" i="18" s="1"/>
  <c r="G77" i="18"/>
  <c r="H77" i="18" s="1"/>
  <c r="G78" i="18"/>
  <c r="H78" i="18" s="1"/>
  <c r="G79" i="18"/>
  <c r="H79" i="18" s="1"/>
  <c r="G80" i="18"/>
  <c r="H80" i="18" s="1"/>
  <c r="G81" i="18"/>
  <c r="G82" i="18"/>
  <c r="H82" i="18" s="1"/>
  <c r="G83" i="18"/>
  <c r="G84" i="18"/>
  <c r="H84" i="18" s="1"/>
  <c r="G85" i="18"/>
  <c r="H85" i="18" s="1"/>
  <c r="G86" i="18"/>
  <c r="H86" i="18" s="1"/>
  <c r="G87" i="18"/>
  <c r="H87" i="18" s="1"/>
  <c r="G88" i="18"/>
  <c r="H88" i="18" s="1"/>
  <c r="G89" i="18"/>
  <c r="H89" i="18" s="1"/>
  <c r="G90" i="18"/>
  <c r="H90" i="18" s="1"/>
  <c r="G91" i="18"/>
  <c r="H91" i="18" s="1"/>
  <c r="G92" i="18"/>
  <c r="H92" i="18" s="1"/>
  <c r="G93" i="18"/>
  <c r="G94" i="18"/>
  <c r="H94" i="18" s="1"/>
  <c r="G95" i="18"/>
  <c r="G96" i="18"/>
  <c r="H96" i="18" s="1"/>
  <c r="G97" i="18"/>
  <c r="H97" i="18" s="1"/>
  <c r="G98" i="18"/>
  <c r="H98" i="18" s="1"/>
  <c r="G99" i="18"/>
  <c r="H99" i="18" s="1"/>
  <c r="G100" i="18"/>
  <c r="H100" i="18" s="1"/>
  <c r="G101" i="18"/>
  <c r="H101" i="18" s="1"/>
  <c r="G102" i="18"/>
  <c r="H102" i="18" s="1"/>
  <c r="G103" i="18"/>
  <c r="H103" i="18" s="1"/>
  <c r="G104" i="18"/>
  <c r="H104" i="18" s="1"/>
  <c r="G105" i="18"/>
  <c r="G106" i="18"/>
  <c r="H106" i="18" s="1"/>
  <c r="G107" i="18"/>
  <c r="G108" i="18"/>
  <c r="H108" i="18" s="1"/>
  <c r="G109" i="18"/>
  <c r="H109" i="18" s="1"/>
  <c r="G110" i="18"/>
  <c r="H110" i="18" s="1"/>
  <c r="G111" i="18"/>
  <c r="H111" i="18" s="1"/>
  <c r="G112" i="18"/>
  <c r="H112" i="18" s="1"/>
  <c r="G113" i="18"/>
  <c r="H113" i="18" s="1"/>
  <c r="G114" i="18"/>
  <c r="H114" i="18" s="1"/>
  <c r="G115" i="18"/>
  <c r="H115" i="18" s="1"/>
  <c r="G116" i="18"/>
  <c r="H116" i="18" s="1"/>
  <c r="G67" i="18"/>
  <c r="D68" i="18"/>
  <c r="E68" i="18" s="1"/>
  <c r="D69" i="18"/>
  <c r="E69" i="18" s="1"/>
  <c r="D70" i="18"/>
  <c r="E70" i="18" s="1"/>
  <c r="D71" i="18"/>
  <c r="E71" i="18" s="1"/>
  <c r="D72" i="18"/>
  <c r="E72" i="18" s="1"/>
  <c r="D73" i="18"/>
  <c r="E73" i="18" s="1"/>
  <c r="D74" i="18"/>
  <c r="E74" i="18" s="1"/>
  <c r="D75" i="18"/>
  <c r="D76" i="18"/>
  <c r="E76" i="18" s="1"/>
  <c r="D77" i="18"/>
  <c r="D78" i="18"/>
  <c r="E78" i="18" s="1"/>
  <c r="D79" i="18"/>
  <c r="E79" i="18" s="1"/>
  <c r="D80" i="18"/>
  <c r="E80" i="18" s="1"/>
  <c r="D81" i="18"/>
  <c r="E81" i="18" s="1"/>
  <c r="D82" i="18"/>
  <c r="E82" i="18" s="1"/>
  <c r="D83" i="18"/>
  <c r="E83" i="18" s="1"/>
  <c r="D84" i="18"/>
  <c r="E84" i="18" s="1"/>
  <c r="D85" i="18"/>
  <c r="E85" i="18" s="1"/>
  <c r="D86" i="18"/>
  <c r="E86" i="18" s="1"/>
  <c r="D87" i="18"/>
  <c r="D88" i="18"/>
  <c r="E88" i="18" s="1"/>
  <c r="D89" i="18"/>
  <c r="D90" i="18"/>
  <c r="E90" i="18" s="1"/>
  <c r="D91" i="18"/>
  <c r="E91" i="18" s="1"/>
  <c r="D92" i="18"/>
  <c r="E92" i="18" s="1"/>
  <c r="D93" i="18"/>
  <c r="E93" i="18" s="1"/>
  <c r="D94" i="18"/>
  <c r="E94" i="18" s="1"/>
  <c r="D95" i="18"/>
  <c r="E95" i="18" s="1"/>
  <c r="D96" i="18"/>
  <c r="E96" i="18" s="1"/>
  <c r="D97" i="18"/>
  <c r="E97" i="18" s="1"/>
  <c r="D98" i="18"/>
  <c r="E98" i="18" s="1"/>
  <c r="D99" i="18"/>
  <c r="D100" i="18"/>
  <c r="E100" i="18" s="1"/>
  <c r="D101" i="18"/>
  <c r="D102" i="18"/>
  <c r="E102" i="18" s="1"/>
  <c r="D103" i="18"/>
  <c r="E103" i="18" s="1"/>
  <c r="D104" i="18"/>
  <c r="E104" i="18" s="1"/>
  <c r="D105" i="18"/>
  <c r="E105" i="18" s="1"/>
  <c r="D106" i="18"/>
  <c r="E106" i="18" s="1"/>
  <c r="D107" i="18"/>
  <c r="E107" i="18" s="1"/>
  <c r="D108" i="18"/>
  <c r="E108" i="18" s="1"/>
  <c r="D109" i="18"/>
  <c r="E109" i="18" s="1"/>
  <c r="D110" i="18"/>
  <c r="E110" i="18" s="1"/>
  <c r="D111" i="18"/>
  <c r="D112" i="18"/>
  <c r="E112" i="18" s="1"/>
  <c r="D113" i="18"/>
  <c r="D114" i="18"/>
  <c r="E114" i="18" s="1"/>
  <c r="D115" i="18"/>
  <c r="E115" i="18" s="1"/>
  <c r="D116" i="18"/>
  <c r="E116" i="18" s="1"/>
  <c r="D67" i="18"/>
  <c r="E67" i="18" s="1"/>
  <c r="F66" i="23"/>
  <c r="G66" i="23" s="1"/>
  <c r="F67" i="23"/>
  <c r="G67" i="23" s="1"/>
  <c r="F68" i="23"/>
  <c r="G68" i="23" s="1"/>
  <c r="F69" i="23"/>
  <c r="G69" i="23" s="1"/>
  <c r="F70" i="23"/>
  <c r="F71" i="23"/>
  <c r="G71" i="23" s="1"/>
  <c r="F72" i="23"/>
  <c r="G72" i="23" s="1"/>
  <c r="F73" i="23"/>
  <c r="G73" i="23" s="1"/>
  <c r="F74" i="23"/>
  <c r="G74" i="23" s="1"/>
  <c r="F75" i="23"/>
  <c r="G75" i="23" s="1"/>
  <c r="F76" i="23"/>
  <c r="F77" i="23"/>
  <c r="F78" i="23"/>
  <c r="G78" i="23" s="1"/>
  <c r="F79" i="23"/>
  <c r="G79" i="23" s="1"/>
  <c r="F80" i="23"/>
  <c r="G80" i="23" s="1"/>
  <c r="F81" i="23"/>
  <c r="G81" i="23" s="1"/>
  <c r="F82" i="23"/>
  <c r="G82" i="23" s="1"/>
  <c r="F83" i="23"/>
  <c r="F84" i="23"/>
  <c r="G84" i="23" s="1"/>
  <c r="F85" i="23"/>
  <c r="G85" i="23" s="1"/>
  <c r="F86" i="23"/>
  <c r="G86" i="23" s="1"/>
  <c r="F87" i="23"/>
  <c r="G87" i="23" s="1"/>
  <c r="F88" i="23"/>
  <c r="G88" i="23" s="1"/>
  <c r="F89" i="23"/>
  <c r="G89" i="23" s="1"/>
  <c r="F90" i="23"/>
  <c r="G90" i="23" s="1"/>
  <c r="F65" i="23"/>
  <c r="F63" i="23"/>
  <c r="F39" i="23"/>
  <c r="F40" i="23"/>
  <c r="F41" i="23"/>
  <c r="G41" i="23" s="1"/>
  <c r="F42" i="23"/>
  <c r="G42" i="23" s="1"/>
  <c r="F43" i="23"/>
  <c r="G43" i="23" s="1"/>
  <c r="F44" i="23"/>
  <c r="G44" i="23" s="1"/>
  <c r="F45" i="23"/>
  <c r="G45" i="23" s="1"/>
  <c r="F46" i="23"/>
  <c r="G46" i="23" s="1"/>
  <c r="F47" i="23"/>
  <c r="G47" i="23" s="1"/>
  <c r="F48" i="23"/>
  <c r="G48" i="23" s="1"/>
  <c r="F49" i="23"/>
  <c r="G49" i="23" s="1"/>
  <c r="F50" i="23"/>
  <c r="G50" i="23" s="1"/>
  <c r="F51" i="23"/>
  <c r="F52" i="23"/>
  <c r="F53" i="23"/>
  <c r="G53" i="23" s="1"/>
  <c r="F54" i="23"/>
  <c r="G54" i="23" s="1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38" i="23"/>
  <c r="E38" i="23"/>
  <c r="E39" i="23"/>
  <c r="E40" i="23"/>
  <c r="F73" i="33" l="1"/>
  <c r="F45" i="33"/>
  <c r="F69" i="33"/>
  <c r="F38" i="33"/>
  <c r="F43" i="33"/>
  <c r="F35" i="33"/>
  <c r="F48" i="33"/>
  <c r="F72" i="33"/>
  <c r="F34" i="33"/>
  <c r="D92" i="33"/>
  <c r="F70" i="33"/>
  <c r="F47" i="33"/>
  <c r="F63" i="33"/>
  <c r="F44" i="33"/>
  <c r="D114" i="33"/>
  <c r="F37" i="33"/>
  <c r="F49" i="33"/>
  <c r="T48" i="30"/>
  <c r="T41" i="30"/>
  <c r="T45" i="30"/>
  <c r="T40" i="30"/>
  <c r="T50" i="30"/>
  <c r="T44" i="30"/>
  <c r="T42" i="30"/>
  <c r="B125" i="18"/>
  <c r="P39" i="23" l="1"/>
  <c r="T39" i="23" s="1"/>
  <c r="P40" i="23"/>
  <c r="T40" i="23" s="1"/>
  <c r="P41" i="23"/>
  <c r="T41" i="23" s="1"/>
  <c r="P42" i="23"/>
  <c r="T42" i="23" s="1"/>
  <c r="P43" i="23"/>
  <c r="T43" i="23" s="1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A37" i="23"/>
  <c r="N32" i="23"/>
  <c r="N30" i="23"/>
  <c r="AA2" i="23" s="1"/>
  <c r="L30" i="23"/>
  <c r="I30" i="23"/>
  <c r="H30" i="23"/>
  <c r="G30" i="23"/>
  <c r="E30" i="23"/>
  <c r="S5" i="23" s="1"/>
  <c r="F30" i="23"/>
  <c r="T5" i="23" s="1"/>
  <c r="Z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2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2" i="18"/>
  <c r="V3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3" i="18"/>
  <c r="S4" i="18"/>
  <c r="S5" i="18"/>
  <c r="S6" i="18"/>
  <c r="S7" i="18"/>
  <c r="S2" i="18"/>
  <c r="I13" i="25"/>
  <c r="G13" i="25"/>
  <c r="G9" i="25"/>
  <c r="N7" i="25"/>
  <c r="AB4" i="25" s="1"/>
  <c r="M7" i="25"/>
  <c r="AA3" i="25" s="1"/>
  <c r="L7" i="25"/>
  <c r="Z2" i="25" s="1"/>
  <c r="K7" i="25"/>
  <c r="Y2" i="25" s="1"/>
  <c r="J7" i="25"/>
  <c r="X2" i="25" s="1"/>
  <c r="I7" i="25"/>
  <c r="W2" i="25" s="1"/>
  <c r="H7" i="25"/>
  <c r="V2" i="25" s="1"/>
  <c r="G7" i="25"/>
  <c r="U2" i="25" s="1"/>
  <c r="F7" i="25"/>
  <c r="T4" i="25" s="1"/>
  <c r="S4" i="25"/>
  <c r="R4" i="25"/>
  <c r="AB3" i="25"/>
  <c r="S3" i="25"/>
  <c r="R3" i="25"/>
  <c r="AB2" i="25"/>
  <c r="AA2" i="25"/>
  <c r="S2" i="25"/>
  <c r="R2" i="25"/>
  <c r="B1" i="25"/>
  <c r="M30" i="23"/>
  <c r="Z27" i="23" s="1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Z5" i="23"/>
  <c r="R5" i="23"/>
  <c r="R4" i="23"/>
  <c r="R3" i="23"/>
  <c r="R2" i="23"/>
  <c r="B1" i="23"/>
  <c r="Z11" i="23" l="1"/>
  <c r="V6" i="23"/>
  <c r="V2" i="23"/>
  <c r="Y12" i="23"/>
  <c r="Y24" i="23"/>
  <c r="Y13" i="23"/>
  <c r="Y25" i="23"/>
  <c r="Y23" i="23"/>
  <c r="Y2" i="23"/>
  <c r="Y14" i="23"/>
  <c r="Y26" i="23"/>
  <c r="Y3" i="23"/>
  <c r="Y27" i="23"/>
  <c r="Y15" i="23"/>
  <c r="Y4" i="23"/>
  <c r="Y16" i="23"/>
  <c r="Y5" i="23"/>
  <c r="Y17" i="23"/>
  <c r="Y18" i="23"/>
  <c r="Y6" i="23"/>
  <c r="Y11" i="23"/>
  <c r="Y7" i="23"/>
  <c r="Y19" i="23"/>
  <c r="Y10" i="23"/>
  <c r="Y8" i="23"/>
  <c r="Y20" i="23"/>
  <c r="Y9" i="23"/>
  <c r="Y21" i="23"/>
  <c r="Y22" i="23"/>
  <c r="Z9" i="23"/>
  <c r="Z15" i="23"/>
  <c r="Z17" i="23"/>
  <c r="Z23" i="23"/>
  <c r="V38" i="23"/>
  <c r="H38" i="23" s="1"/>
  <c r="V3" i="23"/>
  <c r="Z3" i="23"/>
  <c r="Z21" i="23"/>
  <c r="V27" i="23"/>
  <c r="V47" i="23"/>
  <c r="H47" i="23" s="1"/>
  <c r="T15" i="23"/>
  <c r="T2" i="23"/>
  <c r="T14" i="23"/>
  <c r="T13" i="23"/>
  <c r="T26" i="23"/>
  <c r="T12" i="23"/>
  <c r="T25" i="23"/>
  <c r="T10" i="23"/>
  <c r="T24" i="23"/>
  <c r="T9" i="23"/>
  <c r="T22" i="23"/>
  <c r="T8" i="23"/>
  <c r="T21" i="23"/>
  <c r="T7" i="23"/>
  <c r="T20" i="23"/>
  <c r="T6" i="23"/>
  <c r="V26" i="23"/>
  <c r="T19" i="23"/>
  <c r="T4" i="23"/>
  <c r="V15" i="23"/>
  <c r="T18" i="23"/>
  <c r="T3" i="23"/>
  <c r="V14" i="23"/>
  <c r="T27" i="23"/>
  <c r="T16" i="23"/>
  <c r="Z4" i="23"/>
  <c r="Z10" i="23"/>
  <c r="Z16" i="23"/>
  <c r="Z22" i="23"/>
  <c r="T23" i="23"/>
  <c r="T11" i="23"/>
  <c r="V17" i="23"/>
  <c r="V5" i="23"/>
  <c r="V16" i="23"/>
  <c r="V4" i="23"/>
  <c r="Z6" i="23"/>
  <c r="Z12" i="23"/>
  <c r="Z18" i="23"/>
  <c r="Z24" i="23"/>
  <c r="V25" i="23"/>
  <c r="V13" i="23"/>
  <c r="V24" i="23"/>
  <c r="V12" i="23"/>
  <c r="Z7" i="23"/>
  <c r="Z13" i="23"/>
  <c r="Z19" i="23"/>
  <c r="Z25" i="23"/>
  <c r="T17" i="23"/>
  <c r="V23" i="23"/>
  <c r="V11" i="23"/>
  <c r="V22" i="23"/>
  <c r="V10" i="23"/>
  <c r="Z2" i="23"/>
  <c r="Z8" i="23"/>
  <c r="Z14" i="23"/>
  <c r="Z20" i="23"/>
  <c r="Z26" i="23"/>
  <c r="V21" i="23"/>
  <c r="V9" i="23"/>
  <c r="V20" i="23"/>
  <c r="V8" i="23"/>
  <c r="V19" i="23"/>
  <c r="V7" i="23"/>
  <c r="V18" i="23"/>
  <c r="AA23" i="23"/>
  <c r="AA19" i="23"/>
  <c r="AA24" i="23"/>
  <c r="AA16" i="23"/>
  <c r="AA20" i="23"/>
  <c r="AA25" i="23"/>
  <c r="AA21" i="23"/>
  <c r="AA17" i="23"/>
  <c r="AA26" i="23"/>
  <c r="AA22" i="23"/>
  <c r="AA3" i="23"/>
  <c r="AA7" i="23"/>
  <c r="AA11" i="23"/>
  <c r="AA15" i="23"/>
  <c r="AA4" i="23"/>
  <c r="AA8" i="23"/>
  <c r="AA12" i="23"/>
  <c r="AA5" i="23"/>
  <c r="AA9" i="23"/>
  <c r="AA13" i="23"/>
  <c r="AA6" i="23"/>
  <c r="AA10" i="23"/>
  <c r="AA14" i="23"/>
  <c r="AA18" i="23"/>
  <c r="AA27" i="23"/>
  <c r="S2" i="23"/>
  <c r="S18" i="23"/>
  <c r="S17" i="23"/>
  <c r="S3" i="23"/>
  <c r="S7" i="23"/>
  <c r="S6" i="23"/>
  <c r="S4" i="23"/>
  <c r="S27" i="23"/>
  <c r="S16" i="23"/>
  <c r="S15" i="23"/>
  <c r="S25" i="23"/>
  <c r="S13" i="23"/>
  <c r="S14" i="23"/>
  <c r="S24" i="23"/>
  <c r="S12" i="23"/>
  <c r="S26" i="23"/>
  <c r="S23" i="23"/>
  <c r="S11" i="23"/>
  <c r="S22" i="23"/>
  <c r="S10" i="23"/>
  <c r="S9" i="23"/>
  <c r="S21" i="23"/>
  <c r="S20" i="23"/>
  <c r="S8" i="23"/>
  <c r="S19" i="23"/>
  <c r="T3" i="25"/>
  <c r="U4" i="25"/>
  <c r="T2" i="25"/>
  <c r="U3" i="25"/>
  <c r="V4" i="25"/>
  <c r="V3" i="25"/>
  <c r="W4" i="25"/>
  <c r="W3" i="25"/>
  <c r="X4" i="25"/>
  <c r="X3" i="25"/>
  <c r="Y4" i="25"/>
  <c r="Y3" i="25"/>
  <c r="Z4" i="25"/>
  <c r="Z3" i="25"/>
  <c r="AA4" i="25"/>
  <c r="I12" i="25"/>
  <c r="AA6" i="18"/>
  <c r="AA8" i="18"/>
  <c r="AA9" i="18"/>
  <c r="AA10" i="18"/>
  <c r="AA12" i="18"/>
  <c r="AA18" i="18"/>
  <c r="AA20" i="18"/>
  <c r="AA21" i="18"/>
  <c r="AA22" i="18"/>
  <c r="AA24" i="18"/>
  <c r="AA30" i="18"/>
  <c r="AA32" i="18"/>
  <c r="AA33" i="18"/>
  <c r="AA34" i="18"/>
  <c r="AA36" i="18"/>
  <c r="AA42" i="18"/>
  <c r="AA44" i="18"/>
  <c r="AA45" i="18"/>
  <c r="AA46" i="18"/>
  <c r="AA48" i="18"/>
  <c r="N59" i="18"/>
  <c r="AA13" i="18" s="1"/>
  <c r="Z3" i="18"/>
  <c r="Z5" i="18"/>
  <c r="Z6" i="18"/>
  <c r="Z7" i="18"/>
  <c r="Z9" i="18"/>
  <c r="Z15" i="18"/>
  <c r="Z17" i="18"/>
  <c r="Z18" i="18"/>
  <c r="Z19" i="18"/>
  <c r="Z21" i="18"/>
  <c r="Z27" i="18"/>
  <c r="Z29" i="18"/>
  <c r="Z30" i="18"/>
  <c r="Z31" i="18"/>
  <c r="Z33" i="18"/>
  <c r="Z39" i="18"/>
  <c r="Z41" i="18"/>
  <c r="Z42" i="18"/>
  <c r="Z43" i="18"/>
  <c r="Z45" i="18"/>
  <c r="Z51" i="18"/>
  <c r="M59" i="18"/>
  <c r="Z10" i="18" s="1"/>
  <c r="L59" i="18"/>
  <c r="K59" i="18"/>
  <c r="J59" i="18"/>
  <c r="I65" i="18"/>
  <c r="I64" i="18" s="1"/>
  <c r="G65" i="18"/>
  <c r="I59" i="18"/>
  <c r="H59" i="18"/>
  <c r="G59" i="18"/>
  <c r="F59" i="18"/>
  <c r="B1" i="18"/>
  <c r="H41" i="14"/>
  <c r="H40" i="14"/>
  <c r="H39" i="14"/>
  <c r="H38" i="14"/>
  <c r="H37" i="14"/>
  <c r="H36" i="14"/>
  <c r="H35" i="14"/>
  <c r="H34" i="14"/>
  <c r="H32" i="14"/>
  <c r="H31" i="14"/>
  <c r="H30" i="14"/>
  <c r="H29" i="14"/>
  <c r="H28" i="14"/>
  <c r="H27" i="14"/>
  <c r="H26" i="14"/>
  <c r="H25" i="14"/>
  <c r="H24" i="14"/>
  <c r="H23" i="14"/>
  <c r="H22" i="14"/>
  <c r="H20" i="14"/>
  <c r="H19" i="14"/>
  <c r="H18" i="14"/>
  <c r="H16" i="14"/>
  <c r="H14" i="14"/>
  <c r="H13" i="14"/>
  <c r="H12" i="14"/>
  <c r="H11" i="14"/>
  <c r="H9" i="14"/>
  <c r="H8" i="14"/>
  <c r="H7" i="14"/>
  <c r="H5" i="14"/>
  <c r="H4" i="14"/>
  <c r="H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H4" i="13"/>
  <c r="H5" i="13"/>
  <c r="H7" i="13"/>
  <c r="H8" i="13"/>
  <c r="H9" i="13"/>
  <c r="H11" i="13"/>
  <c r="H12" i="13"/>
  <c r="H13" i="13"/>
  <c r="H14" i="13"/>
  <c r="H16" i="13"/>
  <c r="H18" i="13"/>
  <c r="H19" i="13"/>
  <c r="H22" i="13"/>
  <c r="H23" i="13"/>
  <c r="H24" i="13"/>
  <c r="H25" i="13"/>
  <c r="H26" i="13"/>
  <c r="H27" i="13"/>
  <c r="H28" i="13"/>
  <c r="H29" i="13"/>
  <c r="H30" i="13"/>
  <c r="H31" i="13"/>
  <c r="H32" i="13"/>
  <c r="H34" i="13"/>
  <c r="H35" i="13"/>
  <c r="H36" i="13"/>
  <c r="H37" i="13"/>
  <c r="H38" i="13"/>
  <c r="H39" i="13"/>
  <c r="H40" i="13"/>
  <c r="H41" i="13"/>
  <c r="H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H20" i="13" s="1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2" i="13"/>
  <c r="Z44" i="18" l="1"/>
  <c r="Z32" i="18"/>
  <c r="Z20" i="18"/>
  <c r="Z8" i="18"/>
  <c r="AA47" i="18"/>
  <c r="AA35" i="18"/>
  <c r="AA23" i="18"/>
  <c r="AA11" i="18"/>
  <c r="Z40" i="18"/>
  <c r="Z28" i="18"/>
  <c r="Z16" i="18"/>
  <c r="Z4" i="18"/>
  <c r="AA43" i="18"/>
  <c r="AA31" i="18"/>
  <c r="AA19" i="18"/>
  <c r="AA7" i="18"/>
  <c r="Z38" i="18"/>
  <c r="AA41" i="18"/>
  <c r="Z49" i="18"/>
  <c r="Z37" i="18"/>
  <c r="Z25" i="18"/>
  <c r="Z13" i="18"/>
  <c r="AA2" i="18"/>
  <c r="AA40" i="18"/>
  <c r="AA28" i="18"/>
  <c r="AA16" i="18"/>
  <c r="AA4" i="18"/>
  <c r="Z14" i="18"/>
  <c r="AA29" i="18"/>
  <c r="Z48" i="18"/>
  <c r="Z36" i="18"/>
  <c r="Z24" i="18"/>
  <c r="Z12" i="18"/>
  <c r="AA51" i="18"/>
  <c r="AA39" i="18"/>
  <c r="AA27" i="18"/>
  <c r="AA15" i="18"/>
  <c r="AA3" i="18"/>
  <c r="Z26" i="18"/>
  <c r="AA5" i="18"/>
  <c r="Z47" i="18"/>
  <c r="Z35" i="18"/>
  <c r="Z23" i="18"/>
  <c r="Z11" i="18"/>
  <c r="AA50" i="18"/>
  <c r="AA38" i="18"/>
  <c r="AA26" i="18"/>
  <c r="AA14" i="18"/>
  <c r="Z50" i="18"/>
  <c r="AA17" i="18"/>
  <c r="Z46" i="18"/>
  <c r="Z34" i="18"/>
  <c r="Z22" i="18"/>
  <c r="AA49" i="18"/>
  <c r="AA37" i="18"/>
  <c r="AA25" i="18"/>
  <c r="V45" i="23"/>
  <c r="H45" i="23" s="1"/>
  <c r="V39" i="23"/>
  <c r="H39" i="23" s="1"/>
  <c r="V46" i="23"/>
  <c r="H46" i="23" s="1"/>
  <c r="V48" i="23"/>
  <c r="H48" i="23" s="1"/>
  <c r="V43" i="23"/>
  <c r="H43" i="23" s="1"/>
  <c r="V42" i="23"/>
  <c r="H42" i="23" s="1"/>
  <c r="V40" i="23"/>
  <c r="H40" i="23" s="1"/>
  <c r="V41" i="23"/>
  <c r="H41" i="23" s="1"/>
  <c r="V44" i="23"/>
  <c r="H44" i="23" s="1"/>
</calcChain>
</file>

<file path=xl/sharedStrings.xml><?xml version="1.0" encoding="utf-8"?>
<sst xmlns="http://schemas.openxmlformats.org/spreadsheetml/2006/main" count="1729" uniqueCount="392">
  <si>
    <t>alpha-pinene</t>
  </si>
  <si>
    <t>hexanal</t>
  </si>
  <si>
    <t>alpha-terpinene</t>
  </si>
  <si>
    <t>heptanal</t>
  </si>
  <si>
    <t>cis-beta-ocimene</t>
  </si>
  <si>
    <t>trans-beta-ocimene</t>
  </si>
  <si>
    <t>P-Cymene</t>
  </si>
  <si>
    <t>Terpinolene</t>
  </si>
  <si>
    <t>octanal</t>
  </si>
  <si>
    <t>6-Methyl-5-hepten-2-one</t>
  </si>
  <si>
    <t>methyl octanoate</t>
  </si>
  <si>
    <t xml:space="preserve">nonanal </t>
  </si>
  <si>
    <t>Cis-Linalool oxide</t>
  </si>
  <si>
    <t>Trans-Linalool oxide (furanoid)</t>
  </si>
  <si>
    <t>decanal</t>
  </si>
  <si>
    <t>Benzaldehyde</t>
  </si>
  <si>
    <t>(E)-2-Nonenal</t>
  </si>
  <si>
    <t>Linalool</t>
  </si>
  <si>
    <t>beta-Cyclocitral</t>
  </si>
  <si>
    <t>Naphthalene</t>
  </si>
  <si>
    <t>Geraniol</t>
  </si>
  <si>
    <t>Geranylacetone</t>
  </si>
  <si>
    <t>gamma-octalactone</t>
  </si>
  <si>
    <t>beta-Ionone</t>
  </si>
  <si>
    <t>benzyl isothiocyanate</t>
  </si>
  <si>
    <t>Species</t>
  </si>
  <si>
    <t>Peak Height</t>
  </si>
  <si>
    <t>50temp_30time</t>
  </si>
  <si>
    <t>50temp_50time</t>
  </si>
  <si>
    <t>50temp_70time</t>
  </si>
  <si>
    <t>60temp_30time</t>
  </si>
  <si>
    <t>60temp_50time</t>
  </si>
  <si>
    <t>60temp_70time</t>
  </si>
  <si>
    <t>Hexanal-d12</t>
  </si>
  <si>
    <t>Heptanal-d14</t>
  </si>
  <si>
    <t>methyl hexanoate</t>
  </si>
  <si>
    <t>D-Limonene</t>
  </si>
  <si>
    <t>D-limonene-d6</t>
  </si>
  <si>
    <t>Eucalyptol</t>
  </si>
  <si>
    <t>a-terpinolene-d5</t>
  </si>
  <si>
    <t>Octanal-d16</t>
  </si>
  <si>
    <t>2-Octanone</t>
  </si>
  <si>
    <t>Nonanal-d18</t>
  </si>
  <si>
    <t>methional</t>
  </si>
  <si>
    <t>phenylacetaldehyde</t>
  </si>
  <si>
    <t>methyl dodecanoate</t>
  </si>
  <si>
    <t>Nerylacetone</t>
  </si>
  <si>
    <t>Octanoic acid</t>
  </si>
  <si>
    <t>R2</t>
  </si>
  <si>
    <t>Threshold</t>
  </si>
  <si>
    <t>S/N</t>
  </si>
  <si>
    <t>Conc (ppb)</t>
  </si>
  <si>
    <t>LOQ</t>
  </si>
  <si>
    <t>Density</t>
  </si>
  <si>
    <t>purity</t>
  </si>
  <si>
    <t>LOD (ppb)</t>
  </si>
  <si>
    <t>LOD (ug/Kg)</t>
  </si>
  <si>
    <t>Aug22_11-154_9.qgd</t>
  </si>
  <si>
    <t>QC_25ppb_23Aug.qgd</t>
  </si>
  <si>
    <t>Aug22_01-105_2.qgd</t>
  </si>
  <si>
    <t>Aug22_04-960_11.qgd</t>
  </si>
  <si>
    <t>Aug22_06-435_10.qgd</t>
  </si>
  <si>
    <t>Aug22_07-121_8.qgd</t>
  </si>
  <si>
    <t>Aug22_09-719_2.qgd</t>
  </si>
  <si>
    <t>Aug22_09-950_1.qgd</t>
  </si>
  <si>
    <t>Aug22_11-887_12.qgd</t>
  </si>
  <si>
    <t>Aug22_12-1_6.qgd</t>
  </si>
  <si>
    <t>Aug22_02-668_4.qgd</t>
  </si>
  <si>
    <t>Aug22_04-570_10.qgd</t>
  </si>
  <si>
    <t>Aug22_05-575_7.qgd</t>
  </si>
  <si>
    <t>Aug22_06-106_8.qgd</t>
  </si>
  <si>
    <t>Aug22_07-787_13.qgd</t>
  </si>
  <si>
    <t>Aug22_08-040_11.qgd</t>
  </si>
  <si>
    <t>Aug22_10-153_9.qgd</t>
  </si>
  <si>
    <t>Aug22_12-795_5.qgd</t>
  </si>
  <si>
    <t>Aug22_01-810_4.qgd</t>
  </si>
  <si>
    <t>Aug22_02-408_7.qgd</t>
  </si>
  <si>
    <t>Aug22_03-413_3.qgd</t>
  </si>
  <si>
    <t>Aug22_03-504_5.qgd</t>
  </si>
  <si>
    <t>Aug22_03-717_4.qgd</t>
  </si>
  <si>
    <t>Aug22_05-603_6.qgd</t>
  </si>
  <si>
    <t>Aug22_12-654_3.qgd</t>
  </si>
  <si>
    <t>QC_25ppb_24aug.qgd</t>
  </si>
  <si>
    <t>Aug22_02-654_17.qgd</t>
  </si>
  <si>
    <t>Aug22_03-755_19.qgd</t>
  </si>
  <si>
    <t>Aug22_04-206_16.qgd</t>
  </si>
  <si>
    <t>Aug22_06-373_18.qgd</t>
  </si>
  <si>
    <t>Aug22_07-107_15.qgd</t>
  </si>
  <si>
    <t>Aug22_08-587_13.qgd</t>
  </si>
  <si>
    <t>Aug22_10-142_14.qgd</t>
  </si>
  <si>
    <t>Aug22_12-058_8.qgd</t>
  </si>
  <si>
    <t>Aug22_01-534_11.qgd</t>
  </si>
  <si>
    <t>Aug22_01-776_7.qgd</t>
  </si>
  <si>
    <t>Aug22_05-344_12.qgd</t>
  </si>
  <si>
    <t>Aug22_05-572_6.qgd</t>
  </si>
  <si>
    <t>Aug22_08-269_5.qgd</t>
  </si>
  <si>
    <t>Aug22_09-531_10.qgd</t>
  </si>
  <si>
    <t>Aug22_11-497_9.qgd</t>
  </si>
  <si>
    <t>QC_25ppb_21Aug.qgd</t>
  </si>
  <si>
    <t>Aug22_02-021_3.qgd</t>
  </si>
  <si>
    <t>Aug22_04-183_6.qgd</t>
  </si>
  <si>
    <t>Aug22_06-918_11.qgd</t>
  </si>
  <si>
    <t>Aug22_07-676_7.qgd</t>
  </si>
  <si>
    <t>Aug22_09-1_3.qgd</t>
  </si>
  <si>
    <t>Aug22_10-685_10.qgd</t>
  </si>
  <si>
    <t>Aug22_11-152_4.qgd</t>
  </si>
  <si>
    <t>QC_25ppb_18aug.qgd</t>
  </si>
  <si>
    <t>-----</t>
  </si>
  <si>
    <t>Terpinene</t>
  </si>
  <si>
    <t>Average</t>
  </si>
  <si>
    <t>%RSD</t>
  </si>
  <si>
    <t>Maximum</t>
  </si>
  <si>
    <t>Minimum</t>
  </si>
  <si>
    <t>Std. Dev.</t>
  </si>
  <si>
    <t>Heptanal</t>
  </si>
  <si>
    <t>Methyl hexanoate</t>
  </si>
  <si>
    <t>Limonene</t>
  </si>
  <si>
    <t>Octanal</t>
  </si>
  <si>
    <t>Methyl octanoate</t>
  </si>
  <si>
    <t>Curve</t>
  </si>
  <si>
    <t>type</t>
  </si>
  <si>
    <t>Quadratic</t>
  </si>
  <si>
    <t>Nonanal</t>
  </si>
  <si>
    <t>Methional</t>
  </si>
  <si>
    <t>Decanal</t>
  </si>
  <si>
    <t>min range</t>
  </si>
  <si>
    <t>max range</t>
  </si>
  <si>
    <t>Notes</t>
  </si>
  <si>
    <t>ISTD 6 is wrong</t>
  </si>
  <si>
    <t>E-2-nonal</t>
  </si>
  <si>
    <t>Phenylacetaldehyde</t>
  </si>
  <si>
    <t>Geranyl acetone</t>
  </si>
  <si>
    <t>beta-ionone</t>
  </si>
  <si>
    <t>Linear</t>
  </si>
  <si>
    <t>ocatnoic acid</t>
  </si>
  <si>
    <t>BITC</t>
  </si>
  <si>
    <t>ISTD 3</t>
  </si>
  <si>
    <t>Hexanal</t>
  </si>
  <si>
    <t>P-cymene</t>
  </si>
  <si>
    <t>terpinolene</t>
  </si>
  <si>
    <t>cis-Linalool oxide</t>
  </si>
  <si>
    <t>1.10448*(X) - 0.01367912</t>
  </si>
  <si>
    <t>pinene</t>
  </si>
  <si>
    <t>b</t>
  </si>
  <si>
    <t>b^2</t>
  </si>
  <si>
    <t>a</t>
  </si>
  <si>
    <t>c</t>
  </si>
  <si>
    <t>1.074682e-002X + 4.926787e-004</t>
  </si>
  <si>
    <t>Feb23_01-215_3.qgd</t>
  </si>
  <si>
    <t>Feb23_02-594_5.qgd</t>
  </si>
  <si>
    <t>Feb23_03-302_4.qgd</t>
  </si>
  <si>
    <t>Feb23_04-199_2.qgd</t>
  </si>
  <si>
    <t>Feb23_01-mon_13.qgd</t>
  </si>
  <si>
    <t>Feb23_02-mon_9.qgd</t>
  </si>
  <si>
    <t>Feb23_03-mon_8.qgd</t>
  </si>
  <si>
    <t>Feb23_04-711_11.qgd</t>
  </si>
  <si>
    <t>Feb23_05-754_6.qgd</t>
  </si>
  <si>
    <t>Feb23_05-934_12.qgd</t>
  </si>
  <si>
    <t>Feb23_06-137_7.qgd</t>
  </si>
  <si>
    <t>Feb23_06-467_2.qgd</t>
  </si>
  <si>
    <t>Feb23_06-mon_10.qgd</t>
  </si>
  <si>
    <t>Feb23_01-039_7.qgd</t>
  </si>
  <si>
    <t>Feb23_02-267_10.qgd</t>
  </si>
  <si>
    <t>Feb23_02-424_6.qgd</t>
  </si>
  <si>
    <t>Feb23_03-849_5.qgd</t>
  </si>
  <si>
    <t>Feb23_04-924_3.qgd</t>
  </si>
  <si>
    <t>Feb23_05-733_4.qgd</t>
  </si>
  <si>
    <t>Feb23_05-mon_8.qgd</t>
  </si>
  <si>
    <t>Feb23_06-982_9.qgd</t>
  </si>
  <si>
    <t>Feb23_01-618_11.qgd</t>
  </si>
  <si>
    <t>Feb23_03-699_13.qgd</t>
  </si>
  <si>
    <t>Feb23_04-mon_12.qgd</t>
  </si>
  <si>
    <t>QC_25ppb_1sep.qgd</t>
  </si>
  <si>
    <t>QC_25ppb_31aug.qgd</t>
  </si>
  <si>
    <t>quadratic</t>
  </si>
  <si>
    <t>satched</t>
  </si>
  <si>
    <t>n/a</t>
  </si>
  <si>
    <t>Saturated</t>
  </si>
  <si>
    <t>Feb23_Combined_2_3.qgd</t>
  </si>
  <si>
    <t>Feb23_Combined_1_2.qgd</t>
  </si>
  <si>
    <t>Feb23_R1-8_1.qgd</t>
  </si>
  <si>
    <t>low ISTD in samples</t>
  </si>
  <si>
    <t>linear</t>
  </si>
  <si>
    <t>1.103836X - 1.185955e-002</t>
  </si>
  <si>
    <t xml:space="preserve"> 29.77885X - 0.4168072</t>
  </si>
  <si>
    <t>4.63095X - 0.3455551</t>
  </si>
  <si>
    <t>3.963934X - 6.935779e-003</t>
  </si>
  <si>
    <t>0.2854669X + 1.265705e-002</t>
  </si>
  <si>
    <t>7.234658e-002X + 3.670689e-003</t>
  </si>
  <si>
    <t xml:space="preserve"> 6.883922X - 0.1542554</t>
  </si>
  <si>
    <t>linalool oxide</t>
  </si>
  <si>
    <t>calikurve</t>
  </si>
  <si>
    <t>linalool oxides</t>
  </si>
  <si>
    <t>cis1</t>
  </si>
  <si>
    <t>cis2</t>
  </si>
  <si>
    <t>trans1</t>
  </si>
  <si>
    <t>tans2</t>
  </si>
  <si>
    <t>conc</t>
  </si>
  <si>
    <t>IR1</t>
  </si>
  <si>
    <t>IR2</t>
  </si>
  <si>
    <t>cis1ratio</t>
  </si>
  <si>
    <t>cis2ratio</t>
  </si>
  <si>
    <t>trans1ratio</t>
  </si>
  <si>
    <t>tans2ratio</t>
  </si>
  <si>
    <t>cis_ave_ratio</t>
  </si>
  <si>
    <t>trans_ave-ratio</t>
  </si>
  <si>
    <t>cis_trans_sum</t>
  </si>
  <si>
    <t>cisandtrans</t>
  </si>
  <si>
    <t>cistrans</t>
  </si>
  <si>
    <t>cistransratio</t>
  </si>
  <si>
    <t>linaloolratio</t>
  </si>
  <si>
    <t>licaloolconc</t>
  </si>
  <si>
    <t>Linalool oxide</t>
  </si>
  <si>
    <t>neryl/geranyl</t>
  </si>
  <si>
    <t>neryl</t>
  </si>
  <si>
    <t>geranyl</t>
  </si>
  <si>
    <t>IR</t>
  </si>
  <si>
    <t>area ratio</t>
  </si>
  <si>
    <t>cal</t>
  </si>
  <si>
    <t>err</t>
  </si>
  <si>
    <t>Neryl/Geranyl acetone</t>
  </si>
  <si>
    <t>quadratic inverse</t>
  </si>
  <si>
    <t>=(-b+(SQRT(b2-(4*a*(c-(ratio))))))/(2*a)</t>
  </si>
  <si>
    <t>old conc</t>
  </si>
  <si>
    <t>b2</t>
  </si>
  <si>
    <t>calibration</t>
  </si>
  <si>
    <t>IR_area</t>
  </si>
  <si>
    <t>Cis_area</t>
  </si>
  <si>
    <t>Trans_area</t>
  </si>
  <si>
    <t>Cistrans_area_ratio</t>
  </si>
  <si>
    <t>high_split_06-467_7.qgd</t>
  </si>
  <si>
    <t>high_split_03-mon_6.qgd</t>
  </si>
  <si>
    <t>high_split_03-669_5.qgd</t>
  </si>
  <si>
    <t>high_split_01-039_4.qgd</t>
  </si>
  <si>
    <t>high_split_06-173_3.qgd</t>
  </si>
  <si>
    <t>high_split_02-424_2.qgd</t>
  </si>
  <si>
    <t>high_split_02-mon_replicate_1.qgd</t>
  </si>
  <si>
    <t>high_split_07-676_10.qgd</t>
  </si>
  <si>
    <t>high_split_06-982_9.qgd</t>
  </si>
  <si>
    <t>high_split_02-594_8.qgd</t>
  </si>
  <si>
    <t>high_split_02-mon_1repeat.qgd</t>
  </si>
  <si>
    <t>high_split_06-mon_6.qgd</t>
  </si>
  <si>
    <t>high_split_01-618_5.qgd</t>
  </si>
  <si>
    <t>high_split_03-413_4.qgd</t>
  </si>
  <si>
    <t>high_split_01-215_3.qgd</t>
  </si>
  <si>
    <t>high_split_02-267_2.qgd</t>
  </si>
  <si>
    <t>high_split_02-mon_1.qgd</t>
  </si>
  <si>
    <t>high_split_11-152_2.qgd</t>
  </si>
  <si>
    <t>high_split_05-575_1.qgd</t>
  </si>
  <si>
    <t>high_split_02-021_4.qgd</t>
  </si>
  <si>
    <t>high_split_05-572_3.qgd</t>
  </si>
  <si>
    <t>high_split_04-183_2.qgd</t>
  </si>
  <si>
    <t>high_split_06-918_1.qgd</t>
  </si>
  <si>
    <t>high_split_06-373_8.qgd</t>
  </si>
  <si>
    <t>high_split_05-344_7.qgd</t>
  </si>
  <si>
    <t>high_split_05-603_6.qgd</t>
  </si>
  <si>
    <t>high_split_03-755_5.qgd</t>
  </si>
  <si>
    <t>high_split_02-408_4.qgd</t>
  </si>
  <si>
    <t>high_split_08-587_3.qgd</t>
  </si>
  <si>
    <t>high_split_11-497_2.qgd</t>
  </si>
  <si>
    <t>high_split_04-570_2.qgd</t>
  </si>
  <si>
    <t>Aug_22_01-105_1.qgd</t>
  </si>
  <si>
    <t>Aug_22_03-504_3.qgd</t>
  </si>
  <si>
    <t>Aug_22_04-206_2.qgd</t>
  </si>
  <si>
    <t>Aug_22_04-960_6.qgd</t>
  </si>
  <si>
    <t>Aug_22_06-435_5.qgd</t>
  </si>
  <si>
    <t>Aug_22_08-040_7.qgd</t>
  </si>
  <si>
    <t>Aug_22_11-154_10.qgd</t>
  </si>
  <si>
    <t>Aug_22_11-887_4.qgd</t>
  </si>
  <si>
    <t>Aug_22_12-058_8.qgd</t>
  </si>
  <si>
    <t>Aug_22_12-659_9.qgd</t>
  </si>
  <si>
    <t>samples</t>
  </si>
  <si>
    <t>linaool</t>
  </si>
  <si>
    <t>linalool_area_ratio</t>
  </si>
  <si>
    <t>conc.ppm</t>
  </si>
  <si>
    <t>Cis_area_ratio</t>
  </si>
  <si>
    <t>trans_area_ratio</t>
  </si>
  <si>
    <t>cistransarearatio</t>
  </si>
  <si>
    <t>conc (1:30)</t>
  </si>
  <si>
    <t>conc (0.1:5)</t>
  </si>
  <si>
    <t>linalool conc. Ppm</t>
  </si>
  <si>
    <t>linalooloxide conc. Ppm</t>
  </si>
  <si>
    <t>linalool_oxide_ppb</t>
  </si>
  <si>
    <t>linalool_ppb</t>
  </si>
  <si>
    <t>06-467_7.qgd</t>
  </si>
  <si>
    <t>03-mon_6.qgd</t>
  </si>
  <si>
    <t>03-669_5.qgd</t>
  </si>
  <si>
    <t>01-039_4.qgd</t>
  </si>
  <si>
    <t>06-173_3.qgd</t>
  </si>
  <si>
    <t>02-424_2.qgd</t>
  </si>
  <si>
    <t>07-676_10.qgd</t>
  </si>
  <si>
    <t>06-982_9.qgd</t>
  </si>
  <si>
    <t>02-594_8.qgd</t>
  </si>
  <si>
    <t>06-mon_6.qgd</t>
  </si>
  <si>
    <t>01-618_5.qgd</t>
  </si>
  <si>
    <t>03-413_4.qgd</t>
  </si>
  <si>
    <t>01-215_3.qgd</t>
  </si>
  <si>
    <t>02-267_2.qgd</t>
  </si>
  <si>
    <t>02-mon_1.qgd</t>
  </si>
  <si>
    <t>11-152_2.qgd</t>
  </si>
  <si>
    <t>05-575_1.qgd</t>
  </si>
  <si>
    <t>02-021_4.qgd</t>
  </si>
  <si>
    <t>05-572_3.qgd</t>
  </si>
  <si>
    <t>04-183_2.qgd</t>
  </si>
  <si>
    <t>06-918_1.qgd</t>
  </si>
  <si>
    <t>06-373_8.qgd</t>
  </si>
  <si>
    <t>05-344_7.qgd</t>
  </si>
  <si>
    <t>05-603_6.qgd</t>
  </si>
  <si>
    <t>03-755_5.qgd</t>
  </si>
  <si>
    <t>02-408_4.qgd</t>
  </si>
  <si>
    <t>08-587_3.qgd</t>
  </si>
  <si>
    <t>11-497_2.qgd</t>
  </si>
  <si>
    <t>04-570_2.qgd</t>
  </si>
  <si>
    <t>01-105_1.qgd</t>
  </si>
  <si>
    <t>03-504_3.qgd</t>
  </si>
  <si>
    <t>04-206_2.qgd</t>
  </si>
  <si>
    <t>04-960_6.qgd</t>
  </si>
  <si>
    <t>06-435_5.qgd</t>
  </si>
  <si>
    <t>08-040_7.qgd</t>
  </si>
  <si>
    <t>11-154_10.qgd</t>
  </si>
  <si>
    <t>11-887_4.qgd</t>
  </si>
  <si>
    <t>12-058_8.qgd</t>
  </si>
  <si>
    <t>12-659_9.qgd</t>
  </si>
  <si>
    <t>01-105_2.qgd</t>
  </si>
  <si>
    <t>01-534_11.qgd</t>
  </si>
  <si>
    <t>01-776_7.qgd</t>
  </si>
  <si>
    <t>01-810_4.qgd</t>
  </si>
  <si>
    <t>02-021_3.qgd</t>
  </si>
  <si>
    <t>02-408_7.qgd</t>
  </si>
  <si>
    <t>02-654_17.qgd</t>
  </si>
  <si>
    <t>02-668_4.qgd</t>
  </si>
  <si>
    <t>03-413_3.qgd</t>
  </si>
  <si>
    <t>03-504_5.qgd</t>
  </si>
  <si>
    <t>03-717_4.qgd</t>
  </si>
  <si>
    <t>03-755_19.qgd</t>
  </si>
  <si>
    <t>04-183_6.qgd</t>
  </si>
  <si>
    <t>04-206_16.qgd</t>
  </si>
  <si>
    <t>04-570_10.qgd</t>
  </si>
  <si>
    <t>04-960_11.qgd</t>
  </si>
  <si>
    <t>05-344_12.qgd</t>
  </si>
  <si>
    <t>05-572_6.qgd</t>
  </si>
  <si>
    <t>05-575_7.qgd</t>
  </si>
  <si>
    <t>06-106_8.qgd</t>
  </si>
  <si>
    <t>06-373_18.qgd</t>
  </si>
  <si>
    <t>06-435_10.qgd</t>
  </si>
  <si>
    <t>06-918_11.qgd</t>
  </si>
  <si>
    <t>07-107_15.qgd</t>
  </si>
  <si>
    <t>07-121_8.qgd</t>
  </si>
  <si>
    <t>07-676_7.qgd</t>
  </si>
  <si>
    <t>07-787_13.qgd</t>
  </si>
  <si>
    <t>08-040_11.qgd</t>
  </si>
  <si>
    <t>08-269_5.qgd</t>
  </si>
  <si>
    <t>08-587_13.qgd</t>
  </si>
  <si>
    <t>09-1_3.qgd</t>
  </si>
  <si>
    <t>09-531_10.qgd</t>
  </si>
  <si>
    <t>09-719_2.qgd</t>
  </si>
  <si>
    <t>09-950_1.qgd</t>
  </si>
  <si>
    <t>10-142_14.qgd</t>
  </si>
  <si>
    <t>10-153_9.qgd</t>
  </si>
  <si>
    <t>10-685_10.qgd</t>
  </si>
  <si>
    <t>11-152_4.qgd</t>
  </si>
  <si>
    <t>11-154_9.qgd</t>
  </si>
  <si>
    <t>11-497_9.qgd</t>
  </si>
  <si>
    <t>11-887_12.qgd</t>
  </si>
  <si>
    <t>12-1_6.qgd</t>
  </si>
  <si>
    <t>12-654_3.qgd</t>
  </si>
  <si>
    <t>12-795_5.qgd</t>
  </si>
  <si>
    <t>Column1</t>
  </si>
  <si>
    <t>Column2</t>
  </si>
  <si>
    <t>sample</t>
  </si>
  <si>
    <t>02-594_5.qgd</t>
  </si>
  <si>
    <t>03-302_4.qgd</t>
  </si>
  <si>
    <t>04-199_2.qgd</t>
  </si>
  <si>
    <t>01-mon_13.qgd</t>
  </si>
  <si>
    <t>02-mon_9.qgd</t>
  </si>
  <si>
    <t>03-mon_8.qgd</t>
  </si>
  <si>
    <t>04-711_11.qgd</t>
  </si>
  <si>
    <t>05-754_6.qgd</t>
  </si>
  <si>
    <t>05-934_12.qgd</t>
  </si>
  <si>
    <t>06-137_7.qgd</t>
  </si>
  <si>
    <t>06-467_2.qgd</t>
  </si>
  <si>
    <t>06-mon_10.qgd</t>
  </si>
  <si>
    <t>01-039_7.qgd</t>
  </si>
  <si>
    <t>02-267_10.qgd</t>
  </si>
  <si>
    <t>02-424_6.qgd</t>
  </si>
  <si>
    <t>03-849_5.qgd</t>
  </si>
  <si>
    <t>04-924_3.qgd</t>
  </si>
  <si>
    <t>05-733_4.qgd</t>
  </si>
  <si>
    <t>05-mon_8.qgd</t>
  </si>
  <si>
    <t>01-618_11.qgd</t>
  </si>
  <si>
    <t>03-699_13.qgd</t>
  </si>
  <si>
    <t>04-mon_12.qgd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</si>
</sst>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#,##0.000"/>
    <numFmt numFmtId="167" formatCode="#,##0.0000"/>
    <numFmt numFmtId="168" formatCode="0.0000000"/>
    <numFmt numFmtId="169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167" fontId="0" fillId="2" borderId="0" xfId="0" applyNumberFormat="1" applyFill="1"/>
    <xf numFmtId="0" fontId="0" fillId="2" borderId="0" xfId="0" applyFill="1" applyAlignment="1">
      <alignment horizontal="center" wrapText="1"/>
    </xf>
    <xf numFmtId="167" fontId="0" fillId="3" borderId="0" xfId="0" applyNumberFormat="1" applyFill="1"/>
    <xf numFmtId="0" fontId="0" fillId="4" borderId="0" xfId="0" applyFill="1"/>
    <xf numFmtId="167" fontId="0" fillId="4" borderId="0" xfId="0" applyNumberFormat="1" applyFill="1"/>
    <xf numFmtId="0" fontId="0" fillId="4" borderId="0" xfId="0" applyFill="1" applyAlignment="1">
      <alignment wrapText="1"/>
    </xf>
    <xf numFmtId="11" fontId="0" fillId="4" borderId="0" xfId="0" applyNumberFormat="1" applyFill="1"/>
    <xf numFmtId="169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5" borderId="2" xfId="0" applyFont="1" applyFill="1" applyBorder="1"/>
    <xf numFmtId="0" fontId="0" fillId="0" borderId="2" xfId="0" applyFont="1" applyBorder="1"/>
    <xf numFmtId="0" fontId="0" fillId="0" borderId="0" xfId="0" applyFont="1"/>
  </cellXfs>
  <cellStyles count="1"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7" formatCode="#,##0.0000"/>
    </dxf>
    <dxf>
      <numFmt numFmtId="167" formatCode="#,##0.0000"/>
    </dxf>
    <dxf>
      <numFmt numFmtId="167" formatCode="#,##0.0000"/>
    </dxf>
    <dxf>
      <numFmt numFmtId="167" formatCode="#,##0.0000"/>
    </dxf>
    <dxf>
      <numFmt numFmtId="167" formatCode="#,##0.0000"/>
    </dxf>
    <dxf>
      <numFmt numFmtId="167" formatCode="#,##0.0000"/>
    </dxf>
    <dxf>
      <numFmt numFmtId="167" formatCode="#,##0.0000"/>
      <fill>
        <patternFill patternType="solid">
          <fgColor indexed="64"/>
          <bgColor theme="5" tint="0.599993896298104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67" formatCode="#,##0.0000"/>
      <fill>
        <patternFill patternType="solid">
          <fgColor indexed="64"/>
          <bgColor theme="0"/>
        </patternFill>
      </fill>
    </dxf>
    <dxf>
      <numFmt numFmtId="167" formatCode="#,##0.0000"/>
      <fill>
        <patternFill patternType="solid">
          <fgColor indexed="64"/>
          <bgColor theme="0"/>
        </patternFill>
      </fill>
    </dxf>
    <dxf>
      <numFmt numFmtId="167" formatCode="#,##0.0000"/>
      <fill>
        <patternFill patternType="solid">
          <fgColor indexed="64"/>
          <bgColor theme="0"/>
        </patternFill>
      </fill>
    </dxf>
    <dxf>
      <numFmt numFmtId="167" formatCode="#,##0.0000"/>
      <fill>
        <patternFill patternType="solid">
          <fgColor indexed="64"/>
          <bgColor theme="0"/>
        </patternFill>
      </fill>
    </dxf>
    <dxf>
      <numFmt numFmtId="167" formatCode="#,##0.0000"/>
      <fill>
        <patternFill patternType="solid">
          <fgColor indexed="64"/>
          <bgColor theme="0"/>
        </patternFill>
      </fill>
    </dxf>
    <dxf>
      <numFmt numFmtId="167" formatCode="#,##0.0000"/>
    </dxf>
    <dxf>
      <numFmt numFmtId="167" formatCode="#,##0.0000"/>
      <fill>
        <patternFill patternType="solid">
          <fgColor indexed="64"/>
          <bgColor theme="5" tint="0.79998168889431442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'FEB23-ISTD6'!$S$40:$S$49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250</c:v>
                </c:pt>
              </c:numCache>
            </c:numRef>
          </c:xVal>
          <c:yVal>
            <c:numRef>
              <c:f>'FEB23-ISTD6'!$T$40:$T$49</c:f>
              <c:numCache>
                <c:formatCode>General</c:formatCode>
                <c:ptCount val="10"/>
                <c:pt idx="0">
                  <c:v>7.8948449044730449E-3</c:v>
                </c:pt>
                <c:pt idx="1">
                  <c:v>8.8892230598182024E-3</c:v>
                </c:pt>
                <c:pt idx="2">
                  <c:v>1.5055028758205014E-2</c:v>
                </c:pt>
                <c:pt idx="3">
                  <c:v>4.0813114758430039E-2</c:v>
                </c:pt>
                <c:pt idx="4">
                  <c:v>7.870122724683315E-2</c:v>
                </c:pt>
                <c:pt idx="5">
                  <c:v>0.13117810188700099</c:v>
                </c:pt>
                <c:pt idx="6">
                  <c:v>0.40385422214801181</c:v>
                </c:pt>
                <c:pt idx="7">
                  <c:v>1.1723340436772007</c:v>
                </c:pt>
                <c:pt idx="8">
                  <c:v>3.1056051596278746</c:v>
                </c:pt>
                <c:pt idx="9">
                  <c:v>12.670505032964847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4174-8476-687FA9C4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20256"/>
        <c:axId val="1196804144"/>
      </c:scatterChart>
      <c:valAx>
        <c:axId val="12644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4144"/>
        <c:crosses val="autoZero"/>
        <c:crossBetween val="midCat"/>
      </c:valAx>
      <c:valAx>
        <c:axId val="1196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linalool_high_split!$G$9:$G$14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linalool_high_split!$F$9:$F$14</c:f>
              <c:numCache>
                <c:formatCode>General</c:formatCode>
                <c:ptCount val="6"/>
                <c:pt idx="0">
                  <c:v>0.56361159999999999</c:v>
                </c:pt>
                <c:pt idx="1">
                  <c:v>0.67706535000000001</c:v>
                </c:pt>
                <c:pt idx="2">
                  <c:v>1.0751252</c:v>
                </c:pt>
                <c:pt idx="3">
                  <c:v>1.6770037499999999</c:v>
                </c:pt>
                <c:pt idx="4">
                  <c:v>3.1691289999999999</c:v>
                </c:pt>
                <c:pt idx="5">
                  <c:v>4.5730564999999999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E-4D23-810F-6AB7C789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62000"/>
        <c:axId val="1778678432"/>
      </c:scatterChart>
      <c:valAx>
        <c:axId val="1714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78432"/>
        <c:crosses val="autoZero"/>
        <c:crossBetween val="midCat"/>
      </c:valAx>
      <c:valAx>
        <c:axId val="1778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linalool_high_split!$I$19:$I$24</c:f>
              <c:numCache>
                <c:formatCode>General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4">
                  <c:v>2.5</c:v>
                </c:pt>
                <c:pt idx="5">
                  <c:v>5</c:v>
                </c:pt>
              </c:numCache>
            </c:numRef>
          </c:xVal>
          <c:yVal>
            <c:numRef>
              <c:f>linalool_high_split!$H$19:$H$24</c:f>
              <c:numCache>
                <c:formatCode>General</c:formatCode>
                <c:ptCount val="6"/>
                <c:pt idx="0">
                  <c:v>4.5566399999999993E-2</c:v>
                </c:pt>
                <c:pt idx="1">
                  <c:v>6.2897999999999996E-2</c:v>
                </c:pt>
                <c:pt idx="2">
                  <c:v>0.12460300000000001</c:v>
                </c:pt>
                <c:pt idx="4">
                  <c:v>0.32100899999999999</c:v>
                </c:pt>
                <c:pt idx="5">
                  <c:v>0.56361159999999999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6-4F80-99BC-85C1427E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79904"/>
        <c:axId val="1896565120"/>
      </c:scatterChart>
      <c:valAx>
        <c:axId val="17740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65120"/>
        <c:crosses val="autoZero"/>
        <c:crossBetween val="midCat"/>
      </c:valAx>
      <c:valAx>
        <c:axId val="1896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'Feb23working-ISTD3'!$I$38:$I$48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250</c:v>
                </c:pt>
                <c:pt idx="10">
                  <c:v>500</c:v>
                </c:pt>
              </c:numCache>
            </c:numRef>
          </c:xVal>
          <c:yVal>
            <c:numRef>
              <c:f>'Feb23working-ISTD3'!$V$38:$V$48</c:f>
              <c:numCache>
                <c:formatCode>General</c:formatCode>
                <c:ptCount val="11"/>
                <c:pt idx="0">
                  <c:v>1.4750423649996518E-3</c:v>
                </c:pt>
                <c:pt idx="1">
                  <c:v>2.2540317221404886E-3</c:v>
                </c:pt>
                <c:pt idx="2">
                  <c:v>4.1202254035745487E-3</c:v>
                </c:pt>
                <c:pt idx="3">
                  <c:v>1.0746368620529488E-2</c:v>
                </c:pt>
                <c:pt idx="4">
                  <c:v>2.3080950783027802E-2</c:v>
                </c:pt>
                <c:pt idx="5">
                  <c:v>4.912017421099793E-2</c:v>
                </c:pt>
                <c:pt idx="6">
                  <c:v>0.16588849999999999</c:v>
                </c:pt>
                <c:pt idx="7">
                  <c:v>0.36170615</c:v>
                </c:pt>
                <c:pt idx="8">
                  <c:v>0.58230114999999993</c:v>
                </c:pt>
                <c:pt idx="9">
                  <c:v>1.3058031000000001</c:v>
                </c:pt>
                <c:pt idx="10">
                  <c:v>2.308157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0-4E3E-83EE-9336FA28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47599"/>
        <c:axId val="1848615167"/>
      </c:scatterChart>
      <c:valAx>
        <c:axId val="17515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15167"/>
        <c:crosses val="autoZero"/>
        <c:crossBetween val="midCat"/>
      </c:valAx>
      <c:valAx>
        <c:axId val="18486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62</xdr:row>
      <xdr:rowOff>185737</xdr:rowOff>
    </xdr:from>
    <xdr:to>
      <xdr:col>16</xdr:col>
      <xdr:colOff>419100</xdr:colOff>
      <xdr:row>82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3FF5C-1DF6-50AF-2716-5B5D779F1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33337</xdr:rowOff>
    </xdr:from>
    <xdr:to>
      <xdr:col>19</xdr:col>
      <xdr:colOff>542925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AD46F-30B0-4A1B-84CD-5EC7735E1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23</xdr:row>
      <xdr:rowOff>166687</xdr:rowOff>
    </xdr:from>
    <xdr:to>
      <xdr:col>18</xdr:col>
      <xdr:colOff>566737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064DF-86DC-4A76-AC2E-F929E206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48</xdr:row>
      <xdr:rowOff>128587</xdr:rowOff>
    </xdr:from>
    <xdr:to>
      <xdr:col>15</xdr:col>
      <xdr:colOff>952500</xdr:colOff>
      <xdr:row>63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7F1D6-FDCB-9304-604E-84BDDAE4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8B5939-7E74-C548-8AD9-0FD1FE8F9751}" name="Table3" displayName="Table3" ref="B1:M51" totalsRowShown="0" headerRowDxfId="14">
  <autoFilter ref="B1:M51" xr:uid="{CC8B5939-7E74-C548-8AD9-0FD1FE8F9751}"/>
  <sortState xmlns:xlrd2="http://schemas.microsoft.com/office/spreadsheetml/2017/richdata2" ref="B2:M51">
    <sortCondition descending="1" ref="B1:B51"/>
  </sortState>
  <tableColumns count="12">
    <tableColumn id="1" xr3:uid="{B03F0187-1BEC-C14C-9E85-19A1AB9C5F5D}" name="Column1"/>
    <tableColumn id="2" xr3:uid="{EE55729C-B645-E544-B155-CA349D536E14}" name="ISTD 3" dataDxfId="24"/>
    <tableColumn id="3" xr3:uid="{343A7969-2C9F-724C-9B4B-5944A5A1975B}" name="pinene" dataDxfId="23"/>
    <tableColumn id="4" xr3:uid="{164CB6C4-E157-9445-AA0D-0EF5EFE98F6A}" name="Hexanal" dataDxfId="22"/>
    <tableColumn id="5" xr3:uid="{450DA66F-D5CD-124E-A036-945BF75AF213}" name="P-cymene" dataDxfId="21"/>
    <tableColumn id="6" xr3:uid="{B0322497-D798-9649-9EE5-E74CC225E61B}" name="terpinolene" dataDxfId="20"/>
    <tableColumn id="7" xr3:uid="{782B2218-4FD9-DE4D-AF61-82D2BF63CD20}" name="6-Methyl-5-hepten-2-one" dataDxfId="19"/>
    <tableColumn id="8" xr3:uid="{116D3E03-28F1-E149-92FC-E6B971C0A8BE}" name="Linalool oxide"/>
    <tableColumn id="9" xr3:uid="{D07D0AB6-5738-C348-B616-B7E275DCD398}" name="Linalool" dataDxfId="18"/>
    <tableColumn id="10" xr3:uid="{F0048107-A2B1-EA40-B537-A88A178AB043}" name="beta-Cyclocitral" dataDxfId="17"/>
    <tableColumn id="11" xr3:uid="{A632604F-19C6-9641-AC61-54DCA3E92BFB}" name="methyl dodecanoate" dataDxfId="16"/>
    <tableColumn id="12" xr3:uid="{0964700B-4C53-9F41-BAF8-D0726BC4ACB8}" name="Nerylaceton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B57C9F-6E5A-BE4A-BB58-84C7DFEA8781}" name="Table4" displayName="Table4" ref="A1:Q27" totalsRowShown="0" headerRowDxfId="13">
  <autoFilter ref="A1:Q27" xr:uid="{61B57C9F-6E5A-BE4A-BB58-84C7DFEA8781}"/>
  <sortState xmlns:xlrd2="http://schemas.microsoft.com/office/spreadsheetml/2017/richdata2" ref="A2:Q27">
    <sortCondition ref="A1:A27"/>
  </sortState>
  <tableColumns count="17">
    <tableColumn id="1" xr3:uid="{BEB52A09-C7CE-9B4F-BCAF-91BE1CD9BE2F}" name="Column1"/>
    <tableColumn id="2" xr3:uid="{4944914D-FFBC-B64E-9960-C729EC3913BC}" name="trans-beta-ocimene"/>
    <tableColumn id="3" xr3:uid="{D27F3180-F15B-EA46-AD22-B491EA7BB8E4}" name="2-Octanone"/>
    <tableColumn id="4" xr3:uid="{591F184D-5E2A-7540-92C4-D9D1D092E6B6}" name="Octanal"/>
    <tableColumn id="5" xr3:uid="{F4C37588-07F4-EF4C-B17D-80387EE2516E}" name="Methyl octanoate"/>
    <tableColumn id="6" xr3:uid="{5A4E63F6-C754-B446-A872-3A86B0D6B0B3}" name="Nonanal"/>
    <tableColumn id="7" xr3:uid="{F83916F5-E7A3-BB48-86E8-ADB339A28D56}" name="Methional"/>
    <tableColumn id="8" xr3:uid="{1778E5D2-1879-394D-BC08-510B93D8B071}" name="Decanal"/>
    <tableColumn id="9" xr3:uid="{CABBA237-A523-7F43-BA8A-073D77E5ACA6}" name="Benzaldehyde"/>
    <tableColumn id="10" xr3:uid="{937D3372-03AF-CE44-9D48-6534B320100D}" name="E-2-nonal"/>
    <tableColumn id="11" xr3:uid="{E3AF430C-3002-D940-9791-DC389BD7E460}" name="Phenylacetaldehyde"/>
    <tableColumn id="12" xr3:uid="{35F6AB56-3BC7-014B-BBD8-F0CE43E80B6D}" name="Geraniol"/>
    <tableColumn id="13" xr3:uid="{55866FF7-96A7-A843-A625-09428A212A8C}" name="Neryl/Geranyl acetone"/>
    <tableColumn id="14" xr3:uid="{70FA3E56-79E9-8149-AD75-2968E809F9A2}" name="gamma-octalactone"/>
    <tableColumn id="15" xr3:uid="{BDFA047F-DA5D-A54A-9C41-128BB69C9E27}" name="beta-ionone"/>
    <tableColumn id="16" xr3:uid="{318E3D63-1335-A449-88D1-67F3CC9E075A}" name="ocatnoic acid"/>
    <tableColumn id="17" xr3:uid="{AA12F860-5046-F140-8CDB-DBF64C6681E2}" name="BIT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EE16CF-F5C4-F44C-9C4F-E1945A9393B6}" name="Table5" displayName="Table5" ref="A1:E27" totalsRowShown="0" headerRowDxfId="11">
  <autoFilter ref="A1:E27" xr:uid="{F7EE16CF-F5C4-F44C-9C4F-E1945A9393B6}"/>
  <sortState xmlns:xlrd2="http://schemas.microsoft.com/office/spreadsheetml/2017/richdata2" ref="A2:E27">
    <sortCondition ref="A1:A27"/>
  </sortState>
  <tableColumns count="5">
    <tableColumn id="1" xr3:uid="{71B9FCB2-0489-CC46-9CA9-A286AD2B92AB}" name="Column1"/>
    <tableColumn id="2" xr3:uid="{0413390C-B6E7-4344-877E-075B76163FA7}" name="Terpinene" dataDxfId="12"/>
    <tableColumn id="3" xr3:uid="{C62A6D86-C333-D740-B25B-362FE86F5F6C}" name="Heptanal"/>
    <tableColumn id="4" xr3:uid="{D26EEF5A-556F-3940-8C76-528D7C30C335}" name="Methyl hexanoate"/>
    <tableColumn id="5" xr3:uid="{A83A8EAB-FFE0-5C45-8AF0-F891D3495514}" name="Limone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486B98-2E8E-BE47-96AC-8E9BEE0FD437}" name="Table6" displayName="Table6" ref="A1:L27" totalsRowShown="0" headerRowDxfId="0">
  <autoFilter ref="A1:L27" xr:uid="{23486B98-2E8E-BE47-96AC-8E9BEE0FD437}"/>
  <sortState xmlns:xlrd2="http://schemas.microsoft.com/office/spreadsheetml/2017/richdata2" ref="A2:L27">
    <sortCondition ref="A1:A27"/>
  </sortState>
  <tableColumns count="12">
    <tableColumn id="1" xr3:uid="{CAC83A2C-F5C2-EA4C-A137-02E2C420A6D7}" name="Column1"/>
    <tableColumn id="2" xr3:uid="{FEFC294E-8194-AA44-AB5D-F584A2C57050}" name="ISTD 3" dataDxfId="10"/>
    <tableColumn id="3" xr3:uid="{12062D2F-A8E4-CE49-9BCB-3D30ED569460}" name="pinene" dataDxfId="9"/>
    <tableColumn id="4" xr3:uid="{1275FD29-16AB-F049-9045-EC4B9F62D185}" name="Hexanal" dataDxfId="8"/>
    <tableColumn id="5" xr3:uid="{A05065CE-995B-0940-B9B3-AD5FEE60B26E}" name="P-cymene" dataDxfId="7"/>
    <tableColumn id="6" xr3:uid="{1C27605D-E7CF-864A-892D-2FD3D70B0E83}" name="terpinolene" dataDxfId="6"/>
    <tableColumn id="7" xr3:uid="{FE3BD6E9-6B99-774A-BBA3-36629EB8187E}" name="6-Methyl-5-hepten-2-one" dataDxfId="5"/>
    <tableColumn id="8" xr3:uid="{E01E3BB3-5DA4-A242-B6DA-DD0BFD97FCFA}" name="Linalool oxide" dataDxfId="4"/>
    <tableColumn id="9" xr3:uid="{7E05E488-9E38-4C42-9051-F7D8318C11BA}" name="Linalool"/>
    <tableColumn id="10" xr3:uid="{7F73536B-43B6-3441-90B1-24B203025CD0}" name="beta-Cyclocitral" dataDxfId="3"/>
    <tableColumn id="11" xr3:uid="{C67601BF-A633-BD40-89C0-F4F821622785}" name="methyl dodecanoate" dataDxfId="2"/>
    <tableColumn id="12" xr3:uid="{7C3981FF-67C8-AE4E-9C0D-788A8BD02306}" name="Nerylaceton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F5E1AC-B321-644C-994C-08B4FCFA2310}" name="Table7" displayName="Table7" ref="G3:H32" totalsRowShown="0">
  <autoFilter ref="G3:H32" xr:uid="{18F5E1AC-B321-644C-994C-08B4FCFA2310}"/>
  <sortState xmlns:xlrd2="http://schemas.microsoft.com/office/spreadsheetml/2017/richdata2" ref="G4:H32">
    <sortCondition ref="G3:G32"/>
  </sortState>
  <tableColumns count="2">
    <tableColumn id="1" xr3:uid="{CE9199D8-BE1B-234E-9478-DF4080ABA65D}" name="Column1"/>
    <tableColumn id="2" xr3:uid="{E3552304-D681-EE4E-A18F-69386B58141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E322-0F51-4A10-A214-3F6C15A8F4A3}">
  <dimension ref="A1:G27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28.83203125" bestFit="1" customWidth="1"/>
    <col min="2" max="7" width="15" bestFit="1" customWidth="1"/>
  </cols>
  <sheetData>
    <row r="1" spans="1:7" x14ac:dyDescent="0.2">
      <c r="A1" s="1"/>
      <c r="B1" s="29" t="s">
        <v>26</v>
      </c>
      <c r="C1" s="29"/>
      <c r="D1" s="29"/>
      <c r="E1" s="29"/>
      <c r="F1" s="29"/>
      <c r="G1" s="29"/>
    </row>
    <row r="2" spans="1:7" x14ac:dyDescent="0.2">
      <c r="A2" s="1" t="s">
        <v>25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</row>
    <row r="3" spans="1:7" x14ac:dyDescent="0.2">
      <c r="A3" s="2" t="s">
        <v>0</v>
      </c>
      <c r="B3" s="4">
        <v>25383</v>
      </c>
      <c r="C3" s="4">
        <v>19346</v>
      </c>
      <c r="D3" s="4">
        <v>5564</v>
      </c>
      <c r="E3" s="4">
        <v>20872</v>
      </c>
      <c r="F3" s="4">
        <v>39127</v>
      </c>
      <c r="G3" s="4">
        <v>11846</v>
      </c>
    </row>
    <row r="4" spans="1:7" x14ac:dyDescent="0.2">
      <c r="A4" s="2" t="s">
        <v>1</v>
      </c>
      <c r="B4" s="4">
        <v>4585</v>
      </c>
      <c r="C4" s="4">
        <v>7112</v>
      </c>
      <c r="D4" s="4">
        <v>5774</v>
      </c>
      <c r="E4" s="4">
        <v>7607</v>
      </c>
      <c r="F4" s="4">
        <v>6725</v>
      </c>
      <c r="G4" s="4">
        <v>7290</v>
      </c>
    </row>
    <row r="5" spans="1:7" x14ac:dyDescent="0.2">
      <c r="A5" s="2" t="s">
        <v>2</v>
      </c>
      <c r="B5" s="4">
        <v>0</v>
      </c>
      <c r="C5" s="4">
        <v>0</v>
      </c>
      <c r="D5" s="4">
        <v>1200</v>
      </c>
      <c r="E5" s="4">
        <v>0</v>
      </c>
      <c r="F5" s="4">
        <v>3988</v>
      </c>
      <c r="G5" s="4">
        <v>2095</v>
      </c>
    </row>
    <row r="6" spans="1:7" x14ac:dyDescent="0.2">
      <c r="A6" s="2" t="s">
        <v>3</v>
      </c>
      <c r="B6" s="4">
        <v>518644</v>
      </c>
      <c r="C6" s="4">
        <v>570977</v>
      </c>
      <c r="D6" s="4">
        <v>346748</v>
      </c>
      <c r="E6" s="4">
        <v>540937</v>
      </c>
      <c r="F6" s="4">
        <v>527209</v>
      </c>
      <c r="G6" s="4">
        <v>415848</v>
      </c>
    </row>
    <row r="7" spans="1:7" x14ac:dyDescent="0.2">
      <c r="A7" s="2" t="s">
        <v>4</v>
      </c>
      <c r="B7" s="4">
        <v>0</v>
      </c>
      <c r="C7" s="4">
        <v>0</v>
      </c>
      <c r="D7" s="4">
        <v>1268</v>
      </c>
      <c r="E7" s="4">
        <v>2039</v>
      </c>
      <c r="F7" s="4">
        <v>4269</v>
      </c>
      <c r="G7" s="4">
        <v>4536</v>
      </c>
    </row>
    <row r="8" spans="1:7" x14ac:dyDescent="0.2">
      <c r="A8" s="2" t="s">
        <v>5</v>
      </c>
      <c r="B8" s="4">
        <v>7370</v>
      </c>
      <c r="C8" s="4">
        <v>10467</v>
      </c>
      <c r="D8" s="4">
        <v>11184</v>
      </c>
      <c r="E8" s="4">
        <v>20893</v>
      </c>
      <c r="F8" s="4">
        <v>14268</v>
      </c>
      <c r="G8" s="4">
        <v>8209</v>
      </c>
    </row>
    <row r="9" spans="1:7" x14ac:dyDescent="0.2">
      <c r="A9" s="2" t="s">
        <v>6</v>
      </c>
      <c r="B9" s="4">
        <v>50549</v>
      </c>
      <c r="C9" s="4">
        <v>13959</v>
      </c>
      <c r="D9" s="4">
        <v>516860</v>
      </c>
      <c r="E9" s="4">
        <v>98328</v>
      </c>
      <c r="F9" s="4">
        <v>101522</v>
      </c>
      <c r="G9" s="4">
        <v>71950</v>
      </c>
    </row>
    <row r="10" spans="1:7" x14ac:dyDescent="0.2">
      <c r="A10" s="2" t="s">
        <v>7</v>
      </c>
      <c r="B10" s="4">
        <v>0</v>
      </c>
      <c r="C10" s="4">
        <v>1531</v>
      </c>
      <c r="D10" s="4">
        <v>0</v>
      </c>
      <c r="E10" s="4">
        <v>0</v>
      </c>
      <c r="F10" s="4">
        <v>2728</v>
      </c>
      <c r="G10" s="4">
        <v>2923</v>
      </c>
    </row>
    <row r="11" spans="1:7" x14ac:dyDescent="0.2">
      <c r="A11" s="2" t="s">
        <v>8</v>
      </c>
      <c r="B11" s="4">
        <v>27111</v>
      </c>
      <c r="C11" s="4">
        <v>26027</v>
      </c>
      <c r="D11" s="4">
        <v>40268</v>
      </c>
      <c r="E11" s="4">
        <v>24849</v>
      </c>
      <c r="F11" s="4">
        <v>17301</v>
      </c>
      <c r="G11" s="4">
        <v>8016</v>
      </c>
    </row>
    <row r="12" spans="1:7" x14ac:dyDescent="0.2">
      <c r="A12" s="2" t="s">
        <v>9</v>
      </c>
      <c r="B12" s="4">
        <v>1188705</v>
      </c>
      <c r="C12" s="4">
        <v>1424319</v>
      </c>
      <c r="D12" s="4">
        <v>2307488</v>
      </c>
      <c r="E12" s="4">
        <v>3451643</v>
      </c>
      <c r="F12" s="4">
        <v>4596850</v>
      </c>
      <c r="G12" s="4">
        <v>5390699</v>
      </c>
    </row>
    <row r="13" spans="1:7" x14ac:dyDescent="0.2">
      <c r="A13" s="2" t="s">
        <v>10</v>
      </c>
      <c r="B13" s="4">
        <v>2108</v>
      </c>
      <c r="C13" s="4">
        <v>15324</v>
      </c>
      <c r="D13" s="4">
        <v>2860</v>
      </c>
      <c r="E13" s="4">
        <v>0</v>
      </c>
      <c r="F13" s="4">
        <v>0</v>
      </c>
      <c r="G13" s="4">
        <v>16783</v>
      </c>
    </row>
    <row r="14" spans="1:7" x14ac:dyDescent="0.2">
      <c r="A14" s="2" t="s">
        <v>11</v>
      </c>
      <c r="B14" s="4">
        <v>119458</v>
      </c>
      <c r="C14" s="4">
        <v>102671</v>
      </c>
      <c r="D14" s="4">
        <v>342871</v>
      </c>
      <c r="E14" s="4">
        <v>147355</v>
      </c>
      <c r="F14" s="4">
        <v>189044</v>
      </c>
      <c r="G14" s="4">
        <v>177528</v>
      </c>
    </row>
    <row r="15" spans="1:7" x14ac:dyDescent="0.2">
      <c r="A15" s="2" t="s">
        <v>12</v>
      </c>
      <c r="B15" s="4">
        <v>188522</v>
      </c>
      <c r="C15" s="4">
        <v>312944</v>
      </c>
      <c r="D15" s="4">
        <v>737833</v>
      </c>
      <c r="E15" s="4">
        <v>2170704</v>
      </c>
      <c r="F15" s="4">
        <v>3746676</v>
      </c>
      <c r="G15" s="4">
        <v>4915604</v>
      </c>
    </row>
    <row r="16" spans="1:7" x14ac:dyDescent="0.2">
      <c r="A16" s="2" t="s">
        <v>13</v>
      </c>
      <c r="B16" s="4">
        <v>40555</v>
      </c>
      <c r="C16" s="4">
        <v>66672</v>
      </c>
      <c r="D16" s="4">
        <v>194719</v>
      </c>
      <c r="E16" s="4">
        <v>574804</v>
      </c>
      <c r="F16" s="4">
        <v>1041781</v>
      </c>
      <c r="G16" s="4">
        <v>1404205</v>
      </c>
    </row>
    <row r="17" spans="1:7" x14ac:dyDescent="0.2">
      <c r="A17" s="2" t="s">
        <v>14</v>
      </c>
      <c r="B17" s="4">
        <v>4050</v>
      </c>
      <c r="C17" s="4">
        <v>1362</v>
      </c>
      <c r="D17" s="4">
        <v>20642</v>
      </c>
      <c r="E17" s="4">
        <v>4000</v>
      </c>
      <c r="F17" s="4">
        <v>4884</v>
      </c>
      <c r="G17" s="4">
        <v>5416</v>
      </c>
    </row>
    <row r="18" spans="1:7" x14ac:dyDescent="0.2">
      <c r="A18" s="2" t="s">
        <v>15</v>
      </c>
      <c r="B18" s="4">
        <v>68327</v>
      </c>
      <c r="C18" s="4">
        <v>57473</v>
      </c>
      <c r="D18" s="4">
        <v>1733882</v>
      </c>
      <c r="E18" s="4">
        <v>72179</v>
      </c>
      <c r="F18" s="4">
        <v>112747</v>
      </c>
      <c r="G18" s="4">
        <v>133484</v>
      </c>
    </row>
    <row r="19" spans="1:7" x14ac:dyDescent="0.2">
      <c r="A19" s="2" t="s">
        <v>16</v>
      </c>
      <c r="B19" s="4">
        <v>2219</v>
      </c>
      <c r="C19" s="4">
        <v>2342</v>
      </c>
      <c r="D19" s="4">
        <v>2870</v>
      </c>
      <c r="E19" s="4">
        <v>1111</v>
      </c>
      <c r="F19" s="4">
        <v>1229</v>
      </c>
      <c r="G19" s="4">
        <v>0</v>
      </c>
    </row>
    <row r="20" spans="1:7" x14ac:dyDescent="0.2">
      <c r="A20" s="2" t="s">
        <v>17</v>
      </c>
      <c r="B20" s="4">
        <v>61745</v>
      </c>
      <c r="C20" s="4">
        <v>76560</v>
      </c>
      <c r="D20" s="4">
        <v>42012</v>
      </c>
      <c r="E20" s="4">
        <v>45377</v>
      </c>
      <c r="F20" s="4">
        <v>40628</v>
      </c>
      <c r="G20" s="4">
        <v>36681</v>
      </c>
    </row>
    <row r="21" spans="1:7" x14ac:dyDescent="0.2">
      <c r="A21" s="2" t="s">
        <v>18</v>
      </c>
      <c r="B21" s="4">
        <v>11190</v>
      </c>
      <c r="C21" s="4">
        <v>15468</v>
      </c>
      <c r="D21" s="4">
        <v>28703</v>
      </c>
      <c r="E21" s="4">
        <v>41229</v>
      </c>
      <c r="F21" s="4">
        <v>53028</v>
      </c>
      <c r="G21" s="4">
        <v>68423</v>
      </c>
    </row>
    <row r="22" spans="1:7" x14ac:dyDescent="0.2">
      <c r="A22" s="2" t="s">
        <v>19</v>
      </c>
      <c r="B22" s="4">
        <v>4882</v>
      </c>
      <c r="C22" s="4">
        <v>1507</v>
      </c>
      <c r="D22" s="4">
        <v>97853</v>
      </c>
      <c r="E22" s="4">
        <v>1050</v>
      </c>
      <c r="F22" s="4">
        <v>1077</v>
      </c>
      <c r="G22" s="4">
        <v>1192</v>
      </c>
    </row>
    <row r="23" spans="1:7" x14ac:dyDescent="0.2">
      <c r="A23" s="2" t="s">
        <v>20</v>
      </c>
      <c r="B23" s="4">
        <v>1767</v>
      </c>
      <c r="C23" s="4">
        <v>2027</v>
      </c>
      <c r="D23" s="4">
        <v>9826</v>
      </c>
      <c r="E23" s="4">
        <v>2178</v>
      </c>
      <c r="F23" s="4">
        <v>2012</v>
      </c>
      <c r="G23" s="4">
        <v>1712</v>
      </c>
    </row>
    <row r="24" spans="1:7" x14ac:dyDescent="0.2">
      <c r="A24" s="2" t="s">
        <v>21</v>
      </c>
      <c r="B24" s="4">
        <v>57983</v>
      </c>
      <c r="C24" s="4">
        <v>86557</v>
      </c>
      <c r="D24" s="4">
        <v>280120</v>
      </c>
      <c r="E24" s="4">
        <v>302560</v>
      </c>
      <c r="F24" s="4">
        <v>352764</v>
      </c>
      <c r="G24" s="4">
        <v>474287</v>
      </c>
    </row>
    <row r="25" spans="1:7" x14ac:dyDescent="0.2">
      <c r="A25" s="2" t="s">
        <v>22</v>
      </c>
      <c r="B25" s="4">
        <v>1207</v>
      </c>
      <c r="C25" s="4">
        <v>1426</v>
      </c>
      <c r="D25" s="4">
        <v>16391</v>
      </c>
      <c r="E25" s="4">
        <v>1825</v>
      </c>
      <c r="F25" s="4">
        <v>2250</v>
      </c>
      <c r="G25" s="4">
        <v>3110</v>
      </c>
    </row>
    <row r="26" spans="1:7" x14ac:dyDescent="0.2">
      <c r="A26" s="2" t="s">
        <v>23</v>
      </c>
      <c r="B26" s="4">
        <v>10269</v>
      </c>
      <c r="C26" s="4">
        <v>15827</v>
      </c>
      <c r="D26" s="4">
        <v>55364</v>
      </c>
      <c r="E26" s="4">
        <v>51017</v>
      </c>
      <c r="F26" s="4">
        <v>68634</v>
      </c>
      <c r="G26" s="4">
        <v>93029</v>
      </c>
    </row>
    <row r="27" spans="1:7" x14ac:dyDescent="0.2">
      <c r="A27" s="2" t="s">
        <v>24</v>
      </c>
      <c r="B27" s="4">
        <v>2260</v>
      </c>
      <c r="C27" s="4">
        <v>2479</v>
      </c>
      <c r="D27" s="4">
        <v>153770</v>
      </c>
      <c r="E27" s="4">
        <v>2218</v>
      </c>
      <c r="F27" s="4">
        <v>6465</v>
      </c>
      <c r="G27" s="4">
        <v>2986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0214-0AD4-4809-A9E8-21ECFC7AF799}">
  <dimension ref="A1:P35"/>
  <sheetViews>
    <sheetView zoomScale="85" workbookViewId="0">
      <selection activeCell="D2" sqref="D2:J25"/>
    </sheetView>
  </sheetViews>
  <sheetFormatPr baseColWidth="10" defaultColWidth="8.83203125" defaultRowHeight="15" x14ac:dyDescent="0.2"/>
  <cols>
    <col min="1" max="1" width="18.5" customWidth="1"/>
    <col min="3" max="3" width="13.1640625" customWidth="1"/>
    <col min="4" max="4" width="10" customWidth="1"/>
    <col min="5" max="5" width="11" customWidth="1"/>
    <col min="6" max="6" width="12.33203125" customWidth="1"/>
    <col min="7" max="7" width="23.1640625" customWidth="1"/>
    <col min="8" max="8" width="13.6640625" customWidth="1"/>
    <col min="9" max="9" width="10.6640625" customWidth="1"/>
    <col min="10" max="10" width="14.83203125" customWidth="1"/>
    <col min="11" max="11" width="18.83203125" customWidth="1"/>
    <col min="12" max="12" width="13.5" customWidth="1"/>
    <col min="14" max="14" width="15" customWidth="1"/>
  </cols>
  <sheetData>
    <row r="1" spans="1:16" ht="48" x14ac:dyDescent="0.2">
      <c r="A1" s="7" t="s">
        <v>367</v>
      </c>
      <c r="B1" s="7" t="s">
        <v>136</v>
      </c>
      <c r="C1" s="20" t="s">
        <v>142</v>
      </c>
      <c r="D1" t="s">
        <v>137</v>
      </c>
      <c r="E1" s="7" t="s">
        <v>138</v>
      </c>
      <c r="F1" s="7" t="s">
        <v>139</v>
      </c>
      <c r="G1" s="7" t="s">
        <v>9</v>
      </c>
      <c r="H1" s="7" t="s">
        <v>212</v>
      </c>
      <c r="I1" s="7" t="s">
        <v>17</v>
      </c>
      <c r="J1" s="7" t="s">
        <v>18</v>
      </c>
      <c r="K1" s="22" t="s">
        <v>45</v>
      </c>
      <c r="L1" s="22" t="s">
        <v>46</v>
      </c>
      <c r="N1" t="s">
        <v>271</v>
      </c>
      <c r="O1" t="s">
        <v>282</v>
      </c>
      <c r="P1" t="s">
        <v>283</v>
      </c>
    </row>
    <row r="2" spans="1:16" x14ac:dyDescent="0.2">
      <c r="A2" t="s">
        <v>382</v>
      </c>
      <c r="B2" s="7">
        <v>122.29</v>
      </c>
      <c r="C2" s="21">
        <v>-5.6062796126250527</v>
      </c>
      <c r="D2" s="12">
        <v>12.081919269751147</v>
      </c>
      <c r="E2" s="12">
        <v>0.66020789320515039</v>
      </c>
      <c r="F2" s="12">
        <v>2.3123223675856366</v>
      </c>
      <c r="G2" s="12">
        <v>72.011435696153001</v>
      </c>
      <c r="H2">
        <v>4646.1226738961259</v>
      </c>
      <c r="I2">
        <v>9.9999999999999995E-7</v>
      </c>
      <c r="J2" s="12">
        <v>1.1676952486199157</v>
      </c>
      <c r="K2" s="20" t="e">
        <v>#DIV/0!</v>
      </c>
      <c r="L2" s="20">
        <v>0.56287224916366363</v>
      </c>
      <c r="N2" t="s">
        <v>284</v>
      </c>
    </row>
    <row r="3" spans="1:16" x14ac:dyDescent="0.2">
      <c r="A3" t="s">
        <v>296</v>
      </c>
      <c r="B3" s="7">
        <v>122.29</v>
      </c>
      <c r="C3" s="21">
        <v>-5.6062796149469074</v>
      </c>
      <c r="D3" s="12">
        <v>8.581647956035118</v>
      </c>
      <c r="E3" s="12">
        <v>0.34432107195580541</v>
      </c>
      <c r="F3" s="12">
        <v>2.3123223675711904</v>
      </c>
      <c r="G3" s="12">
        <v>43.033395230470077</v>
      </c>
      <c r="H3">
        <v>13668.994067926384</v>
      </c>
      <c r="I3">
        <v>9.9999999999999995E-7</v>
      </c>
      <c r="J3" s="12">
        <v>0.83837711794356129</v>
      </c>
      <c r="K3" s="20" t="e">
        <v>#DIV/0!</v>
      </c>
      <c r="L3" s="23">
        <v>0.56287224910302314</v>
      </c>
      <c r="N3" t="s">
        <v>285</v>
      </c>
    </row>
    <row r="4" spans="1:16" x14ac:dyDescent="0.2">
      <c r="A4" t="s">
        <v>389</v>
      </c>
      <c r="B4" s="7">
        <v>122.29</v>
      </c>
      <c r="C4" s="21">
        <v>-5.6062795987752398</v>
      </c>
      <c r="D4" s="12">
        <v>11.12931650027183</v>
      </c>
      <c r="E4" s="12">
        <v>0.78298115583202965</v>
      </c>
      <c r="F4" s="12">
        <v>2.3123223676718072</v>
      </c>
      <c r="G4" s="12">
        <v>82.294945929296873</v>
      </c>
      <c r="H4">
        <v>15566.037188100971</v>
      </c>
      <c r="I4">
        <v>9.9999999999999995E-7</v>
      </c>
      <c r="J4" s="12">
        <v>1.9900007033787823</v>
      </c>
      <c r="K4" s="20" t="e">
        <v>#DIV/0!</v>
      </c>
      <c r="L4" s="20">
        <v>0.56287224952542081</v>
      </c>
      <c r="N4" t="s">
        <v>286</v>
      </c>
    </row>
    <row r="5" spans="1:16" x14ac:dyDescent="0.2">
      <c r="A5" t="s">
        <v>373</v>
      </c>
      <c r="B5" s="7">
        <v>122.29</v>
      </c>
      <c r="C5" s="21">
        <v>-5.6062796021644488</v>
      </c>
      <c r="D5" s="12">
        <v>24.483653825740053</v>
      </c>
      <c r="E5" s="12">
        <v>0.50268585911612718</v>
      </c>
      <c r="F5" s="12">
        <v>2.3123223676507205</v>
      </c>
      <c r="G5" s="12">
        <v>125.62821102111729</v>
      </c>
      <c r="H5" s="12">
        <v>707.03469614439052</v>
      </c>
      <c r="I5">
        <v>9.9999999999999995E-7</v>
      </c>
      <c r="J5" s="12">
        <v>1.7609627514231978</v>
      </c>
      <c r="K5" s="20" t="e">
        <v>#DIV/0!</v>
      </c>
      <c r="L5" s="20">
        <v>0.56287224943689407</v>
      </c>
      <c r="N5" t="s">
        <v>287</v>
      </c>
      <c r="P5">
        <v>-356.27530364372467</v>
      </c>
    </row>
    <row r="6" spans="1:16" x14ac:dyDescent="0.2">
      <c r="A6" t="s">
        <v>383</v>
      </c>
      <c r="B6" s="7">
        <v>122.29</v>
      </c>
      <c r="C6" s="21">
        <v>-5.606279574041066</v>
      </c>
      <c r="D6" s="12">
        <v>18.3763649848574</v>
      </c>
      <c r="E6" s="12">
        <v>0.67310427045314891</v>
      </c>
      <c r="F6" s="12">
        <v>27.3817631124301</v>
      </c>
      <c r="G6" s="12">
        <v>83.438121506623503</v>
      </c>
      <c r="H6">
        <v>25410.410922787931</v>
      </c>
      <c r="I6">
        <v>12414.490745217823</v>
      </c>
      <c r="J6" s="12">
        <v>5.3861347099364894</v>
      </c>
      <c r="K6" s="20" t="e">
        <v>#DIV/0!</v>
      </c>
      <c r="L6" s="20">
        <v>0.56287225017146914</v>
      </c>
      <c r="N6" t="s">
        <v>288</v>
      </c>
    </row>
    <row r="7" spans="1:16" x14ac:dyDescent="0.2">
      <c r="A7" t="s">
        <v>384</v>
      </c>
      <c r="B7" s="7">
        <v>122.29</v>
      </c>
      <c r="C7" s="21">
        <v>70.163653075911228</v>
      </c>
      <c r="D7" s="12">
        <v>6.4313094249957565</v>
      </c>
      <c r="E7" s="12">
        <v>2.7149439659857237</v>
      </c>
      <c r="F7" s="12">
        <v>20.222179597581437</v>
      </c>
      <c r="G7" s="12">
        <v>52.337378215206563</v>
      </c>
      <c r="H7">
        <v>22960.945814435938</v>
      </c>
      <c r="I7">
        <v>1205.7755215026395</v>
      </c>
      <c r="J7" s="12">
        <v>2.6240443323496323</v>
      </c>
      <c r="K7" s="20" t="e">
        <v>#DIV/0!</v>
      </c>
      <c r="L7" s="20">
        <v>0.71133744598117354</v>
      </c>
      <c r="N7" t="s">
        <v>289</v>
      </c>
    </row>
    <row r="8" spans="1:16" x14ac:dyDescent="0.2">
      <c r="A8" t="s">
        <v>370</v>
      </c>
      <c r="B8" s="7">
        <v>122.29</v>
      </c>
      <c r="C8" s="21">
        <v>33.759831903899475</v>
      </c>
      <c r="D8" s="12">
        <v>10.246234479526548</v>
      </c>
      <c r="E8" s="12">
        <v>0.40713200625501011</v>
      </c>
      <c r="F8" s="12">
        <v>2.4120364309996614</v>
      </c>
      <c r="G8" s="12">
        <v>58.377499016674129</v>
      </c>
      <c r="H8">
        <v>3513.6379701637125</v>
      </c>
      <c r="I8">
        <v>9.9999999999999995E-7</v>
      </c>
      <c r="J8" s="12">
        <v>1.0744896474198491</v>
      </c>
      <c r="K8" s="20" t="e">
        <v>#DIV/0!</v>
      </c>
      <c r="L8" s="20">
        <v>0.75120292856891369</v>
      </c>
    </row>
    <row r="9" spans="1:16" x14ac:dyDescent="0.2">
      <c r="A9" t="s">
        <v>374</v>
      </c>
      <c r="B9" s="7">
        <v>122.29</v>
      </c>
      <c r="C9" s="21">
        <v>24.383848508805883</v>
      </c>
      <c r="D9" s="12">
        <v>10.116897498914133</v>
      </c>
      <c r="E9" s="12">
        <v>0.99215630795053122</v>
      </c>
      <c r="F9" s="12">
        <v>3.8049376693684351</v>
      </c>
      <c r="G9" s="12">
        <v>82.850999472107247</v>
      </c>
      <c r="H9">
        <v>19105.123288634099</v>
      </c>
      <c r="I9">
        <v>6.4997007572545691</v>
      </c>
      <c r="J9" s="12">
        <v>2.0663235111805975</v>
      </c>
      <c r="K9" s="20" t="e">
        <v>#DIV/0!</v>
      </c>
      <c r="L9" s="20">
        <v>0.56287224967547078</v>
      </c>
      <c r="N9" t="s">
        <v>291</v>
      </c>
    </row>
    <row r="10" spans="1:16" x14ac:dyDescent="0.2">
      <c r="A10" t="s">
        <v>371</v>
      </c>
      <c r="B10" s="7">
        <v>122.29</v>
      </c>
      <c r="C10" s="21">
        <v>21.272075520803273</v>
      </c>
      <c r="D10" s="12">
        <v>13.292832869028564</v>
      </c>
      <c r="E10" s="12">
        <v>1.6831669818858637</v>
      </c>
      <c r="F10" s="12">
        <v>2.3123223675453906</v>
      </c>
      <c r="G10" s="12">
        <v>49.84885443195396</v>
      </c>
      <c r="H10" s="12">
        <v>144.87888972009367</v>
      </c>
      <c r="I10">
        <v>9.9999999999999995E-7</v>
      </c>
      <c r="J10" s="12">
        <v>0.61423399560723102</v>
      </c>
      <c r="K10" s="20" t="e">
        <v>#DIV/0!</v>
      </c>
      <c r="L10" s="20">
        <v>0.56287224899471533</v>
      </c>
      <c r="N10" t="s">
        <v>292</v>
      </c>
    </row>
    <row r="11" spans="1:16" x14ac:dyDescent="0.2">
      <c r="A11" t="s">
        <v>390</v>
      </c>
      <c r="B11" s="7">
        <v>122.29</v>
      </c>
      <c r="C11" s="21">
        <v>-5.6062795723032073</v>
      </c>
      <c r="D11" s="12">
        <v>21.646721963443092</v>
      </c>
      <c r="E11" s="12">
        <v>2.3420804087067331</v>
      </c>
      <c r="F11" s="12">
        <v>6.7605977771200285</v>
      </c>
      <c r="G11" s="12">
        <v>112.04926260347949</v>
      </c>
      <c r="H11">
        <v>26781.195846250663</v>
      </c>
      <c r="I11">
        <v>232.01051903885596</v>
      </c>
      <c r="J11" s="12">
        <v>2.7305847062098856</v>
      </c>
      <c r="K11" s="20" t="e">
        <v>#DIV/0!</v>
      </c>
      <c r="L11" s="20">
        <v>0.5628722502168626</v>
      </c>
      <c r="N11" t="s">
        <v>293</v>
      </c>
    </row>
    <row r="12" spans="1:16" x14ac:dyDescent="0.2">
      <c r="A12" t="s">
        <v>385</v>
      </c>
      <c r="B12" s="7">
        <v>122.29</v>
      </c>
      <c r="C12" s="21">
        <v>-5.6062795482596011</v>
      </c>
      <c r="D12" s="12">
        <v>19.056156829428758</v>
      </c>
      <c r="E12" s="12">
        <v>0.35585554919285517</v>
      </c>
      <c r="F12" s="12">
        <v>2.3123223679861091</v>
      </c>
      <c r="G12" s="12">
        <v>41.515401763823988</v>
      </c>
      <c r="H12" s="12">
        <v>103.01554798481015</v>
      </c>
      <c r="I12">
        <v>9.9999999999999995E-7</v>
      </c>
      <c r="J12" s="12">
        <v>0.81869258238864673</v>
      </c>
      <c r="K12" s="20" t="e">
        <v>#DIV/0!</v>
      </c>
      <c r="L12" s="20">
        <v>0.56287225084488191</v>
      </c>
      <c r="N12" t="s">
        <v>294</v>
      </c>
    </row>
    <row r="13" spans="1:16" x14ac:dyDescent="0.2">
      <c r="A13" t="s">
        <v>375</v>
      </c>
      <c r="B13" s="7">
        <v>122.29</v>
      </c>
      <c r="C13" s="21">
        <v>-5.6062795999343633</v>
      </c>
      <c r="D13" s="12">
        <v>17.252563079133317</v>
      </c>
      <c r="E13" s="12">
        <v>1.4777946083759164</v>
      </c>
      <c r="F13" s="12">
        <v>3.0649933792073991</v>
      </c>
      <c r="G13" s="12">
        <v>62.629827981565882</v>
      </c>
      <c r="H13">
        <v>24863.582636402272</v>
      </c>
      <c r="I13">
        <v>9.9999999999999995E-7</v>
      </c>
      <c r="J13" s="12">
        <v>1.4085460567074353</v>
      </c>
      <c r="K13" s="20" t="e">
        <v>#DIV/0!</v>
      </c>
      <c r="L13" s="20">
        <v>0.56287224949514059</v>
      </c>
    </row>
    <row r="14" spans="1:16" x14ac:dyDescent="0.2">
      <c r="A14" t="s">
        <v>372</v>
      </c>
      <c r="B14" s="7">
        <v>122.29</v>
      </c>
      <c r="C14" s="21">
        <v>10.477618763068351</v>
      </c>
      <c r="D14" s="12">
        <v>8.6920509792705403</v>
      </c>
      <c r="E14" s="12">
        <v>0.21615562652827194</v>
      </c>
      <c r="F14" s="12">
        <v>2.3123223675639006</v>
      </c>
      <c r="G14" s="12">
        <v>34.378574192145514</v>
      </c>
      <c r="H14" s="12">
        <v>282.59060507065226</v>
      </c>
      <c r="I14">
        <v>9.9999999999999995E-7</v>
      </c>
      <c r="J14" s="12">
        <v>1.0286526556016757</v>
      </c>
      <c r="K14" s="20" t="e">
        <v>#DIV/0!</v>
      </c>
      <c r="L14" s="20">
        <v>0.70430584050757805</v>
      </c>
      <c r="N14" t="s">
        <v>296</v>
      </c>
    </row>
    <row r="15" spans="1:16" x14ac:dyDescent="0.2">
      <c r="A15" t="s">
        <v>376</v>
      </c>
      <c r="B15" s="7">
        <v>122.29</v>
      </c>
      <c r="C15" s="21">
        <v>-5.6062796143309361</v>
      </c>
      <c r="D15" s="12">
        <v>15.066891714305145</v>
      </c>
      <c r="E15" s="12">
        <v>0.4335577072843409</v>
      </c>
      <c r="F15" s="12">
        <v>2.3123223675750242</v>
      </c>
      <c r="G15" s="12">
        <v>84.191865635497322</v>
      </c>
      <c r="H15" s="12">
        <v>82.405873462515842</v>
      </c>
      <c r="I15">
        <v>9.9999999999999995E-7</v>
      </c>
      <c r="J15" s="12">
        <v>1.9197172643575502</v>
      </c>
      <c r="K15" s="20" t="e">
        <v>#DIV/0!</v>
      </c>
      <c r="L15" s="20">
        <v>0.77712512398771494</v>
      </c>
      <c r="N15" t="s">
        <v>297</v>
      </c>
    </row>
    <row r="16" spans="1:16" x14ac:dyDescent="0.2">
      <c r="A16" t="s">
        <v>386</v>
      </c>
      <c r="B16" s="7">
        <v>122.29</v>
      </c>
      <c r="C16" s="21">
        <v>-5.6062796119170626</v>
      </c>
      <c r="D16" s="12">
        <v>12.604953572327188</v>
      </c>
      <c r="E16" s="12">
        <v>0.36412454381359727</v>
      </c>
      <c r="F16" s="12">
        <v>2.446126581505109</v>
      </c>
      <c r="G16" s="12">
        <v>40.392190481793492</v>
      </c>
      <c r="H16" s="12">
        <v>833.04131380889282</v>
      </c>
      <c r="I16">
        <v>9.9999999999999995E-7</v>
      </c>
      <c r="J16" s="12">
        <v>1.3130438896490513</v>
      </c>
      <c r="K16" s="20" t="e">
        <v>#DIV/0!</v>
      </c>
      <c r="L16" s="20">
        <v>0.81305170078427036</v>
      </c>
      <c r="N16" t="s">
        <v>298</v>
      </c>
    </row>
    <row r="17" spans="1:12" x14ac:dyDescent="0.2">
      <c r="A17" t="s">
        <v>391</v>
      </c>
      <c r="B17" s="7">
        <v>122.29</v>
      </c>
      <c r="C17" s="21">
        <v>-5.6062796022398089</v>
      </c>
      <c r="D17" s="12">
        <v>12.330842619164494</v>
      </c>
      <c r="E17" s="12">
        <v>0.13704470289618784</v>
      </c>
      <c r="F17" s="12">
        <v>2.3123223676502502</v>
      </c>
      <c r="G17" s="12">
        <v>38.846412153320443</v>
      </c>
      <c r="H17" s="12">
        <v>136.28468132582876</v>
      </c>
      <c r="I17">
        <v>9.9999999999999995E-7</v>
      </c>
      <c r="J17" s="12">
        <v>2.129833861896441</v>
      </c>
      <c r="K17" s="20" t="e">
        <v>#DIV/0!</v>
      </c>
      <c r="L17" s="20">
        <v>0.56287224943492808</v>
      </c>
    </row>
    <row r="18" spans="1:12" x14ac:dyDescent="0.2">
      <c r="A18" t="s">
        <v>387</v>
      </c>
      <c r="B18" s="7">
        <v>122.29</v>
      </c>
      <c r="C18" s="21">
        <v>-5.606279617084299</v>
      </c>
      <c r="D18" s="12">
        <v>12.086791397067806</v>
      </c>
      <c r="E18" s="12">
        <v>1.0369093354292362</v>
      </c>
      <c r="F18" s="12">
        <v>2.3123223675578943</v>
      </c>
      <c r="G18" s="12">
        <v>31.123983836392068</v>
      </c>
      <c r="H18" s="12">
        <v>59.289857960852103</v>
      </c>
      <c r="I18">
        <v>9.9999999999999995E-7</v>
      </c>
      <c r="J18" s="12">
        <v>0.89105106773663334</v>
      </c>
      <c r="K18" s="20" t="e">
        <v>#DIV/0!</v>
      </c>
      <c r="L18" s="20">
        <v>0.70823891475655931</v>
      </c>
    </row>
    <row r="19" spans="1:12" x14ac:dyDescent="0.2">
      <c r="A19" t="s">
        <v>377</v>
      </c>
      <c r="B19" s="7">
        <v>122.29</v>
      </c>
      <c r="C19" s="21">
        <v>-5.6062796171457689</v>
      </c>
      <c r="D19" s="12">
        <v>21.000185700681939</v>
      </c>
      <c r="E19" s="12">
        <v>0.85381675066210316</v>
      </c>
      <c r="F19" s="12">
        <v>2.3123223675575058</v>
      </c>
      <c r="G19" s="12">
        <v>63.360532025732027</v>
      </c>
      <c r="H19" s="12">
        <v>107.81689004716907</v>
      </c>
      <c r="I19">
        <v>9.9999999999999995E-7</v>
      </c>
      <c r="J19" s="12">
        <v>1.2100580891884487</v>
      </c>
      <c r="K19" s="20" t="e">
        <v>#DIV/0!</v>
      </c>
      <c r="L19" s="20">
        <v>0.56287224904557909</v>
      </c>
    </row>
    <row r="20" spans="1:12" x14ac:dyDescent="0.2">
      <c r="A20" t="s">
        <v>378</v>
      </c>
      <c r="B20" s="7">
        <v>122.29</v>
      </c>
      <c r="C20" s="21">
        <v>-5.6062796164175888</v>
      </c>
      <c r="D20" s="12">
        <v>11.431118296345819</v>
      </c>
      <c r="E20" s="12">
        <v>1.3779059274788903</v>
      </c>
      <c r="F20" s="12">
        <v>2.3123223675620403</v>
      </c>
      <c r="G20" s="12">
        <v>77.229146057021083</v>
      </c>
      <c r="H20" s="12">
        <v>177.43588303233338</v>
      </c>
      <c r="I20">
        <v>9.9999999999999995E-7</v>
      </c>
      <c r="J20" s="12">
        <v>1.5370075100299432</v>
      </c>
      <c r="K20" s="20" t="e">
        <v>#DIV/0!</v>
      </c>
      <c r="L20" s="20">
        <v>0.5628722490646112</v>
      </c>
    </row>
    <row r="21" spans="1:12" x14ac:dyDescent="0.2">
      <c r="A21" t="s">
        <v>388</v>
      </c>
      <c r="B21" s="7">
        <v>122.29</v>
      </c>
      <c r="C21" s="21">
        <v>-5.6062795483241796</v>
      </c>
      <c r="D21" s="12">
        <v>14.399090451366348</v>
      </c>
      <c r="E21" s="12">
        <v>1.6149337833525095</v>
      </c>
      <c r="F21" s="12">
        <v>2.3123223679857055</v>
      </c>
      <c r="G21" s="12">
        <v>168.11637716993437</v>
      </c>
      <c r="H21" s="12">
        <v>183.08079846782704</v>
      </c>
      <c r="I21">
        <v>9.9999999999999995E-7</v>
      </c>
      <c r="J21" s="12">
        <v>4.0419507910897847</v>
      </c>
      <c r="K21" s="20" t="e">
        <v>#DIV/0!</v>
      </c>
      <c r="L21" s="20">
        <v>0.56287225084319681</v>
      </c>
    </row>
    <row r="22" spans="1:12" x14ac:dyDescent="0.2">
      <c r="A22" t="s">
        <v>379</v>
      </c>
      <c r="B22" s="7">
        <v>122.29</v>
      </c>
      <c r="C22" s="21">
        <v>17.4750371141239</v>
      </c>
      <c r="D22" s="12">
        <v>10.149720591810198</v>
      </c>
      <c r="E22" s="12">
        <v>1.5856460339254423</v>
      </c>
      <c r="F22" s="12">
        <v>11.936228219935797</v>
      </c>
      <c r="G22" s="12">
        <v>45.797119110120363</v>
      </c>
      <c r="H22">
        <v>16640.859468263356</v>
      </c>
      <c r="I22">
        <v>875.60466405784405</v>
      </c>
      <c r="J22" s="12">
        <v>1.1428003520341439</v>
      </c>
      <c r="K22" s="20" t="e">
        <v>#DIV/0!</v>
      </c>
      <c r="L22" s="20">
        <v>0.562872249176811</v>
      </c>
    </row>
    <row r="23" spans="1:12" x14ac:dyDescent="0.2">
      <c r="A23" t="s">
        <v>380</v>
      </c>
      <c r="B23" s="7">
        <v>122.29</v>
      </c>
      <c r="C23" s="21">
        <v>27.598476164877404</v>
      </c>
      <c r="D23" s="12">
        <v>15.095829647565663</v>
      </c>
      <c r="E23" s="12">
        <v>3.6355430312272192</v>
      </c>
      <c r="F23" s="12">
        <v>10.388125618430005</v>
      </c>
      <c r="G23" s="12">
        <v>33.244491485779179</v>
      </c>
      <c r="H23">
        <v>17982.260498530097</v>
      </c>
      <c r="I23">
        <v>4202.0130637800421</v>
      </c>
      <c r="J23" s="12">
        <v>3.0977354263024046</v>
      </c>
      <c r="K23" s="20" t="e">
        <v>#DIV/0!</v>
      </c>
      <c r="L23" s="20">
        <v>0.75239220994176459</v>
      </c>
    </row>
    <row r="24" spans="1:12" x14ac:dyDescent="0.2">
      <c r="A24" t="s">
        <v>291</v>
      </c>
      <c r="B24" s="7">
        <v>122.29</v>
      </c>
      <c r="C24" s="21">
        <v>-5.6062795953779165</v>
      </c>
      <c r="D24" s="12">
        <v>13.108688150668547</v>
      </c>
      <c r="E24" s="12">
        <v>1.8416076668484722</v>
      </c>
      <c r="F24" s="12">
        <v>6.326939122379275</v>
      </c>
      <c r="G24" s="12">
        <v>92.234357589251331</v>
      </c>
      <c r="H24">
        <v>3183.2899410162772</v>
      </c>
      <c r="I24">
        <v>10.336833985865953</v>
      </c>
      <c r="J24" s="12">
        <v>1.5175414078703993</v>
      </c>
      <c r="K24" s="20" t="e">
        <v>#DIV/0!</v>
      </c>
      <c r="L24" s="20">
        <v>0.56287224961416149</v>
      </c>
    </row>
    <row r="25" spans="1:12" x14ac:dyDescent="0.2">
      <c r="A25" t="s">
        <v>381</v>
      </c>
      <c r="B25" s="7">
        <v>122.29</v>
      </c>
      <c r="C25" s="21">
        <v>-5.6062795825904326</v>
      </c>
      <c r="D25" s="12">
        <v>14.496828650317893</v>
      </c>
      <c r="E25" s="12">
        <v>3.4669284088879482</v>
      </c>
      <c r="F25" s="12">
        <v>40.217847864644483</v>
      </c>
      <c r="G25" s="12">
        <v>80.417323218890715</v>
      </c>
      <c r="H25">
        <v>15456.717508567097</v>
      </c>
      <c r="I25">
        <v>2822.9651305622097</v>
      </c>
      <c r="J25" s="12">
        <v>3.4139318453142846</v>
      </c>
      <c r="K25" s="20" t="e">
        <v>#DIV/0!</v>
      </c>
      <c r="L25" s="20">
        <v>0.56287224994816631</v>
      </c>
    </row>
    <row r="26" spans="1:12" x14ac:dyDescent="0.2">
      <c r="A26" t="s">
        <v>172</v>
      </c>
      <c r="B26" s="7">
        <v>122.29</v>
      </c>
      <c r="C26" s="21">
        <v>-5.6062796103214581</v>
      </c>
      <c r="D26" s="12">
        <v>19.893138194179805</v>
      </c>
      <c r="E26" s="12">
        <v>43.344956128006416</v>
      </c>
      <c r="F26" s="12">
        <v>32.7846578634623</v>
      </c>
      <c r="G26" s="12">
        <v>21.803498023407812</v>
      </c>
      <c r="H26" s="12">
        <v>33.246860147761126</v>
      </c>
      <c r="I26">
        <v>9.9999999999999995E-7</v>
      </c>
      <c r="J26" s="12">
        <v>33.482275981753098</v>
      </c>
      <c r="K26" s="20" t="e">
        <v>#DIV/0!</v>
      </c>
      <c r="L26" s="20">
        <v>15.91846859314952</v>
      </c>
    </row>
    <row r="27" spans="1:12" x14ac:dyDescent="0.2">
      <c r="A27" t="s">
        <v>173</v>
      </c>
      <c r="B27" s="7">
        <v>122.29</v>
      </c>
      <c r="C27" s="21">
        <v>-5.6062796093332699</v>
      </c>
      <c r="D27" s="12">
        <v>19.577768928369892</v>
      </c>
      <c r="E27" s="12">
        <v>40.552220499118157</v>
      </c>
      <c r="F27" s="12">
        <v>45.167894006653029</v>
      </c>
      <c r="G27" s="12">
        <v>25.596498471528545</v>
      </c>
      <c r="H27" s="12">
        <v>30.889486941501939</v>
      </c>
      <c r="I27">
        <v>7.7974547349566654</v>
      </c>
      <c r="J27" s="12">
        <v>41.629217257036707</v>
      </c>
      <c r="K27" s="20" t="e">
        <v>#DIV/0!</v>
      </c>
      <c r="L27" s="20">
        <v>26.787228038688554</v>
      </c>
    </row>
    <row r="28" spans="1:12" x14ac:dyDescent="0.2">
      <c r="C28" s="20"/>
      <c r="H28" t="s">
        <v>175</v>
      </c>
    </row>
    <row r="29" spans="1:12" x14ac:dyDescent="0.2">
      <c r="A29" t="s">
        <v>119</v>
      </c>
      <c r="C29" s="20"/>
    </row>
    <row r="30" spans="1:12" x14ac:dyDescent="0.2">
      <c r="A30" t="s">
        <v>120</v>
      </c>
      <c r="C30" s="20"/>
      <c r="D30" t="s">
        <v>133</v>
      </c>
      <c r="E30" t="s">
        <v>133</v>
      </c>
      <c r="F30" t="s">
        <v>174</v>
      </c>
      <c r="G30" t="s">
        <v>133</v>
      </c>
      <c r="H30" t="s">
        <v>133</v>
      </c>
      <c r="I30" t="s">
        <v>133</v>
      </c>
      <c r="J30" t="s">
        <v>133</v>
      </c>
      <c r="L30" t="s">
        <v>174</v>
      </c>
    </row>
    <row r="31" spans="1:12" x14ac:dyDescent="0.2">
      <c r="A31" t="s">
        <v>48</v>
      </c>
      <c r="C31" s="20"/>
      <c r="D31">
        <v>0.99939339999999999</v>
      </c>
      <c r="E31">
        <v>0.99220569999999997</v>
      </c>
      <c r="F31">
        <v>0.9947665</v>
      </c>
      <c r="G31">
        <v>0.99438850000000001</v>
      </c>
      <c r="H31">
        <v>0.99519619999999998</v>
      </c>
      <c r="I31">
        <v>0.99519619999999998</v>
      </c>
      <c r="J31">
        <v>0.99677070000000001</v>
      </c>
      <c r="L31">
        <v>0.9999614</v>
      </c>
    </row>
    <row r="32" spans="1:12" x14ac:dyDescent="0.2">
      <c r="A32" t="s">
        <v>110</v>
      </c>
      <c r="C32" s="20"/>
      <c r="D32">
        <v>21.62219</v>
      </c>
      <c r="E32">
        <v>38.26529</v>
      </c>
      <c r="F32">
        <v>64.121769999999998</v>
      </c>
      <c r="G32">
        <v>11.797890000000001</v>
      </c>
      <c r="H32">
        <v>26.47747</v>
      </c>
      <c r="I32">
        <v>26.47747</v>
      </c>
      <c r="J32">
        <v>13.37368</v>
      </c>
      <c r="L32">
        <v>123.7475</v>
      </c>
    </row>
    <row r="33" spans="1:12" x14ac:dyDescent="0.2">
      <c r="A33" t="s">
        <v>125</v>
      </c>
      <c r="C33" s="20"/>
      <c r="D33">
        <v>0.25</v>
      </c>
      <c r="E33">
        <v>0.25</v>
      </c>
      <c r="F33">
        <v>1</v>
      </c>
      <c r="G33">
        <v>0.25</v>
      </c>
      <c r="H33">
        <v>0.25</v>
      </c>
      <c r="I33">
        <v>0.25</v>
      </c>
      <c r="J33">
        <v>0.25</v>
      </c>
      <c r="L33">
        <v>0.25</v>
      </c>
    </row>
    <row r="34" spans="1:12" x14ac:dyDescent="0.2">
      <c r="A34" t="s">
        <v>126</v>
      </c>
      <c r="D34">
        <v>50</v>
      </c>
      <c r="E34">
        <v>10</v>
      </c>
      <c r="F34">
        <v>100</v>
      </c>
      <c r="G34">
        <v>250</v>
      </c>
      <c r="H34">
        <v>500</v>
      </c>
      <c r="I34">
        <v>500</v>
      </c>
      <c r="J34">
        <v>10</v>
      </c>
      <c r="L34">
        <v>500</v>
      </c>
    </row>
    <row r="35" spans="1:12" x14ac:dyDescent="0.2">
      <c r="H35" t="s">
        <v>190</v>
      </c>
      <c r="I35" t="s">
        <v>190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DB0F-0D87-461E-ACA5-8A860426A389}">
  <dimension ref="A1:H82"/>
  <sheetViews>
    <sheetView workbookViewId="0">
      <selection activeCell="G4" sqref="G4:G27"/>
    </sheetView>
  </sheetViews>
  <sheetFormatPr baseColWidth="10" defaultColWidth="8.83203125" defaultRowHeight="15" x14ac:dyDescent="0.2"/>
  <cols>
    <col min="1" max="1" width="21.1640625" bestFit="1" customWidth="1"/>
    <col min="7" max="8" width="10.5" customWidth="1"/>
  </cols>
  <sheetData>
    <row r="1" spans="1:8" x14ac:dyDescent="0.2">
      <c r="A1" t="s">
        <v>108</v>
      </c>
    </row>
    <row r="2" spans="1:8" x14ac:dyDescent="0.2">
      <c r="A2" t="s">
        <v>59</v>
      </c>
      <c r="B2">
        <v>2.1433300000000002</v>
      </c>
    </row>
    <row r="3" spans="1:8" x14ac:dyDescent="0.2">
      <c r="A3" t="s">
        <v>91</v>
      </c>
      <c r="B3">
        <v>1.84768</v>
      </c>
      <c r="G3" t="s">
        <v>367</v>
      </c>
      <c r="H3" t="s">
        <v>368</v>
      </c>
    </row>
    <row r="4" spans="1:8" x14ac:dyDescent="0.2">
      <c r="A4" t="s">
        <v>92</v>
      </c>
      <c r="B4">
        <v>1.87303</v>
      </c>
      <c r="G4" t="s">
        <v>161</v>
      </c>
      <c r="H4">
        <v>1.96163</v>
      </c>
    </row>
    <row r="5" spans="1:8" x14ac:dyDescent="0.2">
      <c r="A5" t="s">
        <v>75</v>
      </c>
      <c r="B5">
        <v>1.8900399999999999</v>
      </c>
      <c r="G5" t="s">
        <v>148</v>
      </c>
      <c r="H5">
        <v>2.0662699999999998</v>
      </c>
    </row>
    <row r="6" spans="1:8" x14ac:dyDescent="0.2">
      <c r="A6" t="s">
        <v>99</v>
      </c>
      <c r="B6">
        <v>2.0548500000000001</v>
      </c>
      <c r="G6" t="s">
        <v>169</v>
      </c>
      <c r="H6">
        <v>1.8737299999999999</v>
      </c>
    </row>
    <row r="7" spans="1:8" x14ac:dyDescent="0.2">
      <c r="A7" t="s">
        <v>76</v>
      </c>
      <c r="B7">
        <v>1.8227800000000001</v>
      </c>
      <c r="G7" t="s">
        <v>152</v>
      </c>
      <c r="H7">
        <v>1.9753099999999999</v>
      </c>
    </row>
    <row r="8" spans="1:8" x14ac:dyDescent="0.2">
      <c r="A8" t="s">
        <v>83</v>
      </c>
      <c r="B8">
        <v>1.8075000000000001</v>
      </c>
      <c r="G8" t="s">
        <v>162</v>
      </c>
      <c r="H8">
        <v>-0.77154999999999996</v>
      </c>
    </row>
    <row r="9" spans="1:8" x14ac:dyDescent="0.2">
      <c r="A9" t="s">
        <v>67</v>
      </c>
      <c r="B9">
        <v>1.8652299999999999</v>
      </c>
      <c r="G9" t="s">
        <v>163</v>
      </c>
      <c r="H9">
        <v>2.7648899999999998</v>
      </c>
    </row>
    <row r="10" spans="1:8" x14ac:dyDescent="0.2">
      <c r="A10" t="s">
        <v>77</v>
      </c>
      <c r="B10">
        <v>2.5028100000000002</v>
      </c>
      <c r="G10" t="s">
        <v>149</v>
      </c>
      <c r="H10">
        <v>1.8451200000000001</v>
      </c>
    </row>
    <row r="11" spans="1:8" x14ac:dyDescent="0.2">
      <c r="A11" t="s">
        <v>78</v>
      </c>
      <c r="B11">
        <v>2.6669399999999999</v>
      </c>
      <c r="G11" t="s">
        <v>153</v>
      </c>
      <c r="H11">
        <v>1.8570500000000001</v>
      </c>
    </row>
    <row r="12" spans="1:8" x14ac:dyDescent="0.2">
      <c r="A12" t="s">
        <v>79</v>
      </c>
      <c r="B12">
        <v>2.65618</v>
      </c>
      <c r="G12" t="s">
        <v>150</v>
      </c>
      <c r="H12">
        <v>1.81877</v>
      </c>
    </row>
    <row r="13" spans="1:8" x14ac:dyDescent="0.2">
      <c r="A13" t="s">
        <v>84</v>
      </c>
      <c r="B13">
        <v>1.83426</v>
      </c>
      <c r="G13" t="s">
        <v>170</v>
      </c>
      <c r="H13" t="s">
        <v>107</v>
      </c>
    </row>
    <row r="14" spans="1:8" x14ac:dyDescent="0.2">
      <c r="A14" t="s">
        <v>100</v>
      </c>
      <c r="B14">
        <v>1.68398</v>
      </c>
      <c r="G14" t="s">
        <v>164</v>
      </c>
      <c r="H14">
        <v>2.4870899999999998</v>
      </c>
    </row>
    <row r="15" spans="1:8" x14ac:dyDescent="0.2">
      <c r="A15" t="s">
        <v>85</v>
      </c>
      <c r="B15">
        <v>2.3988299999999998</v>
      </c>
      <c r="G15" t="s">
        <v>154</v>
      </c>
      <c r="H15">
        <v>1.9087400000000001</v>
      </c>
    </row>
    <row r="16" spans="1:8" x14ac:dyDescent="0.2">
      <c r="A16" t="s">
        <v>68</v>
      </c>
      <c r="B16">
        <v>3.3416700000000001</v>
      </c>
      <c r="G16" t="s">
        <v>151</v>
      </c>
      <c r="H16">
        <v>2.2061700000000002</v>
      </c>
    </row>
    <row r="17" spans="1:8" x14ac:dyDescent="0.2">
      <c r="A17" t="s">
        <v>60</v>
      </c>
      <c r="B17">
        <v>3.9133399999999998</v>
      </c>
      <c r="G17" t="s">
        <v>155</v>
      </c>
      <c r="H17" t="s">
        <v>107</v>
      </c>
    </row>
    <row r="18" spans="1:8" x14ac:dyDescent="0.2">
      <c r="A18" t="s">
        <v>93</v>
      </c>
      <c r="B18">
        <v>1.8868</v>
      </c>
      <c r="G18" t="s">
        <v>165</v>
      </c>
      <c r="H18">
        <v>1.83731</v>
      </c>
    </row>
    <row r="19" spans="1:8" x14ac:dyDescent="0.2">
      <c r="A19" t="s">
        <v>94</v>
      </c>
      <c r="B19">
        <v>1.84562</v>
      </c>
      <c r="G19" t="s">
        <v>171</v>
      </c>
      <c r="H19">
        <v>1.9409400000000001</v>
      </c>
    </row>
    <row r="20" spans="1:8" x14ac:dyDescent="0.2">
      <c r="A20" t="s">
        <v>69</v>
      </c>
      <c r="B20">
        <v>1.8770899999999999</v>
      </c>
      <c r="G20" t="s">
        <v>166</v>
      </c>
      <c r="H20">
        <v>1.9948699999999999</v>
      </c>
    </row>
    <row r="21" spans="1:8" x14ac:dyDescent="0.2">
      <c r="A21" t="s">
        <v>80</v>
      </c>
      <c r="B21">
        <v>1.95241</v>
      </c>
      <c r="G21" t="s">
        <v>156</v>
      </c>
      <c r="H21">
        <v>1.9815499999999999</v>
      </c>
    </row>
    <row r="22" spans="1:8" x14ac:dyDescent="0.2">
      <c r="A22" t="s">
        <v>70</v>
      </c>
      <c r="B22">
        <v>1.8418699999999999</v>
      </c>
      <c r="G22" t="s">
        <v>157</v>
      </c>
      <c r="H22">
        <v>2.03241</v>
      </c>
    </row>
    <row r="23" spans="1:8" x14ac:dyDescent="0.2">
      <c r="A23" t="s">
        <v>86</v>
      </c>
      <c r="B23">
        <v>1.9823200000000001</v>
      </c>
      <c r="G23" t="s">
        <v>167</v>
      </c>
      <c r="H23">
        <v>2.0212400000000001</v>
      </c>
    </row>
    <row r="24" spans="1:8" x14ac:dyDescent="0.2">
      <c r="A24" t="s">
        <v>61</v>
      </c>
      <c r="B24">
        <v>1.4866600000000001</v>
      </c>
      <c r="G24" t="s">
        <v>158</v>
      </c>
      <c r="H24">
        <v>2.9912399999999999</v>
      </c>
    </row>
    <row r="25" spans="1:8" x14ac:dyDescent="0.2">
      <c r="A25" t="s">
        <v>101</v>
      </c>
      <c r="B25">
        <v>1.9358</v>
      </c>
      <c r="G25" t="s">
        <v>159</v>
      </c>
      <c r="H25">
        <v>-2.8352200000000001</v>
      </c>
    </row>
    <row r="26" spans="1:8" x14ac:dyDescent="0.2">
      <c r="A26" t="s">
        <v>87</v>
      </c>
      <c r="B26">
        <v>1.9305300000000001</v>
      </c>
      <c r="G26" t="s">
        <v>168</v>
      </c>
      <c r="H26">
        <v>1.8907</v>
      </c>
    </row>
    <row r="27" spans="1:8" x14ac:dyDescent="0.2">
      <c r="A27" t="s">
        <v>62</v>
      </c>
      <c r="B27">
        <v>2.9634800000000001</v>
      </c>
      <c r="G27" t="s">
        <v>160</v>
      </c>
      <c r="H27">
        <v>4.9076899999999997</v>
      </c>
    </row>
    <row r="28" spans="1:8" x14ac:dyDescent="0.2">
      <c r="A28" t="s">
        <v>102</v>
      </c>
      <c r="B28">
        <v>2.05376</v>
      </c>
    </row>
    <row r="29" spans="1:8" x14ac:dyDescent="0.2">
      <c r="A29" t="s">
        <v>71</v>
      </c>
      <c r="B29">
        <v>2.0163000000000002</v>
      </c>
    </row>
    <row r="30" spans="1:8" x14ac:dyDescent="0.2">
      <c r="A30" t="s">
        <v>72</v>
      </c>
      <c r="B30">
        <v>2.1507999999999998</v>
      </c>
    </row>
    <row r="31" spans="1:8" x14ac:dyDescent="0.2">
      <c r="A31" t="s">
        <v>95</v>
      </c>
      <c r="B31">
        <v>8.0770099999999996</v>
      </c>
    </row>
    <row r="32" spans="1:8" x14ac:dyDescent="0.2">
      <c r="A32" t="s">
        <v>88</v>
      </c>
      <c r="B32">
        <v>2.2306900000000001</v>
      </c>
    </row>
    <row r="33" spans="1:2" x14ac:dyDescent="0.2">
      <c r="A33" t="s">
        <v>103</v>
      </c>
      <c r="B33">
        <v>1.82138</v>
      </c>
    </row>
    <row r="34" spans="1:2" x14ac:dyDescent="0.2">
      <c r="A34" t="s">
        <v>96</v>
      </c>
      <c r="B34">
        <v>1.8594999999999999</v>
      </c>
    </row>
    <row r="35" spans="1:2" x14ac:dyDescent="0.2">
      <c r="A35" t="s">
        <v>63</v>
      </c>
      <c r="B35">
        <v>2.0813299999999999</v>
      </c>
    </row>
    <row r="36" spans="1:2" x14ac:dyDescent="0.2">
      <c r="A36" t="s">
        <v>64</v>
      </c>
      <c r="B36">
        <v>2.0603799999999999</v>
      </c>
    </row>
    <row r="37" spans="1:2" x14ac:dyDescent="0.2">
      <c r="A37" t="s">
        <v>89</v>
      </c>
      <c r="B37">
        <v>2.3039100000000001</v>
      </c>
    </row>
    <row r="38" spans="1:2" x14ac:dyDescent="0.2">
      <c r="A38" t="s">
        <v>73</v>
      </c>
      <c r="B38">
        <v>2.4774400000000001</v>
      </c>
    </row>
    <row r="39" spans="1:2" x14ac:dyDescent="0.2">
      <c r="A39" t="s">
        <v>104</v>
      </c>
      <c r="B39">
        <v>1.8155699999999999</v>
      </c>
    </row>
    <row r="40" spans="1:2" x14ac:dyDescent="0.2">
      <c r="A40" t="s">
        <v>105</v>
      </c>
      <c r="B40">
        <v>7.4328599999999998</v>
      </c>
    </row>
    <row r="41" spans="1:2" x14ac:dyDescent="0.2">
      <c r="A41" t="s">
        <v>57</v>
      </c>
      <c r="B41">
        <v>9.9480900000000005</v>
      </c>
    </row>
    <row r="42" spans="1:2" x14ac:dyDescent="0.2">
      <c r="A42" t="s">
        <v>97</v>
      </c>
      <c r="B42">
        <v>3.9047499999999999</v>
      </c>
    </row>
    <row r="43" spans="1:2" x14ac:dyDescent="0.2">
      <c r="A43" t="s">
        <v>65</v>
      </c>
      <c r="B43">
        <v>1.9685699999999999</v>
      </c>
    </row>
    <row r="44" spans="1:2" x14ac:dyDescent="0.2">
      <c r="A44" t="s">
        <v>90</v>
      </c>
      <c r="B44">
        <v>25.199169999999999</v>
      </c>
    </row>
    <row r="45" spans="1:2" x14ac:dyDescent="0.2">
      <c r="A45" t="s">
        <v>66</v>
      </c>
      <c r="B45">
        <v>2.0071599999999998</v>
      </c>
    </row>
    <row r="46" spans="1:2" x14ac:dyDescent="0.2">
      <c r="A46" t="s">
        <v>81</v>
      </c>
      <c r="B46">
        <v>8.1070899999999995</v>
      </c>
    </row>
    <row r="47" spans="1:2" x14ac:dyDescent="0.2">
      <c r="A47" t="s">
        <v>74</v>
      </c>
      <c r="B47">
        <v>4.6519300000000001</v>
      </c>
    </row>
    <row r="48" spans="1:2" x14ac:dyDescent="0.2">
      <c r="A48" t="s">
        <v>161</v>
      </c>
      <c r="B48">
        <v>1.96163</v>
      </c>
    </row>
    <row r="49" spans="1:2" x14ac:dyDescent="0.2">
      <c r="A49" t="s">
        <v>148</v>
      </c>
      <c r="B49">
        <v>2.0662699999999998</v>
      </c>
    </row>
    <row r="50" spans="1:2" x14ac:dyDescent="0.2">
      <c r="A50" t="s">
        <v>169</v>
      </c>
      <c r="B50">
        <v>1.8737299999999999</v>
      </c>
    </row>
    <row r="51" spans="1:2" x14ac:dyDescent="0.2">
      <c r="A51" t="s">
        <v>152</v>
      </c>
      <c r="B51">
        <v>1.9753099999999999</v>
      </c>
    </row>
    <row r="52" spans="1:2" x14ac:dyDescent="0.2">
      <c r="A52" t="s">
        <v>162</v>
      </c>
      <c r="B52">
        <v>-0.77154999999999996</v>
      </c>
    </row>
    <row r="53" spans="1:2" x14ac:dyDescent="0.2">
      <c r="A53" t="s">
        <v>163</v>
      </c>
      <c r="B53">
        <v>2.7648899999999998</v>
      </c>
    </row>
    <row r="54" spans="1:2" x14ac:dyDescent="0.2">
      <c r="A54" t="s">
        <v>149</v>
      </c>
      <c r="B54">
        <v>1.8451200000000001</v>
      </c>
    </row>
    <row r="55" spans="1:2" x14ac:dyDescent="0.2">
      <c r="A55" t="s">
        <v>153</v>
      </c>
      <c r="B55">
        <v>1.8570500000000001</v>
      </c>
    </row>
    <row r="56" spans="1:2" x14ac:dyDescent="0.2">
      <c r="A56" t="s">
        <v>150</v>
      </c>
      <c r="B56">
        <v>1.81877</v>
      </c>
    </row>
    <row r="57" spans="1:2" x14ac:dyDescent="0.2">
      <c r="A57" t="s">
        <v>170</v>
      </c>
      <c r="B57" t="s">
        <v>107</v>
      </c>
    </row>
    <row r="58" spans="1:2" x14ac:dyDescent="0.2">
      <c r="A58" t="s">
        <v>164</v>
      </c>
      <c r="B58">
        <v>2.4870899999999998</v>
      </c>
    </row>
    <row r="59" spans="1:2" x14ac:dyDescent="0.2">
      <c r="A59" t="s">
        <v>154</v>
      </c>
      <c r="B59">
        <v>1.9087400000000001</v>
      </c>
    </row>
    <row r="60" spans="1:2" x14ac:dyDescent="0.2">
      <c r="A60" t="s">
        <v>151</v>
      </c>
      <c r="B60">
        <v>2.2061700000000002</v>
      </c>
    </row>
    <row r="61" spans="1:2" x14ac:dyDescent="0.2">
      <c r="A61" t="s">
        <v>155</v>
      </c>
      <c r="B61" t="s">
        <v>107</v>
      </c>
    </row>
    <row r="62" spans="1:2" x14ac:dyDescent="0.2">
      <c r="A62" t="s">
        <v>165</v>
      </c>
      <c r="B62">
        <v>1.83731</v>
      </c>
    </row>
    <row r="63" spans="1:2" x14ac:dyDescent="0.2">
      <c r="A63" t="s">
        <v>171</v>
      </c>
      <c r="B63">
        <v>1.9409400000000001</v>
      </c>
    </row>
    <row r="64" spans="1:2" x14ac:dyDescent="0.2">
      <c r="A64" t="s">
        <v>166</v>
      </c>
      <c r="B64">
        <v>1.9948699999999999</v>
      </c>
    </row>
    <row r="65" spans="1:2" x14ac:dyDescent="0.2">
      <c r="A65" t="s">
        <v>156</v>
      </c>
      <c r="B65">
        <v>1.9815499999999999</v>
      </c>
    </row>
    <row r="66" spans="1:2" x14ac:dyDescent="0.2">
      <c r="A66" t="s">
        <v>157</v>
      </c>
      <c r="B66">
        <v>2.03241</v>
      </c>
    </row>
    <row r="67" spans="1:2" x14ac:dyDescent="0.2">
      <c r="A67" t="s">
        <v>167</v>
      </c>
      <c r="B67">
        <v>2.0212400000000001</v>
      </c>
    </row>
    <row r="68" spans="1:2" x14ac:dyDescent="0.2">
      <c r="A68" t="s">
        <v>158</v>
      </c>
      <c r="B68">
        <v>2.9912399999999999</v>
      </c>
    </row>
    <row r="69" spans="1:2" x14ac:dyDescent="0.2">
      <c r="A69" t="s">
        <v>159</v>
      </c>
      <c r="B69">
        <v>-2.8352200000000001</v>
      </c>
    </row>
    <row r="70" spans="1:2" x14ac:dyDescent="0.2">
      <c r="A70" t="s">
        <v>168</v>
      </c>
      <c r="B70">
        <v>1.8907</v>
      </c>
    </row>
    <row r="71" spans="1:2" x14ac:dyDescent="0.2">
      <c r="A71" t="s">
        <v>160</v>
      </c>
      <c r="B71">
        <v>4.9076899999999997</v>
      </c>
    </row>
    <row r="72" spans="1:2" x14ac:dyDescent="0.2">
      <c r="A72" t="s">
        <v>109</v>
      </c>
      <c r="B72">
        <v>2.9138600000000001</v>
      </c>
    </row>
    <row r="73" spans="1:2" x14ac:dyDescent="0.2">
      <c r="A73" t="s">
        <v>110</v>
      </c>
      <c r="B73">
        <v>109.369563</v>
      </c>
    </row>
    <row r="74" spans="1:2" x14ac:dyDescent="0.2">
      <c r="A74" t="s">
        <v>111</v>
      </c>
      <c r="B74">
        <v>25.199169999999999</v>
      </c>
    </row>
    <row r="75" spans="1:2" x14ac:dyDescent="0.2">
      <c r="A75" t="s">
        <v>112</v>
      </c>
      <c r="B75">
        <v>0.77154999999999996</v>
      </c>
    </row>
    <row r="76" spans="1:2" x14ac:dyDescent="0.2">
      <c r="A76" t="s">
        <v>113</v>
      </c>
      <c r="B76">
        <v>3.1868720000000001</v>
      </c>
    </row>
    <row r="78" spans="1:2" x14ac:dyDescent="0.2">
      <c r="B78" t="s">
        <v>182</v>
      </c>
    </row>
    <row r="79" spans="1:2" x14ac:dyDescent="0.2">
      <c r="B79">
        <v>0.99167559999999999</v>
      </c>
    </row>
    <row r="80" spans="1:2" x14ac:dyDescent="0.2">
      <c r="B80">
        <v>56.255800000000001</v>
      </c>
    </row>
    <row r="81" spans="2:2" x14ac:dyDescent="0.2">
      <c r="B81">
        <v>1</v>
      </c>
    </row>
    <row r="82" spans="2:2" x14ac:dyDescent="0.2">
      <c r="B82">
        <v>25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3D2B-286E-4851-B9CB-77A872F2F012}">
  <dimension ref="A1:I117"/>
  <sheetViews>
    <sheetView topLeftCell="A58" zoomScale="116" workbookViewId="0">
      <selection activeCell="A76" sqref="A76:A117"/>
    </sheetView>
  </sheetViews>
  <sheetFormatPr baseColWidth="10" defaultColWidth="8.83203125" defaultRowHeight="15" x14ac:dyDescent="0.2"/>
  <cols>
    <col min="1" max="1" width="31" customWidth="1"/>
    <col min="2" max="3" width="9.1640625" bestFit="1" customWidth="1"/>
    <col min="4" max="10" width="9" bestFit="1" customWidth="1"/>
  </cols>
  <sheetData>
    <row r="1" spans="1:7" x14ac:dyDescent="0.2">
      <c r="A1" t="s">
        <v>225</v>
      </c>
      <c r="B1" t="s">
        <v>192</v>
      </c>
    </row>
    <row r="2" spans="1:7" x14ac:dyDescent="0.2">
      <c r="B2">
        <v>1</v>
      </c>
      <c r="C2">
        <v>2</v>
      </c>
      <c r="D2">
        <v>1</v>
      </c>
      <c r="E2">
        <v>2</v>
      </c>
    </row>
    <row r="3" spans="1:7" x14ac:dyDescent="0.2">
      <c r="A3" t="s">
        <v>274</v>
      </c>
      <c r="B3" t="s">
        <v>275</v>
      </c>
      <c r="C3" t="s">
        <v>275</v>
      </c>
      <c r="D3" t="s">
        <v>276</v>
      </c>
      <c r="E3" t="s">
        <v>276</v>
      </c>
      <c r="F3" t="s">
        <v>277</v>
      </c>
      <c r="G3" t="s">
        <v>274</v>
      </c>
    </row>
    <row r="4" spans="1:7" x14ac:dyDescent="0.2">
      <c r="A4">
        <v>0.1</v>
      </c>
      <c r="B4" s="28">
        <v>4.1719399999999997E-2</v>
      </c>
      <c r="C4" s="28">
        <v>1.1281599999999999E-2</v>
      </c>
      <c r="D4" s="28">
        <v>2.97813E-2</v>
      </c>
      <c r="E4" s="28">
        <v>8.3505000000000003E-3</v>
      </c>
      <c r="F4">
        <f>(AVERAGE(B4:C4))+(AVERAGE(D4:E4))</f>
        <v>4.5566399999999993E-2</v>
      </c>
      <c r="G4">
        <v>0.1</v>
      </c>
    </row>
    <row r="5" spans="1:7" x14ac:dyDescent="0.2">
      <c r="A5">
        <v>0.25</v>
      </c>
      <c r="B5" s="28">
        <v>4.4360400000000001E-2</v>
      </c>
      <c r="C5" s="28">
        <v>2.9128999999999999E-2</v>
      </c>
      <c r="D5" s="28">
        <v>3.0673200000000001E-2</v>
      </c>
      <c r="E5" s="28">
        <v>2.1633400000000001E-2</v>
      </c>
      <c r="F5">
        <f t="shared" ref="F5:F14" si="0">(AVERAGE(B5:C5))+(AVERAGE(D5:E5))</f>
        <v>6.2897999999999996E-2</v>
      </c>
      <c r="G5">
        <v>0.25</v>
      </c>
    </row>
    <row r="6" spans="1:7" x14ac:dyDescent="0.2">
      <c r="A6">
        <v>0.5</v>
      </c>
      <c r="B6" s="28">
        <v>8.1558500000000006E-2</v>
      </c>
      <c r="C6" s="28">
        <v>6.28861E-2</v>
      </c>
      <c r="D6" s="28">
        <v>5.7961400000000003E-2</v>
      </c>
      <c r="E6" s="28">
        <v>4.6800000000000001E-2</v>
      </c>
      <c r="F6">
        <f t="shared" si="0"/>
        <v>0.12460300000000001</v>
      </c>
      <c r="G6">
        <v>0.5</v>
      </c>
    </row>
    <row r="7" spans="1:7" x14ac:dyDescent="0.2">
      <c r="A7">
        <v>1</v>
      </c>
      <c r="B7" s="28">
        <v>0.16833100000000001</v>
      </c>
      <c r="C7" s="28">
        <v>9.7125600000000006E-2</v>
      </c>
      <c r="D7" s="28">
        <v>0.1227216</v>
      </c>
      <c r="E7" s="28">
        <v>7.0678500000000005E-2</v>
      </c>
      <c r="F7">
        <f t="shared" si="0"/>
        <v>0.22942835000000003</v>
      </c>
      <c r="G7">
        <v>1</v>
      </c>
    </row>
    <row r="8" spans="1:7" x14ac:dyDescent="0.2">
      <c r="A8">
        <v>2.5</v>
      </c>
      <c r="B8" s="28">
        <v>0.25791449999999999</v>
      </c>
      <c r="C8" s="28">
        <v>0.1195242</v>
      </c>
      <c r="D8" s="28">
        <v>0.18329429999999999</v>
      </c>
      <c r="E8" s="28">
        <v>8.1284999999999996E-2</v>
      </c>
      <c r="F8">
        <f t="shared" si="0"/>
        <v>0.32100899999999999</v>
      </c>
      <c r="G8">
        <v>2.5</v>
      </c>
    </row>
    <row r="9" spans="1:7" x14ac:dyDescent="0.2">
      <c r="A9">
        <v>5</v>
      </c>
      <c r="B9" s="28">
        <v>0.3733244</v>
      </c>
      <c r="C9" s="28">
        <v>0.29562129999999998</v>
      </c>
      <c r="D9" s="28">
        <v>0.25450610000000001</v>
      </c>
      <c r="E9" s="28">
        <v>0.20377139999999999</v>
      </c>
      <c r="F9">
        <f t="shared" si="0"/>
        <v>0.56361159999999999</v>
      </c>
      <c r="G9">
        <v>5</v>
      </c>
    </row>
    <row r="10" spans="1:7" x14ac:dyDescent="0.2">
      <c r="A10">
        <v>10</v>
      </c>
      <c r="B10" s="28">
        <v>0.44618180000000002</v>
      </c>
      <c r="C10" s="28">
        <v>0.36845</v>
      </c>
      <c r="D10" s="28">
        <v>0.26884760000000002</v>
      </c>
      <c r="E10" s="28">
        <v>0.27065129999999998</v>
      </c>
      <c r="F10">
        <f t="shared" si="0"/>
        <v>0.67706535000000001</v>
      </c>
      <c r="G10">
        <v>10</v>
      </c>
    </row>
    <row r="11" spans="1:7" x14ac:dyDescent="0.2">
      <c r="A11">
        <v>15</v>
      </c>
      <c r="B11" s="28">
        <v>0.68446149999999994</v>
      </c>
      <c r="C11" s="28">
        <v>0.59165440000000002</v>
      </c>
      <c r="D11" s="28">
        <v>0.46591389999999999</v>
      </c>
      <c r="E11" s="28">
        <v>0.40822059999999999</v>
      </c>
      <c r="F11">
        <f t="shared" si="0"/>
        <v>1.0751252</v>
      </c>
      <c r="G11">
        <v>15</v>
      </c>
    </row>
    <row r="12" spans="1:7" x14ac:dyDescent="0.2">
      <c r="A12">
        <v>20</v>
      </c>
      <c r="B12" s="28">
        <v>1.0919589999999999</v>
      </c>
      <c r="C12" s="28">
        <v>0.97563080000000002</v>
      </c>
      <c r="D12" s="28">
        <v>0.67657860000000003</v>
      </c>
      <c r="E12" s="28">
        <v>0.60983909999999997</v>
      </c>
      <c r="F12">
        <f t="shared" si="0"/>
        <v>1.6770037499999999</v>
      </c>
      <c r="G12">
        <v>20</v>
      </c>
    </row>
    <row r="13" spans="1:7" x14ac:dyDescent="0.2">
      <c r="A13">
        <v>25</v>
      </c>
      <c r="B13" s="28">
        <v>2.0486399999999998</v>
      </c>
      <c r="C13" s="28">
        <v>1.9657020000000001</v>
      </c>
      <c r="D13" s="28">
        <v>1.182836</v>
      </c>
      <c r="E13" s="28">
        <v>1.1410800000000001</v>
      </c>
      <c r="F13">
        <f t="shared" si="0"/>
        <v>3.1691289999999999</v>
      </c>
      <c r="G13">
        <v>25</v>
      </c>
    </row>
    <row r="14" spans="1:7" x14ac:dyDescent="0.2">
      <c r="A14">
        <v>30</v>
      </c>
      <c r="B14" s="28">
        <v>3.0060660000000001</v>
      </c>
      <c r="C14" s="28">
        <v>2.9043109999999999</v>
      </c>
      <c r="D14" s="28">
        <v>1.6634169999999999</v>
      </c>
      <c r="E14" s="28">
        <v>1.572319</v>
      </c>
      <c r="F14">
        <f t="shared" si="0"/>
        <v>4.5730564999999999</v>
      </c>
      <c r="G14">
        <v>30</v>
      </c>
    </row>
    <row r="16" spans="1:7" x14ac:dyDescent="0.2">
      <c r="A16" t="s">
        <v>143</v>
      </c>
      <c r="B16">
        <f>-0.11</f>
        <v>-0.11</v>
      </c>
    </row>
    <row r="17" spans="1:9" x14ac:dyDescent="0.2">
      <c r="A17" t="s">
        <v>224</v>
      </c>
      <c r="B17">
        <f>B16^2</f>
        <v>1.21E-2</v>
      </c>
    </row>
    <row r="18" spans="1:9" x14ac:dyDescent="0.2">
      <c r="A18" t="s">
        <v>145</v>
      </c>
      <c r="B18">
        <v>7.7000000000000002E-3</v>
      </c>
    </row>
    <row r="19" spans="1:9" x14ac:dyDescent="0.2">
      <c r="A19" t="s">
        <v>146</v>
      </c>
      <c r="B19">
        <v>0.94810000000000005</v>
      </c>
      <c r="H19">
        <v>4.5566399999999993E-2</v>
      </c>
      <c r="I19">
        <v>0.1</v>
      </c>
    </row>
    <row r="20" spans="1:9" x14ac:dyDescent="0.2">
      <c r="H20">
        <v>6.2897999999999996E-2</v>
      </c>
      <c r="I20">
        <v>0.25</v>
      </c>
    </row>
    <row r="21" spans="1:9" x14ac:dyDescent="0.2">
      <c r="H21">
        <v>0.12460300000000001</v>
      </c>
      <c r="I21">
        <v>0.5</v>
      </c>
    </row>
    <row r="23" spans="1:9" x14ac:dyDescent="0.2">
      <c r="H23">
        <v>0.32100899999999999</v>
      </c>
      <c r="I23">
        <v>2.5</v>
      </c>
    </row>
    <row r="24" spans="1:9" x14ac:dyDescent="0.2">
      <c r="H24">
        <v>0.56361159999999999</v>
      </c>
      <c r="I24">
        <v>5</v>
      </c>
    </row>
    <row r="25" spans="1:9" x14ac:dyDescent="0.2">
      <c r="H25">
        <v>0.67706535000000001</v>
      </c>
      <c r="I25">
        <v>10</v>
      </c>
    </row>
    <row r="26" spans="1:9" x14ac:dyDescent="0.2">
      <c r="A26" t="s">
        <v>145</v>
      </c>
      <c r="B26">
        <v>0.1235</v>
      </c>
      <c r="H26">
        <v>1.0751252</v>
      </c>
      <c r="I26">
        <v>15</v>
      </c>
    </row>
    <row r="27" spans="1:9" x14ac:dyDescent="0.2">
      <c r="A27" t="s">
        <v>143</v>
      </c>
      <c r="B27">
        <v>4.3999999999999997E-2</v>
      </c>
      <c r="H27">
        <v>1.6770037499999999</v>
      </c>
      <c r="I27">
        <v>20</v>
      </c>
    </row>
    <row r="28" spans="1:9" x14ac:dyDescent="0.2">
      <c r="H28">
        <v>3.1691289999999999</v>
      </c>
      <c r="I28">
        <v>25</v>
      </c>
    </row>
    <row r="29" spans="1:9" x14ac:dyDescent="0.2">
      <c r="H29">
        <v>4.5730564999999999</v>
      </c>
      <c r="I29">
        <v>30</v>
      </c>
    </row>
    <row r="32" spans="1:9" x14ac:dyDescent="0.2">
      <c r="A32" t="s">
        <v>271</v>
      </c>
      <c r="B32" t="s">
        <v>226</v>
      </c>
      <c r="C32" t="s">
        <v>227</v>
      </c>
      <c r="D32" t="s">
        <v>228</v>
      </c>
      <c r="E32" t="s">
        <v>229</v>
      </c>
      <c r="F32" t="s">
        <v>278</v>
      </c>
      <c r="G32" t="s">
        <v>279</v>
      </c>
      <c r="H32" t="s">
        <v>281</v>
      </c>
    </row>
    <row r="33" spans="1:8" x14ac:dyDescent="0.2">
      <c r="A33" t="s">
        <v>230</v>
      </c>
      <c r="B33" s="9">
        <v>1226000</v>
      </c>
      <c r="C33" s="9">
        <v>1476992</v>
      </c>
      <c r="D33" s="9">
        <v>312890</v>
      </c>
      <c r="E33">
        <f>((C33/B33)+(D33/B33))</f>
        <v>1.459936378466558</v>
      </c>
      <c r="F33">
        <f>((-$B$16+(SQRT($B$17-(4*$B$18*($B$19-(E33))))))/(2*$B$18))</f>
        <v>17.982260498530096</v>
      </c>
      <c r="H33">
        <v>17.982260498530096</v>
      </c>
    </row>
    <row r="34" spans="1:8" x14ac:dyDescent="0.2">
      <c r="A34" t="s">
        <v>231</v>
      </c>
      <c r="B34" s="9">
        <v>681845</v>
      </c>
      <c r="C34" s="9">
        <v>1793441</v>
      </c>
      <c r="D34" s="9">
        <v>233840</v>
      </c>
      <c r="E34">
        <f t="shared" ref="E34:E73" si="1">((C34/B34)+(D34/B34))</f>
        <v>2.973228519678226</v>
      </c>
      <c r="F34">
        <f t="shared" ref="F34:F73" si="2">((-$B$16+(SQRT($B$17-(4*$B$18*($B$19-(E34))))))/(2*$B$18))</f>
        <v>24.863582636402274</v>
      </c>
      <c r="H34">
        <v>24.863582636402274</v>
      </c>
    </row>
    <row r="35" spans="1:8" x14ac:dyDescent="0.2">
      <c r="A35" t="s">
        <v>232</v>
      </c>
      <c r="B35" s="9">
        <v>905974</v>
      </c>
      <c r="C35" s="9">
        <v>2904559</v>
      </c>
      <c r="D35" s="9">
        <v>288871</v>
      </c>
      <c r="E35">
        <f t="shared" si="1"/>
        <v>3.5248583292677274</v>
      </c>
      <c r="F35">
        <f t="shared" si="2"/>
        <v>26.781195846250661</v>
      </c>
      <c r="H35">
        <v>26.781195846250661</v>
      </c>
    </row>
    <row r="36" spans="1:8" x14ac:dyDescent="0.2">
      <c r="A36" t="s">
        <v>233</v>
      </c>
      <c r="B36" s="9">
        <v>1018917</v>
      </c>
      <c r="C36" s="9">
        <v>536467</v>
      </c>
      <c r="D36" s="9">
        <v>93016</v>
      </c>
      <c r="E36">
        <f t="shared" si="1"/>
        <v>0.61779615022617151</v>
      </c>
      <c r="G36">
        <f t="shared" ref="G36:G71" si="3">(E36-$B$27)/$B$26</f>
        <v>4.6461226738961257</v>
      </c>
      <c r="H36">
        <v>4.6461226738961257</v>
      </c>
    </row>
    <row r="37" spans="1:8" x14ac:dyDescent="0.2">
      <c r="A37" t="s">
        <v>234</v>
      </c>
      <c r="B37" s="9">
        <v>1286464</v>
      </c>
      <c r="C37" s="9">
        <v>1278155</v>
      </c>
      <c r="D37" s="9">
        <v>329765</v>
      </c>
      <c r="E37">
        <f t="shared" si="1"/>
        <v>1.2498756280782051</v>
      </c>
      <c r="F37">
        <f t="shared" si="2"/>
        <v>16.640859468263354</v>
      </c>
      <c r="H37">
        <v>16.640859468263354</v>
      </c>
    </row>
    <row r="38" spans="1:8" x14ac:dyDescent="0.2">
      <c r="A38" t="s">
        <v>235</v>
      </c>
      <c r="B38" s="9">
        <v>1228946</v>
      </c>
      <c r="C38" s="9">
        <v>2680949</v>
      </c>
      <c r="D38" s="9">
        <v>369141</v>
      </c>
      <c r="E38">
        <f t="shared" si="1"/>
        <v>2.481874712151714</v>
      </c>
      <c r="F38">
        <f t="shared" si="2"/>
        <v>22.960945814435938</v>
      </c>
      <c r="H38">
        <v>22.960945814435938</v>
      </c>
    </row>
    <row r="39" spans="1:8" x14ac:dyDescent="0.2">
      <c r="A39" t="s">
        <v>236</v>
      </c>
      <c r="B39" s="9">
        <v>1726676</v>
      </c>
      <c r="C39" s="9">
        <v>467825</v>
      </c>
      <c r="D39" s="9">
        <v>83036</v>
      </c>
      <c r="E39">
        <f t="shared" si="1"/>
        <v>0.31902974269637152</v>
      </c>
      <c r="G39">
        <f t="shared" si="3"/>
        <v>2.2269614793228465</v>
      </c>
      <c r="H39">
        <v>2.2269614793228465</v>
      </c>
    </row>
    <row r="40" spans="1:8" x14ac:dyDescent="0.2">
      <c r="A40" t="s">
        <v>237</v>
      </c>
      <c r="B40" s="9">
        <v>942544</v>
      </c>
      <c r="C40" s="9">
        <v>99956</v>
      </c>
      <c r="D40" s="9">
        <v>54488</v>
      </c>
      <c r="E40">
        <f t="shared" si="1"/>
        <v>0.16385866336213484</v>
      </c>
      <c r="G40">
        <f t="shared" si="3"/>
        <v>0.9705154928108084</v>
      </c>
      <c r="H40">
        <v>0.9705154928108084</v>
      </c>
    </row>
    <row r="41" spans="1:8" x14ac:dyDescent="0.2">
      <c r="A41" t="s">
        <v>238</v>
      </c>
      <c r="B41" s="9">
        <v>1896349</v>
      </c>
      <c r="C41" s="9">
        <v>693703</v>
      </c>
      <c r="D41" s="9">
        <v>135260</v>
      </c>
      <c r="E41">
        <f t="shared" si="1"/>
        <v>0.43713630771551021</v>
      </c>
      <c r="G41">
        <f t="shared" si="3"/>
        <v>3.1832899410162772</v>
      </c>
      <c r="H41">
        <v>3.1832899410162772</v>
      </c>
    </row>
    <row r="42" spans="1:8" x14ac:dyDescent="0.2">
      <c r="A42" t="s">
        <v>239</v>
      </c>
      <c r="B42" s="9">
        <v>1600379</v>
      </c>
      <c r="C42" s="9">
        <v>654296</v>
      </c>
      <c r="D42" s="9">
        <v>110580</v>
      </c>
      <c r="E42">
        <f t="shared" si="1"/>
        <v>0.47793428931521847</v>
      </c>
      <c r="G42">
        <f t="shared" si="3"/>
        <v>3.5136379701637126</v>
      </c>
      <c r="H42">
        <v>3.5136379701637126</v>
      </c>
    </row>
    <row r="43" spans="1:8" x14ac:dyDescent="0.2">
      <c r="A43" t="s">
        <v>240</v>
      </c>
      <c r="B43" s="9">
        <v>710127</v>
      </c>
      <c r="C43" s="9">
        <v>2729659</v>
      </c>
      <c r="D43" s="9">
        <v>543762</v>
      </c>
      <c r="E43">
        <f t="shared" si="1"/>
        <v>4.6096275736593597</v>
      </c>
      <c r="F43">
        <f t="shared" si="2"/>
        <v>30.089392168378271</v>
      </c>
      <c r="H43">
        <v>30.089392168378271</v>
      </c>
    </row>
    <row r="44" spans="1:8" x14ac:dyDescent="0.2">
      <c r="A44" t="s">
        <v>241</v>
      </c>
      <c r="B44" s="9">
        <v>1214888</v>
      </c>
      <c r="C44" s="9">
        <v>1054944</v>
      </c>
      <c r="D44" s="9">
        <v>266209</v>
      </c>
      <c r="E44">
        <f t="shared" si="1"/>
        <v>1.0874689683328833</v>
      </c>
      <c r="F44">
        <f t="shared" si="2"/>
        <v>15.456717508567097</v>
      </c>
      <c r="H44">
        <v>15.456717508567097</v>
      </c>
    </row>
    <row r="45" spans="1:8" x14ac:dyDescent="0.2">
      <c r="A45" t="s">
        <v>242</v>
      </c>
      <c r="B45" s="9">
        <v>861216</v>
      </c>
      <c r="C45" s="9">
        <v>821054</v>
      </c>
      <c r="D45" s="9">
        <v>127625</v>
      </c>
      <c r="E45">
        <f t="shared" si="1"/>
        <v>1.1015575651172296</v>
      </c>
      <c r="F45">
        <f t="shared" si="2"/>
        <v>15.566037188100971</v>
      </c>
      <c r="H45">
        <v>15.566037188100971</v>
      </c>
    </row>
    <row r="46" spans="1:8" x14ac:dyDescent="0.2">
      <c r="A46" t="s">
        <v>243</v>
      </c>
      <c r="B46" s="9">
        <v>893741</v>
      </c>
      <c r="C46" s="9">
        <v>214483</v>
      </c>
      <c r="D46" s="9">
        <v>179586</v>
      </c>
      <c r="E46">
        <f t="shared" si="1"/>
        <v>0.44092080367802305</v>
      </c>
      <c r="G46">
        <f t="shared" si="3"/>
        <v>3.2139336330204298</v>
      </c>
      <c r="H46">
        <v>3.2139336330204298</v>
      </c>
    </row>
    <row r="47" spans="1:8" x14ac:dyDescent="0.2">
      <c r="A47" t="s">
        <v>244</v>
      </c>
      <c r="B47" s="9">
        <v>1075442</v>
      </c>
      <c r="C47" s="9">
        <v>784998</v>
      </c>
      <c r="D47" s="9">
        <v>164821</v>
      </c>
      <c r="E47">
        <f t="shared" si="1"/>
        <v>0.88318942351144925</v>
      </c>
      <c r="F47">
        <f t="shared" si="2"/>
        <v>13.668994067926384</v>
      </c>
      <c r="H47">
        <v>13.668994067926384</v>
      </c>
    </row>
    <row r="48" spans="1:8" x14ac:dyDescent="0.2">
      <c r="A48" t="s">
        <v>245</v>
      </c>
      <c r="B48" s="9">
        <v>985292</v>
      </c>
      <c r="C48" s="9">
        <v>2690932</v>
      </c>
      <c r="D48" s="9">
        <v>387869</v>
      </c>
      <c r="E48">
        <f t="shared" si="1"/>
        <v>3.1247599696333674</v>
      </c>
      <c r="F48">
        <f t="shared" si="2"/>
        <v>25.410410922787932</v>
      </c>
      <c r="H48">
        <v>25.410410922787932</v>
      </c>
    </row>
    <row r="49" spans="1:8" x14ac:dyDescent="0.2">
      <c r="A49" t="s">
        <v>246</v>
      </c>
      <c r="B49" s="9">
        <v>1336489</v>
      </c>
      <c r="C49" s="9">
        <v>1941318</v>
      </c>
      <c r="D49" s="9">
        <v>273352</v>
      </c>
      <c r="E49">
        <f t="shared" si="1"/>
        <v>1.6570806044793485</v>
      </c>
      <c r="F49">
        <f t="shared" si="2"/>
        <v>19.105123288634097</v>
      </c>
      <c r="H49">
        <v>19.105123288634097</v>
      </c>
    </row>
    <row r="50" spans="1:8" x14ac:dyDescent="0.2">
      <c r="A50" t="s">
        <v>247</v>
      </c>
      <c r="B50" s="9">
        <v>1566321</v>
      </c>
      <c r="C50" s="9">
        <v>300485</v>
      </c>
      <c r="D50" s="9">
        <v>51536</v>
      </c>
      <c r="E50">
        <f t="shared" si="1"/>
        <v>0.22474384241799733</v>
      </c>
      <c r="G50">
        <f t="shared" si="3"/>
        <v>1.463512894072853</v>
      </c>
      <c r="H50">
        <v>1.463512894072853</v>
      </c>
    </row>
    <row r="51" spans="1:8" x14ac:dyDescent="0.2">
      <c r="A51" t="s">
        <v>248</v>
      </c>
      <c r="B51" s="9">
        <v>549923</v>
      </c>
      <c r="C51" s="9">
        <v>113036</v>
      </c>
      <c r="D51" s="9">
        <v>31076</v>
      </c>
      <c r="E51">
        <f t="shared" si="1"/>
        <v>0.26205850637271033</v>
      </c>
      <c r="G51">
        <f t="shared" si="3"/>
        <v>1.7656559220462376</v>
      </c>
      <c r="H51">
        <v>1.7656559220462376</v>
      </c>
    </row>
    <row r="52" spans="1:8" x14ac:dyDescent="0.2">
      <c r="A52" t="s">
        <v>249</v>
      </c>
      <c r="B52" s="9">
        <v>1160341</v>
      </c>
      <c r="C52" s="9">
        <v>374021</v>
      </c>
      <c r="D52" s="9">
        <v>131093</v>
      </c>
      <c r="E52">
        <f t="shared" si="1"/>
        <v>0.43531513580921466</v>
      </c>
      <c r="G52">
        <f t="shared" si="3"/>
        <v>3.1685436097912119</v>
      </c>
      <c r="H52">
        <v>3.1685436097912119</v>
      </c>
    </row>
    <row r="53" spans="1:8" x14ac:dyDescent="0.2">
      <c r="A53" t="s">
        <v>250</v>
      </c>
      <c r="B53" s="9">
        <v>1425811</v>
      </c>
      <c r="C53" s="9">
        <v>57112</v>
      </c>
      <c r="D53" s="9">
        <v>16262</v>
      </c>
      <c r="E53">
        <f t="shared" si="1"/>
        <v>5.1461238551252585E-2</v>
      </c>
      <c r="G53">
        <f t="shared" si="3"/>
        <v>6.0414887054676819E-2</v>
      </c>
      <c r="H53">
        <v>6.0414887054676819E-2</v>
      </c>
    </row>
    <row r="54" spans="1:8" x14ac:dyDescent="0.2">
      <c r="A54" t="s">
        <v>251</v>
      </c>
      <c r="B54" s="9">
        <v>1547926</v>
      </c>
      <c r="C54" s="9">
        <v>268680</v>
      </c>
      <c r="D54" s="9">
        <v>333332</v>
      </c>
      <c r="E54">
        <f t="shared" si="1"/>
        <v>0.38891523238190973</v>
      </c>
      <c r="G54">
        <f t="shared" si="3"/>
        <v>2.7928358897320629</v>
      </c>
      <c r="H54">
        <v>2.7928358897320629</v>
      </c>
    </row>
    <row r="55" spans="1:8" x14ac:dyDescent="0.2">
      <c r="A55" t="s">
        <v>252</v>
      </c>
      <c r="B55" s="9">
        <v>1681611</v>
      </c>
      <c r="C55" s="9">
        <v>642221</v>
      </c>
      <c r="D55" s="9">
        <v>159209</v>
      </c>
      <c r="E55">
        <f t="shared" si="1"/>
        <v>0.47658465602330147</v>
      </c>
      <c r="G55">
        <f t="shared" si="3"/>
        <v>3.5027097653708621</v>
      </c>
      <c r="H55">
        <v>3.5027097653708621</v>
      </c>
    </row>
    <row r="56" spans="1:8" x14ac:dyDescent="0.2">
      <c r="A56" t="s">
        <v>253</v>
      </c>
      <c r="B56" s="9">
        <v>1779513</v>
      </c>
      <c r="C56" s="9">
        <v>468390</v>
      </c>
      <c r="D56" s="9">
        <v>120776</v>
      </c>
      <c r="E56">
        <f t="shared" si="1"/>
        <v>0.33108271757497698</v>
      </c>
      <c r="G56">
        <f t="shared" si="3"/>
        <v>2.3245564176111499</v>
      </c>
      <c r="H56">
        <v>2.3245564176111499</v>
      </c>
    </row>
    <row r="57" spans="1:8" x14ac:dyDescent="0.2">
      <c r="A57" t="s">
        <v>254</v>
      </c>
      <c r="B57" s="9">
        <v>1636883</v>
      </c>
      <c r="C57" s="9">
        <v>212629</v>
      </c>
      <c r="D57" s="9">
        <v>57508</v>
      </c>
      <c r="E57">
        <f t="shared" si="1"/>
        <v>0.16503134310760145</v>
      </c>
      <c r="G57">
        <f t="shared" si="3"/>
        <v>0.98001087536519393</v>
      </c>
      <c r="H57">
        <v>0.98001087536519393</v>
      </c>
    </row>
    <row r="58" spans="1:8" x14ac:dyDescent="0.2">
      <c r="A58" t="s">
        <v>255</v>
      </c>
      <c r="B58" s="9">
        <v>1598146</v>
      </c>
      <c r="C58" s="9">
        <v>258886</v>
      </c>
      <c r="D58" s="9">
        <v>70741</v>
      </c>
      <c r="E58">
        <f t="shared" si="1"/>
        <v>0.20625587399399054</v>
      </c>
      <c r="G58">
        <f t="shared" si="3"/>
        <v>1.3138127448906118</v>
      </c>
      <c r="H58">
        <v>1.3138127448906118</v>
      </c>
    </row>
    <row r="59" spans="1:8" x14ac:dyDescent="0.2">
      <c r="A59" t="s">
        <v>256</v>
      </c>
      <c r="B59" s="9">
        <v>1116666</v>
      </c>
      <c r="C59" s="9">
        <v>110165</v>
      </c>
      <c r="D59" s="9">
        <v>30001</v>
      </c>
      <c r="E59">
        <f t="shared" si="1"/>
        <v>0.12552186598320356</v>
      </c>
      <c r="G59">
        <f t="shared" si="3"/>
        <v>0.66009608083565641</v>
      </c>
      <c r="H59">
        <v>0.66009608083565641</v>
      </c>
    </row>
    <row r="60" spans="1:8" x14ac:dyDescent="0.2">
      <c r="A60" t="s">
        <v>257</v>
      </c>
      <c r="B60" s="9">
        <v>2170598</v>
      </c>
      <c r="C60" s="9">
        <v>60103</v>
      </c>
      <c r="D60" s="9">
        <v>17084</v>
      </c>
      <c r="E60">
        <f t="shared" si="1"/>
        <v>3.5560246531140267E-2</v>
      </c>
      <c r="G60">
        <f t="shared" si="3"/>
        <v>-6.8338084768094984E-2</v>
      </c>
      <c r="H60">
        <v>-6.8338084768094984E-2</v>
      </c>
    </row>
    <row r="61" spans="1:8" x14ac:dyDescent="0.2">
      <c r="A61" t="s">
        <v>258</v>
      </c>
      <c r="B61" s="9">
        <v>2138951</v>
      </c>
      <c r="C61" s="9">
        <v>796130</v>
      </c>
      <c r="D61" s="9">
        <v>177457</v>
      </c>
      <c r="E61">
        <f t="shared" si="1"/>
        <v>0.45517031479449505</v>
      </c>
      <c r="G61">
        <f t="shared" si="3"/>
        <v>3.329314289833968</v>
      </c>
      <c r="H61">
        <v>3.329314289833968</v>
      </c>
    </row>
    <row r="62" spans="1:8" x14ac:dyDescent="0.2">
      <c r="A62" t="s">
        <v>259</v>
      </c>
      <c r="B62" s="9">
        <v>1886279</v>
      </c>
      <c r="C62" s="9">
        <v>492852</v>
      </c>
      <c r="D62" s="9">
        <v>115859</v>
      </c>
      <c r="E62">
        <f t="shared" si="1"/>
        <v>0.32270464761575568</v>
      </c>
      <c r="G62">
        <f t="shared" si="3"/>
        <v>2.2567177944595604</v>
      </c>
      <c r="H62">
        <v>2.2567177944595604</v>
      </c>
    </row>
    <row r="63" spans="1:8" x14ac:dyDescent="0.2">
      <c r="A63" t="s">
        <v>260</v>
      </c>
      <c r="B63" s="9">
        <v>1116033</v>
      </c>
      <c r="C63" s="9">
        <v>441031</v>
      </c>
      <c r="D63" s="9">
        <v>400235</v>
      </c>
      <c r="E63">
        <f t="shared" si="1"/>
        <v>0.7538002908516146</v>
      </c>
      <c r="F63">
        <f t="shared" si="2"/>
        <v>12.220915797740526</v>
      </c>
      <c r="H63">
        <v>12.220915797740526</v>
      </c>
    </row>
    <row r="64" spans="1:8" x14ac:dyDescent="0.2">
      <c r="A64" t="s">
        <v>261</v>
      </c>
      <c r="B64" s="9">
        <v>465423</v>
      </c>
      <c r="C64" s="9">
        <v>131686</v>
      </c>
      <c r="D64" s="9">
        <v>25687</v>
      </c>
      <c r="E64">
        <f t="shared" si="1"/>
        <v>0.33812897085017291</v>
      </c>
      <c r="G64">
        <f t="shared" si="3"/>
        <v>2.3816111000014004</v>
      </c>
      <c r="H64">
        <v>2.3816111000014004</v>
      </c>
    </row>
    <row r="65" spans="1:8" x14ac:dyDescent="0.2">
      <c r="A65" t="s">
        <v>262</v>
      </c>
      <c r="B65" s="9">
        <v>1013448</v>
      </c>
      <c r="C65" s="9">
        <v>121172</v>
      </c>
      <c r="D65" s="9">
        <v>120854</v>
      </c>
      <c r="E65">
        <f t="shared" si="1"/>
        <v>0.23881442363101019</v>
      </c>
      <c r="G65">
        <f t="shared" si="3"/>
        <v>1.5774447257571675</v>
      </c>
      <c r="H65">
        <v>1.5774447257571675</v>
      </c>
    </row>
    <row r="66" spans="1:8" x14ac:dyDescent="0.2">
      <c r="A66" t="s">
        <v>263</v>
      </c>
      <c r="B66" s="9">
        <v>778383</v>
      </c>
      <c r="C66" s="9">
        <v>122506</v>
      </c>
      <c r="D66" s="9">
        <v>113980</v>
      </c>
      <c r="E66">
        <f t="shared" si="1"/>
        <v>0.30381701553091472</v>
      </c>
      <c r="G66">
        <f t="shared" si="3"/>
        <v>2.1037815022746131</v>
      </c>
      <c r="H66">
        <v>2.1037815022746131</v>
      </c>
    </row>
    <row r="67" spans="1:8" x14ac:dyDescent="0.2">
      <c r="A67" t="s">
        <v>264</v>
      </c>
      <c r="B67" s="9">
        <v>601648</v>
      </c>
      <c r="C67" s="9">
        <v>109315</v>
      </c>
      <c r="D67" s="9">
        <v>144182</v>
      </c>
      <c r="E67">
        <f t="shared" si="1"/>
        <v>0.42133772571337391</v>
      </c>
      <c r="G67">
        <f t="shared" si="3"/>
        <v>3.0553662001082911</v>
      </c>
      <c r="H67">
        <v>3.0553662001082911</v>
      </c>
    </row>
    <row r="68" spans="1:8" x14ac:dyDescent="0.2">
      <c r="A68" t="s">
        <v>265</v>
      </c>
      <c r="B68" s="9">
        <v>320644</v>
      </c>
      <c r="C68" s="9">
        <v>108164</v>
      </c>
      <c r="D68" s="9">
        <v>62272</v>
      </c>
      <c r="E68">
        <f t="shared" si="1"/>
        <v>0.53154277017502283</v>
      </c>
      <c r="G68">
        <f t="shared" si="3"/>
        <v>3.9477147382592945</v>
      </c>
      <c r="H68">
        <v>3.9477147382592945</v>
      </c>
    </row>
    <row r="69" spans="1:8" x14ac:dyDescent="0.2">
      <c r="A69" t="s">
        <v>266</v>
      </c>
      <c r="B69" s="9">
        <v>597802</v>
      </c>
      <c r="C69" s="9">
        <v>306713</v>
      </c>
      <c r="D69" s="9">
        <v>55715</v>
      </c>
      <c r="E69">
        <f t="shared" si="1"/>
        <v>0.60626762707384718</v>
      </c>
      <c r="F69">
        <f t="shared" si="2"/>
        <v>9.7170742078171202</v>
      </c>
      <c r="H69">
        <v>9.7170742078171202</v>
      </c>
    </row>
    <row r="70" spans="1:8" x14ac:dyDescent="0.2">
      <c r="A70" t="s">
        <v>267</v>
      </c>
      <c r="B70" s="9">
        <v>314434</v>
      </c>
      <c r="C70" s="9">
        <v>559466</v>
      </c>
      <c r="D70" s="9">
        <v>83756</v>
      </c>
      <c r="E70">
        <f t="shared" si="1"/>
        <v>2.0456502795499212</v>
      </c>
      <c r="F70">
        <f t="shared" si="2"/>
        <v>21.055420009109028</v>
      </c>
      <c r="H70">
        <v>21.055420009109028</v>
      </c>
    </row>
    <row r="71" spans="1:8" x14ac:dyDescent="0.2">
      <c r="A71" t="s">
        <v>268</v>
      </c>
      <c r="B71" s="9">
        <v>843502</v>
      </c>
      <c r="C71" s="9">
        <v>148456</v>
      </c>
      <c r="D71" s="9">
        <v>44588</v>
      </c>
      <c r="E71">
        <f t="shared" si="1"/>
        <v>0.22886015682239044</v>
      </c>
      <c r="G71">
        <f t="shared" si="3"/>
        <v>1.4968433750800845</v>
      </c>
      <c r="H71">
        <v>1.4968433750800845</v>
      </c>
    </row>
    <row r="72" spans="1:8" x14ac:dyDescent="0.2">
      <c r="A72" t="s">
        <v>269</v>
      </c>
      <c r="B72" s="9">
        <v>464316</v>
      </c>
      <c r="C72" s="9">
        <v>752792</v>
      </c>
      <c r="D72" s="9">
        <v>275912</v>
      </c>
      <c r="E72">
        <f t="shared" si="1"/>
        <v>2.2155256334048365</v>
      </c>
      <c r="F72">
        <f t="shared" si="2"/>
        <v>21.826900856163196</v>
      </c>
      <c r="H72">
        <v>21.826900856163196</v>
      </c>
    </row>
    <row r="73" spans="1:8" x14ac:dyDescent="0.2">
      <c r="A73" t="s">
        <v>270</v>
      </c>
      <c r="B73" s="9">
        <v>343516</v>
      </c>
      <c r="C73" s="9">
        <v>1430601</v>
      </c>
      <c r="D73" s="9">
        <v>365705</v>
      </c>
      <c r="E73">
        <f t="shared" si="1"/>
        <v>5.2291770980099912</v>
      </c>
      <c r="F73">
        <f t="shared" si="2"/>
        <v>31.780317378560447</v>
      </c>
      <c r="H73">
        <v>31.780317378560447</v>
      </c>
    </row>
    <row r="76" spans="1:8" x14ac:dyDescent="0.2">
      <c r="A76" t="s">
        <v>271</v>
      </c>
      <c r="B76" t="s">
        <v>272</v>
      </c>
      <c r="C76" t="s">
        <v>273</v>
      </c>
      <c r="D76" t="s">
        <v>278</v>
      </c>
      <c r="E76" t="s">
        <v>279</v>
      </c>
      <c r="G76" t="s">
        <v>280</v>
      </c>
    </row>
    <row r="77" spans="1:8" x14ac:dyDescent="0.2">
      <c r="A77" t="s">
        <v>230</v>
      </c>
      <c r="B77" s="9">
        <v>690175</v>
      </c>
      <c r="C77">
        <f t="shared" ref="C77:C117" si="4">B77/B33</f>
        <v>0.56294861337683522</v>
      </c>
      <c r="E77">
        <f>(C77-$B$27)/$B$26</f>
        <v>4.2020130637800417</v>
      </c>
      <c r="G77">
        <v>4.2020130637800417</v>
      </c>
    </row>
    <row r="78" spans="1:8" x14ac:dyDescent="0.2">
      <c r="A78" t="s">
        <v>231</v>
      </c>
      <c r="B78" s="9">
        <v>6788</v>
      </c>
      <c r="C78">
        <f t="shared" si="4"/>
        <v>9.9553417565575748E-3</v>
      </c>
      <c r="E78">
        <f t="shared" ref="E78:E115" si="5">(C78-$B$27)/$B$26</f>
        <v>-0.27566524893475647</v>
      </c>
      <c r="G78">
        <v>-0.27566524893475647</v>
      </c>
    </row>
    <row r="79" spans="1:8" x14ac:dyDescent="0.2">
      <c r="A79" t="s">
        <v>232</v>
      </c>
      <c r="B79" s="9">
        <v>65822</v>
      </c>
      <c r="C79">
        <f t="shared" si="4"/>
        <v>7.265329910129871E-2</v>
      </c>
      <c r="E79">
        <f t="shared" si="5"/>
        <v>0.23201051903885597</v>
      </c>
      <c r="G79">
        <v>0.23201051903885597</v>
      </c>
    </row>
    <row r="80" spans="1:8" x14ac:dyDescent="0.2">
      <c r="A80" t="s">
        <v>233</v>
      </c>
      <c r="B80">
        <v>0</v>
      </c>
      <c r="C80">
        <f t="shared" si="4"/>
        <v>0</v>
      </c>
      <c r="E80">
        <f t="shared" si="5"/>
        <v>-0.35627530364372467</v>
      </c>
      <c r="G80">
        <v>-0.35627530364372467</v>
      </c>
    </row>
    <row r="81" spans="1:7" x14ac:dyDescent="0.2">
      <c r="A81" t="s">
        <v>234</v>
      </c>
      <c r="B81" s="9">
        <v>195719</v>
      </c>
      <c r="C81">
        <f t="shared" si="4"/>
        <v>0.15213717601114374</v>
      </c>
      <c r="E81">
        <f t="shared" si="5"/>
        <v>0.8756046640578441</v>
      </c>
      <c r="G81">
        <v>0.8756046640578441</v>
      </c>
    </row>
    <row r="82" spans="1:7" x14ac:dyDescent="0.2">
      <c r="A82" t="s">
        <v>235</v>
      </c>
      <c r="B82" s="9">
        <v>237080</v>
      </c>
      <c r="C82">
        <f t="shared" si="4"/>
        <v>0.192913276905576</v>
      </c>
      <c r="E82">
        <f t="shared" si="5"/>
        <v>1.2057755215026396</v>
      </c>
      <c r="G82">
        <v>1.2057755215026396</v>
      </c>
    </row>
    <row r="83" spans="1:7" x14ac:dyDescent="0.2">
      <c r="A83" t="s">
        <v>236</v>
      </c>
      <c r="B83">
        <v>0</v>
      </c>
      <c r="C83">
        <f t="shared" si="4"/>
        <v>0</v>
      </c>
      <c r="E83">
        <f t="shared" si="5"/>
        <v>-0.35627530364372467</v>
      </c>
      <c r="G83">
        <v>-0.35627530364372467</v>
      </c>
    </row>
    <row r="84" spans="1:7" x14ac:dyDescent="0.2">
      <c r="A84" t="s">
        <v>237</v>
      </c>
      <c r="B84" s="9">
        <v>7769</v>
      </c>
      <c r="C84">
        <f t="shared" si="4"/>
        <v>8.2425860225092944E-3</v>
      </c>
      <c r="E84">
        <f t="shared" si="5"/>
        <v>-0.28953371641692877</v>
      </c>
      <c r="G84">
        <v>-0.28953371641692877</v>
      </c>
    </row>
    <row r="85" spans="1:7" x14ac:dyDescent="0.2">
      <c r="A85" t="s">
        <v>238</v>
      </c>
      <c r="B85" s="9">
        <v>44969</v>
      </c>
      <c r="C85">
        <f t="shared" si="4"/>
        <v>2.3713462026240952E-2</v>
      </c>
      <c r="E85">
        <f t="shared" si="5"/>
        <v>-0.16426346537456718</v>
      </c>
      <c r="G85">
        <v>-0.16426346537456718</v>
      </c>
    </row>
    <row r="86" spans="1:7" x14ac:dyDescent="0.2">
      <c r="A86" t="s">
        <v>239</v>
      </c>
      <c r="B86" s="9">
        <v>2689</v>
      </c>
      <c r="C86">
        <f t="shared" si="4"/>
        <v>1.6802269962302679E-3</v>
      </c>
      <c r="E86">
        <f t="shared" si="5"/>
        <v>-0.34267022675117192</v>
      </c>
      <c r="G86">
        <v>-0.34267022675117192</v>
      </c>
    </row>
    <row r="87" spans="1:7" x14ac:dyDescent="0.2">
      <c r="A87" t="s">
        <v>240</v>
      </c>
      <c r="B87" s="9">
        <v>6622</v>
      </c>
      <c r="C87">
        <f t="shared" si="4"/>
        <v>9.3250925538671259E-3</v>
      </c>
      <c r="E87">
        <f t="shared" si="5"/>
        <v>-0.28076848134520543</v>
      </c>
      <c r="G87">
        <v>-0.28076848134520543</v>
      </c>
    </row>
    <row r="88" spans="1:7" x14ac:dyDescent="0.2">
      <c r="A88" t="s">
        <v>241</v>
      </c>
      <c r="B88" s="9">
        <v>477009</v>
      </c>
      <c r="C88">
        <f t="shared" si="4"/>
        <v>0.39263619362443286</v>
      </c>
      <c r="E88">
        <f t="shared" si="5"/>
        <v>2.8229651305622094</v>
      </c>
      <c r="G88">
        <v>2.8229651305622094</v>
      </c>
    </row>
    <row r="89" spans="1:7" x14ac:dyDescent="0.2">
      <c r="A89" t="s">
        <v>242</v>
      </c>
      <c r="B89" s="9">
        <v>2441</v>
      </c>
      <c r="C89">
        <f t="shared" si="4"/>
        <v>2.8343644335451267E-3</v>
      </c>
      <c r="E89">
        <f t="shared" si="5"/>
        <v>-0.33332498434376412</v>
      </c>
      <c r="G89">
        <v>-0.33332498434376412</v>
      </c>
    </row>
    <row r="90" spans="1:7" x14ac:dyDescent="0.2">
      <c r="A90" t="s">
        <v>243</v>
      </c>
      <c r="B90" s="9">
        <v>55379</v>
      </c>
      <c r="C90">
        <f t="shared" si="4"/>
        <v>6.1963141447018769E-2</v>
      </c>
      <c r="E90">
        <f t="shared" si="5"/>
        <v>0.14545053803254065</v>
      </c>
      <c r="G90">
        <v>0.14545053803254065</v>
      </c>
    </row>
    <row r="91" spans="1:7" x14ac:dyDescent="0.2">
      <c r="A91" t="s">
        <v>244</v>
      </c>
      <c r="B91" s="9">
        <v>1818</v>
      </c>
      <c r="C91">
        <f t="shared" si="4"/>
        <v>1.6904677332668801E-3</v>
      </c>
      <c r="E91">
        <f t="shared" si="5"/>
        <v>-0.34258730580350705</v>
      </c>
      <c r="G91">
        <v>-0.34258730580350705</v>
      </c>
    </row>
    <row r="92" spans="1:7" x14ac:dyDescent="0.2">
      <c r="A92" t="s">
        <v>245</v>
      </c>
      <c r="B92" s="9">
        <v>757913</v>
      </c>
      <c r="C92">
        <f t="shared" si="4"/>
        <v>0.76922678759190166</v>
      </c>
      <c r="D92">
        <f t="shared" ref="D92:D117" si="6">((-$B$16+(SQRT($B$17-(4*$B$18*($B$19-(C92))))))/(2*$B$18))</f>
        <v>12.414490745217822</v>
      </c>
      <c r="G92">
        <v>12.414490745217822</v>
      </c>
    </row>
    <row r="93" spans="1:7" x14ac:dyDescent="0.2">
      <c r="A93" t="s">
        <v>246</v>
      </c>
      <c r="B93" s="9">
        <v>13149</v>
      </c>
      <c r="C93">
        <f t="shared" si="4"/>
        <v>9.8384648134028779E-3</v>
      </c>
      <c r="E93">
        <f t="shared" si="5"/>
        <v>-0.27661162094410624</v>
      </c>
      <c r="G93">
        <v>-0.27661162094410624</v>
      </c>
    </row>
    <row r="94" spans="1:7" x14ac:dyDescent="0.2">
      <c r="A94" t="s">
        <v>247</v>
      </c>
      <c r="B94" s="9">
        <v>169166</v>
      </c>
      <c r="C94">
        <f t="shared" si="4"/>
        <v>0.10800212727786961</v>
      </c>
      <c r="E94">
        <f t="shared" si="5"/>
        <v>0.51823584840380255</v>
      </c>
      <c r="G94">
        <v>0.51823584840380255</v>
      </c>
    </row>
    <row r="95" spans="1:7" x14ac:dyDescent="0.2">
      <c r="A95" t="s">
        <v>248</v>
      </c>
      <c r="B95">
        <v>0</v>
      </c>
      <c r="C95">
        <f t="shared" si="4"/>
        <v>0</v>
      </c>
      <c r="E95">
        <f t="shared" si="5"/>
        <v>-0.35627530364372467</v>
      </c>
      <c r="G95">
        <v>-0.35627530364372467</v>
      </c>
    </row>
    <row r="96" spans="1:7" x14ac:dyDescent="0.2">
      <c r="A96" t="s">
        <v>249</v>
      </c>
      <c r="B96" s="9">
        <v>10777</v>
      </c>
      <c r="C96">
        <f t="shared" si="4"/>
        <v>9.2877869522838552E-3</v>
      </c>
      <c r="E96">
        <f t="shared" si="5"/>
        <v>-0.28107055099365297</v>
      </c>
      <c r="G96">
        <v>-0.28107055099365297</v>
      </c>
    </row>
    <row r="97" spans="1:7" x14ac:dyDescent="0.2">
      <c r="A97" t="s">
        <v>250</v>
      </c>
      <c r="B97">
        <v>0</v>
      </c>
      <c r="C97">
        <f t="shared" si="4"/>
        <v>0</v>
      </c>
      <c r="E97">
        <f t="shared" si="5"/>
        <v>-0.35627530364372467</v>
      </c>
      <c r="G97">
        <v>-0.35627530364372467</v>
      </c>
    </row>
    <row r="98" spans="1:7" x14ac:dyDescent="0.2">
      <c r="A98" t="s">
        <v>251</v>
      </c>
      <c r="B98" s="9">
        <v>74089</v>
      </c>
      <c r="C98">
        <f t="shared" si="4"/>
        <v>4.7863399154739958E-2</v>
      </c>
      <c r="E98">
        <f t="shared" si="5"/>
        <v>3.1282584248906564E-2</v>
      </c>
      <c r="G98">
        <v>3.1282584248906564E-2</v>
      </c>
    </row>
    <row r="99" spans="1:7" x14ac:dyDescent="0.2">
      <c r="A99" t="s">
        <v>252</v>
      </c>
      <c r="B99" s="9">
        <v>16086</v>
      </c>
      <c r="C99">
        <f t="shared" si="4"/>
        <v>9.5658270551274936E-3</v>
      </c>
      <c r="E99">
        <f t="shared" si="5"/>
        <v>-0.27881921412852234</v>
      </c>
      <c r="G99">
        <v>-0.27881921412852234</v>
      </c>
    </row>
    <row r="100" spans="1:7" x14ac:dyDescent="0.2">
      <c r="A100" t="s">
        <v>253</v>
      </c>
      <c r="B100" s="9">
        <v>5616</v>
      </c>
      <c r="C100">
        <f t="shared" si="4"/>
        <v>3.1559196252008274E-3</v>
      </c>
      <c r="E100">
        <f t="shared" si="5"/>
        <v>-0.33072129858136978</v>
      </c>
      <c r="G100">
        <v>-0.33072129858136978</v>
      </c>
    </row>
    <row r="101" spans="1:7" x14ac:dyDescent="0.2">
      <c r="A101" t="s">
        <v>254</v>
      </c>
      <c r="B101" s="9">
        <v>2835</v>
      </c>
      <c r="C101">
        <f t="shared" si="4"/>
        <v>1.7319502982192374E-3</v>
      </c>
      <c r="E101">
        <f t="shared" si="5"/>
        <v>-0.3422514145893179</v>
      </c>
      <c r="G101">
        <v>-0.3422514145893179</v>
      </c>
    </row>
    <row r="102" spans="1:7" x14ac:dyDescent="0.2">
      <c r="A102" t="s">
        <v>255</v>
      </c>
      <c r="B102" s="9">
        <v>3962</v>
      </c>
      <c r="C102">
        <f t="shared" si="4"/>
        <v>2.4791226834094005E-3</v>
      </c>
      <c r="E102">
        <f t="shared" si="5"/>
        <v>-0.33620143576186717</v>
      </c>
      <c r="G102">
        <v>-0.33620143576186717</v>
      </c>
    </row>
    <row r="103" spans="1:7" x14ac:dyDescent="0.2">
      <c r="A103" t="s">
        <v>256</v>
      </c>
      <c r="B103">
        <v>0</v>
      </c>
      <c r="C103">
        <f t="shared" si="4"/>
        <v>0</v>
      </c>
      <c r="E103">
        <f t="shared" si="5"/>
        <v>-0.35627530364372467</v>
      </c>
      <c r="G103">
        <v>-0.35627530364372467</v>
      </c>
    </row>
    <row r="104" spans="1:7" x14ac:dyDescent="0.2">
      <c r="A104" t="s">
        <v>257</v>
      </c>
      <c r="B104" s="9">
        <v>1840</v>
      </c>
      <c r="C104">
        <f t="shared" si="4"/>
        <v>8.4769266349641898E-4</v>
      </c>
      <c r="E104">
        <f t="shared" si="5"/>
        <v>-0.3494113954372759</v>
      </c>
      <c r="G104">
        <v>-0.3494113954372759</v>
      </c>
    </row>
    <row r="105" spans="1:7" x14ac:dyDescent="0.2">
      <c r="A105" t="s">
        <v>258</v>
      </c>
      <c r="B105" s="9">
        <v>41176</v>
      </c>
      <c r="C105">
        <f t="shared" si="4"/>
        <v>1.9250557866917008E-2</v>
      </c>
      <c r="E105">
        <f t="shared" si="5"/>
        <v>-0.20040034115856672</v>
      </c>
      <c r="G105">
        <v>-0.20040034115856672</v>
      </c>
    </row>
    <row r="106" spans="1:7" x14ac:dyDescent="0.2">
      <c r="A106" t="s">
        <v>259</v>
      </c>
      <c r="B106" s="9">
        <v>252128</v>
      </c>
      <c r="C106">
        <f t="shared" si="4"/>
        <v>0.1336642140425674</v>
      </c>
      <c r="E106">
        <f t="shared" si="5"/>
        <v>0.72602602463617327</v>
      </c>
      <c r="G106">
        <v>0.72602602463617327</v>
      </c>
    </row>
    <row r="107" spans="1:7" x14ac:dyDescent="0.2">
      <c r="A107" t="s">
        <v>260</v>
      </c>
      <c r="B107" s="9">
        <v>17366</v>
      </c>
      <c r="C107">
        <f t="shared" si="4"/>
        <v>1.5560471778164265E-2</v>
      </c>
      <c r="E107">
        <f t="shared" si="5"/>
        <v>-0.23027958074360919</v>
      </c>
      <c r="G107">
        <v>-0.23027958074360919</v>
      </c>
    </row>
    <row r="108" spans="1:7" x14ac:dyDescent="0.2">
      <c r="A108" t="s">
        <v>261</v>
      </c>
      <c r="B108" s="9">
        <v>6610</v>
      </c>
      <c r="C108">
        <f t="shared" si="4"/>
        <v>1.4202134402468293E-2</v>
      </c>
      <c r="E108">
        <f t="shared" si="5"/>
        <v>-0.24127826394762514</v>
      </c>
      <c r="G108">
        <v>-0.24127826394762514</v>
      </c>
    </row>
    <row r="109" spans="1:7" x14ac:dyDescent="0.2">
      <c r="A109" t="s">
        <v>262</v>
      </c>
      <c r="B109" s="9">
        <v>75785</v>
      </c>
      <c r="C109">
        <f t="shared" si="4"/>
        <v>7.4779367071620848E-2</v>
      </c>
      <c r="E109">
        <f t="shared" si="5"/>
        <v>0.24922564430462227</v>
      </c>
      <c r="G109">
        <v>0.24922564430462227</v>
      </c>
    </row>
    <row r="110" spans="1:7" x14ac:dyDescent="0.2">
      <c r="A110" t="s">
        <v>263</v>
      </c>
      <c r="B110" s="9">
        <v>188629</v>
      </c>
      <c r="C110">
        <f t="shared" si="4"/>
        <v>0.24233442919488221</v>
      </c>
      <c r="E110">
        <f t="shared" si="5"/>
        <v>1.6059467951002608</v>
      </c>
      <c r="G110">
        <v>1.6059467951002608</v>
      </c>
    </row>
    <row r="111" spans="1:7" x14ac:dyDescent="0.2">
      <c r="A111" t="s">
        <v>264</v>
      </c>
      <c r="B111" s="9">
        <v>114748</v>
      </c>
      <c r="C111">
        <f t="shared" si="4"/>
        <v>0.19072281466904237</v>
      </c>
      <c r="E111">
        <f t="shared" si="5"/>
        <v>1.188038985174432</v>
      </c>
      <c r="G111">
        <v>1.188038985174432</v>
      </c>
    </row>
    <row r="112" spans="1:7" x14ac:dyDescent="0.2">
      <c r="A112" t="s">
        <v>265</v>
      </c>
      <c r="B112">
        <v>0</v>
      </c>
      <c r="C112">
        <f t="shared" si="4"/>
        <v>0</v>
      </c>
      <c r="E112">
        <f t="shared" si="5"/>
        <v>-0.35627530364372467</v>
      </c>
      <c r="G112">
        <v>-0.35627530364372467</v>
      </c>
    </row>
    <row r="113" spans="1:7" x14ac:dyDescent="0.2">
      <c r="A113" t="s">
        <v>266</v>
      </c>
      <c r="B113" s="9">
        <v>10029</v>
      </c>
      <c r="C113">
        <f t="shared" si="4"/>
        <v>1.677645775691617E-2</v>
      </c>
      <c r="E113">
        <f t="shared" si="5"/>
        <v>-0.22043354042982857</v>
      </c>
      <c r="G113">
        <v>-0.22043354042982857</v>
      </c>
    </row>
    <row r="114" spans="1:7" x14ac:dyDescent="0.2">
      <c r="A114" t="s">
        <v>267</v>
      </c>
      <c r="B114" s="9">
        <v>283568</v>
      </c>
      <c r="C114">
        <f t="shared" si="4"/>
        <v>0.90183631541118325</v>
      </c>
      <c r="D114">
        <f t="shared" si="6"/>
        <v>13.851965685535889</v>
      </c>
      <c r="G114">
        <v>13.851965685535889</v>
      </c>
    </row>
    <row r="115" spans="1:7" x14ac:dyDescent="0.2">
      <c r="A115" t="s">
        <v>268</v>
      </c>
      <c r="B115" s="9">
        <v>5118</v>
      </c>
      <c r="C115">
        <f t="shared" si="4"/>
        <v>6.0675611913190482E-3</v>
      </c>
      <c r="E115">
        <f t="shared" si="5"/>
        <v>-0.30714525351158661</v>
      </c>
      <c r="G115">
        <v>-0.30714525351158661</v>
      </c>
    </row>
    <row r="116" spans="1:7" x14ac:dyDescent="0.2">
      <c r="A116" t="s">
        <v>269</v>
      </c>
      <c r="B116" s="9">
        <v>752936</v>
      </c>
      <c r="C116">
        <f t="shared" si="4"/>
        <v>1.621602529311934</v>
      </c>
      <c r="D116">
        <f t="shared" si="6"/>
        <v>18.910961030606735</v>
      </c>
      <c r="G116">
        <v>18.910961030606735</v>
      </c>
    </row>
    <row r="117" spans="1:7" x14ac:dyDescent="0.2">
      <c r="A117" t="s">
        <v>270</v>
      </c>
      <c r="B117" s="9">
        <v>342607</v>
      </c>
      <c r="C117">
        <f t="shared" si="4"/>
        <v>0.99735383504698472</v>
      </c>
      <c r="D117">
        <f t="shared" si="6"/>
        <v>14.720258420169777</v>
      </c>
      <c r="G117">
        <v>14.720258420169777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BFA4-1C19-4C6A-984A-6CE6D408AAD5}">
  <dimension ref="A1:G67"/>
  <sheetViews>
    <sheetView zoomScale="150" workbookViewId="0">
      <selection activeCell="D1" activeCellId="1" sqref="A1:A40 D1:E40"/>
    </sheetView>
  </sheetViews>
  <sheetFormatPr baseColWidth="10" defaultColWidth="8.83203125" defaultRowHeight="15" x14ac:dyDescent="0.2"/>
  <cols>
    <col min="1" max="1" width="31" customWidth="1"/>
  </cols>
  <sheetData>
    <row r="1" spans="1:7" x14ac:dyDescent="0.2">
      <c r="A1" t="s">
        <v>271</v>
      </c>
      <c r="B1" t="s">
        <v>281</v>
      </c>
      <c r="C1" t="s">
        <v>280</v>
      </c>
      <c r="D1" t="s">
        <v>282</v>
      </c>
      <c r="E1" t="s">
        <v>283</v>
      </c>
    </row>
    <row r="2" spans="1:7" x14ac:dyDescent="0.2">
      <c r="A2" t="s">
        <v>284</v>
      </c>
      <c r="B2">
        <v>17.982260498530096</v>
      </c>
      <c r="C2">
        <v>4.2020130637800417</v>
      </c>
      <c r="D2">
        <f>B2*1000</f>
        <v>17982.260498530097</v>
      </c>
      <c r="E2">
        <f>C2*1000</f>
        <v>4202.0130637800421</v>
      </c>
    </row>
    <row r="3" spans="1:7" x14ac:dyDescent="0.2">
      <c r="A3" t="s">
        <v>285</v>
      </c>
      <c r="B3">
        <v>24.863582636402274</v>
      </c>
      <c r="C3">
        <v>-0.27566524893475647</v>
      </c>
      <c r="D3">
        <f t="shared" ref="D3:D40" si="0">B3*1000</f>
        <v>24863.582636402272</v>
      </c>
      <c r="E3">
        <f t="shared" ref="E3:E40" si="1">C3*1000</f>
        <v>-275.66524893475645</v>
      </c>
    </row>
    <row r="4" spans="1:7" x14ac:dyDescent="0.2">
      <c r="A4" t="s">
        <v>286</v>
      </c>
      <c r="B4">
        <v>26.781195846250661</v>
      </c>
      <c r="C4">
        <v>0.23201051903885597</v>
      </c>
      <c r="D4">
        <f t="shared" si="0"/>
        <v>26781.195846250663</v>
      </c>
      <c r="E4">
        <f t="shared" si="1"/>
        <v>232.01051903885596</v>
      </c>
      <c r="F4" s="9"/>
      <c r="G4" s="9"/>
    </row>
    <row r="5" spans="1:7" x14ac:dyDescent="0.2">
      <c r="A5" t="s">
        <v>287</v>
      </c>
      <c r="B5">
        <v>4.6461226738961257</v>
      </c>
      <c r="C5">
        <v>-0.35627530364372467</v>
      </c>
      <c r="D5">
        <f t="shared" si="0"/>
        <v>4646.1226738961259</v>
      </c>
      <c r="E5">
        <f t="shared" si="1"/>
        <v>-356.27530364372467</v>
      </c>
      <c r="F5" s="9"/>
      <c r="G5" s="9"/>
    </row>
    <row r="6" spans="1:7" x14ac:dyDescent="0.2">
      <c r="A6" t="s">
        <v>288</v>
      </c>
      <c r="B6">
        <v>16.640859468263354</v>
      </c>
      <c r="C6">
        <v>0.8756046640578441</v>
      </c>
      <c r="D6">
        <f t="shared" si="0"/>
        <v>16640.859468263356</v>
      </c>
      <c r="E6">
        <f t="shared" si="1"/>
        <v>875.60466405784405</v>
      </c>
      <c r="F6" s="9"/>
      <c r="G6" s="9"/>
    </row>
    <row r="7" spans="1:7" x14ac:dyDescent="0.2">
      <c r="A7" t="s">
        <v>289</v>
      </c>
      <c r="B7">
        <v>22.960945814435938</v>
      </c>
      <c r="C7">
        <v>1.2057755215026396</v>
      </c>
      <c r="D7">
        <f t="shared" si="0"/>
        <v>22960.945814435938</v>
      </c>
      <c r="E7">
        <f t="shared" si="1"/>
        <v>1205.7755215026395</v>
      </c>
      <c r="F7" s="9"/>
      <c r="G7" s="9"/>
    </row>
    <row r="8" spans="1:7" x14ac:dyDescent="0.2">
      <c r="A8" t="s">
        <v>290</v>
      </c>
      <c r="B8">
        <v>0.9705154928108084</v>
      </c>
      <c r="C8">
        <v>-0.28953371641692877</v>
      </c>
      <c r="D8">
        <f t="shared" si="0"/>
        <v>970.51549281080838</v>
      </c>
      <c r="E8">
        <f t="shared" si="1"/>
        <v>-289.53371641692877</v>
      </c>
      <c r="F8" s="9"/>
      <c r="G8" s="9"/>
    </row>
    <row r="9" spans="1:7" x14ac:dyDescent="0.2">
      <c r="A9" t="s">
        <v>291</v>
      </c>
      <c r="B9">
        <v>3.1832899410162772</v>
      </c>
      <c r="C9">
        <v>-0.16426346537456718</v>
      </c>
      <c r="D9">
        <f t="shared" si="0"/>
        <v>3183.2899410162772</v>
      </c>
      <c r="E9">
        <f t="shared" si="1"/>
        <v>-164.26346537456718</v>
      </c>
      <c r="F9" s="9"/>
      <c r="G9" s="9"/>
    </row>
    <row r="10" spans="1:7" x14ac:dyDescent="0.2">
      <c r="A10" t="s">
        <v>292</v>
      </c>
      <c r="B10">
        <v>3.5136379701637126</v>
      </c>
      <c r="C10">
        <v>-0.34267022675117192</v>
      </c>
      <c r="D10">
        <f t="shared" si="0"/>
        <v>3513.6379701637125</v>
      </c>
      <c r="E10">
        <f t="shared" si="1"/>
        <v>-342.67022675117192</v>
      </c>
    </row>
    <row r="11" spans="1:7" x14ac:dyDescent="0.2">
      <c r="A11" t="s">
        <v>293</v>
      </c>
      <c r="B11">
        <v>15.456717508567097</v>
      </c>
      <c r="C11">
        <v>2.8229651305622094</v>
      </c>
      <c r="D11">
        <f t="shared" si="0"/>
        <v>15456.717508567097</v>
      </c>
      <c r="E11">
        <f t="shared" si="1"/>
        <v>2822.9651305622097</v>
      </c>
    </row>
    <row r="12" spans="1:7" x14ac:dyDescent="0.2">
      <c r="A12" t="s">
        <v>294</v>
      </c>
      <c r="B12">
        <v>15.566037188100971</v>
      </c>
      <c r="C12">
        <v>-0.33332498434376412</v>
      </c>
      <c r="D12">
        <f t="shared" si="0"/>
        <v>15566.037188100971</v>
      </c>
      <c r="E12">
        <f t="shared" si="1"/>
        <v>-333.32498434376413</v>
      </c>
    </row>
    <row r="13" spans="1:7" x14ac:dyDescent="0.2">
      <c r="A13" t="s">
        <v>295</v>
      </c>
      <c r="B13">
        <v>3.2139336330204298</v>
      </c>
      <c r="C13">
        <v>0.14545053803254065</v>
      </c>
      <c r="D13">
        <f t="shared" si="0"/>
        <v>3213.9336330204296</v>
      </c>
      <c r="E13">
        <f t="shared" si="1"/>
        <v>145.45053803254066</v>
      </c>
    </row>
    <row r="14" spans="1:7" x14ac:dyDescent="0.2">
      <c r="A14" t="s">
        <v>296</v>
      </c>
      <c r="B14">
        <v>13.668994067926384</v>
      </c>
      <c r="C14">
        <v>-0.34258730580350705</v>
      </c>
      <c r="D14">
        <f t="shared" si="0"/>
        <v>13668.994067926384</v>
      </c>
      <c r="E14">
        <f t="shared" si="1"/>
        <v>-342.58730580350704</v>
      </c>
    </row>
    <row r="15" spans="1:7" x14ac:dyDescent="0.2">
      <c r="A15" t="s">
        <v>297</v>
      </c>
      <c r="B15">
        <v>25.410410922787932</v>
      </c>
      <c r="C15">
        <v>12.414490745217822</v>
      </c>
      <c r="D15">
        <f t="shared" si="0"/>
        <v>25410.410922787931</v>
      </c>
      <c r="E15">
        <f t="shared" si="1"/>
        <v>12414.490745217823</v>
      </c>
    </row>
    <row r="16" spans="1:7" x14ac:dyDescent="0.2">
      <c r="A16" t="s">
        <v>298</v>
      </c>
      <c r="B16">
        <v>19.105123288634097</v>
      </c>
      <c r="C16">
        <v>-0.27661162094410624</v>
      </c>
      <c r="D16">
        <f t="shared" si="0"/>
        <v>19105.123288634099</v>
      </c>
      <c r="E16">
        <f t="shared" si="1"/>
        <v>-276.61162094410622</v>
      </c>
    </row>
    <row r="17" spans="1:7" x14ac:dyDescent="0.2">
      <c r="A17" t="s">
        <v>299</v>
      </c>
      <c r="B17">
        <v>1.463512894072853</v>
      </c>
      <c r="C17">
        <v>0.51823584840380255</v>
      </c>
      <c r="D17">
        <f t="shared" si="0"/>
        <v>1463.512894072853</v>
      </c>
      <c r="E17">
        <f t="shared" si="1"/>
        <v>518.23584840380249</v>
      </c>
    </row>
    <row r="18" spans="1:7" x14ac:dyDescent="0.2">
      <c r="A18" t="s">
        <v>300</v>
      </c>
      <c r="B18">
        <v>1.7656559220462376</v>
      </c>
      <c r="C18">
        <v>-0.35627530364372467</v>
      </c>
      <c r="D18">
        <f t="shared" si="0"/>
        <v>1765.6559220462375</v>
      </c>
      <c r="E18">
        <f t="shared" si="1"/>
        <v>-356.27530364372467</v>
      </c>
    </row>
    <row r="19" spans="1:7" x14ac:dyDescent="0.2">
      <c r="A19" t="s">
        <v>301</v>
      </c>
      <c r="B19">
        <v>3.1685436097912119</v>
      </c>
      <c r="C19">
        <v>-0.28107055099365297</v>
      </c>
      <c r="D19">
        <f t="shared" si="0"/>
        <v>3168.543609791212</v>
      </c>
      <c r="E19">
        <f t="shared" si="1"/>
        <v>-281.07055099365294</v>
      </c>
    </row>
    <row r="20" spans="1:7" x14ac:dyDescent="0.2">
      <c r="A20" t="s">
        <v>302</v>
      </c>
      <c r="B20">
        <v>6.0414887054676819E-2</v>
      </c>
      <c r="C20">
        <v>-0.35627530364372467</v>
      </c>
      <c r="D20">
        <f t="shared" si="0"/>
        <v>60.414887054676818</v>
      </c>
      <c r="E20">
        <f t="shared" si="1"/>
        <v>-356.27530364372467</v>
      </c>
    </row>
    <row r="21" spans="1:7" x14ac:dyDescent="0.2">
      <c r="A21" t="s">
        <v>303</v>
      </c>
      <c r="B21">
        <v>2.7928358897320629</v>
      </c>
      <c r="C21">
        <v>3.1282584248906564E-2</v>
      </c>
      <c r="D21">
        <f t="shared" si="0"/>
        <v>2792.8358897320627</v>
      </c>
      <c r="E21">
        <f t="shared" si="1"/>
        <v>31.282584248906563</v>
      </c>
    </row>
    <row r="22" spans="1:7" x14ac:dyDescent="0.2">
      <c r="A22" t="s">
        <v>304</v>
      </c>
      <c r="B22">
        <v>3.5027097653708621</v>
      </c>
      <c r="C22">
        <v>-0.27881921412852234</v>
      </c>
      <c r="D22">
        <f t="shared" si="0"/>
        <v>3502.709765370862</v>
      </c>
      <c r="E22">
        <f t="shared" si="1"/>
        <v>-278.81921412852233</v>
      </c>
    </row>
    <row r="23" spans="1:7" x14ac:dyDescent="0.2">
      <c r="A23" t="s">
        <v>305</v>
      </c>
      <c r="B23">
        <v>2.3245564176111499</v>
      </c>
      <c r="C23">
        <v>-0.33072129858136978</v>
      </c>
      <c r="D23">
        <f t="shared" si="0"/>
        <v>2324.5564176111498</v>
      </c>
      <c r="E23">
        <f t="shared" si="1"/>
        <v>-330.72129858136981</v>
      </c>
    </row>
    <row r="24" spans="1:7" x14ac:dyDescent="0.2">
      <c r="A24" t="s">
        <v>306</v>
      </c>
      <c r="B24">
        <v>0.98001087536519393</v>
      </c>
      <c r="C24">
        <v>-0.3422514145893179</v>
      </c>
      <c r="D24">
        <f t="shared" si="0"/>
        <v>980.0108753651939</v>
      </c>
      <c r="E24">
        <f t="shared" si="1"/>
        <v>-342.2514145893179</v>
      </c>
    </row>
    <row r="25" spans="1:7" x14ac:dyDescent="0.2">
      <c r="A25" t="s">
        <v>307</v>
      </c>
      <c r="B25">
        <v>1.3138127448906118</v>
      </c>
      <c r="C25">
        <v>-0.33620143576186717</v>
      </c>
      <c r="D25">
        <f t="shared" si="0"/>
        <v>1313.8127448906118</v>
      </c>
      <c r="E25">
        <f t="shared" si="1"/>
        <v>-336.20143576186717</v>
      </c>
    </row>
    <row r="26" spans="1:7" x14ac:dyDescent="0.2">
      <c r="A26" t="s">
        <v>308</v>
      </c>
      <c r="B26">
        <v>0.66009608083565641</v>
      </c>
      <c r="C26">
        <v>-0.35627530364372467</v>
      </c>
      <c r="D26">
        <f t="shared" si="0"/>
        <v>660.09608083565638</v>
      </c>
      <c r="E26">
        <f t="shared" si="1"/>
        <v>-356.27530364372467</v>
      </c>
    </row>
    <row r="27" spans="1:7" x14ac:dyDescent="0.2">
      <c r="A27" t="s">
        <v>309</v>
      </c>
      <c r="B27">
        <v>-6.8338084768094984E-2</v>
      </c>
      <c r="C27">
        <v>-0.3494113954372759</v>
      </c>
      <c r="D27">
        <f t="shared" si="0"/>
        <v>-68.338084768094987</v>
      </c>
      <c r="E27">
        <f t="shared" si="1"/>
        <v>-349.41139543727587</v>
      </c>
      <c r="G27" s="9"/>
    </row>
    <row r="28" spans="1:7" x14ac:dyDescent="0.2">
      <c r="A28" t="s">
        <v>310</v>
      </c>
      <c r="B28">
        <v>3.329314289833968</v>
      </c>
      <c r="C28">
        <v>-0.20040034115856672</v>
      </c>
      <c r="D28">
        <f t="shared" si="0"/>
        <v>3329.3142898339679</v>
      </c>
      <c r="E28">
        <f t="shared" si="1"/>
        <v>-200.40034115856673</v>
      </c>
      <c r="G28" s="9"/>
    </row>
    <row r="29" spans="1:7" x14ac:dyDescent="0.2">
      <c r="A29" t="s">
        <v>311</v>
      </c>
      <c r="B29">
        <v>2.2567177944595604</v>
      </c>
      <c r="C29">
        <v>0.72602602463617327</v>
      </c>
      <c r="D29">
        <f t="shared" si="0"/>
        <v>2256.7177944595605</v>
      </c>
      <c r="E29">
        <f t="shared" si="1"/>
        <v>726.02602463617325</v>
      </c>
      <c r="G29" s="9"/>
    </row>
    <row r="30" spans="1:7" x14ac:dyDescent="0.2">
      <c r="A30" t="s">
        <v>312</v>
      </c>
      <c r="B30">
        <v>12.220915797740526</v>
      </c>
      <c r="C30">
        <v>-0.23027958074360919</v>
      </c>
      <c r="D30">
        <f t="shared" si="0"/>
        <v>12220.915797740527</v>
      </c>
      <c r="E30">
        <f t="shared" si="1"/>
        <v>-230.27958074360919</v>
      </c>
    </row>
    <row r="31" spans="1:7" x14ac:dyDescent="0.2">
      <c r="A31" t="s">
        <v>313</v>
      </c>
      <c r="B31">
        <v>2.3816111000014004</v>
      </c>
      <c r="C31">
        <v>-0.24127826394762514</v>
      </c>
      <c r="D31">
        <f t="shared" si="0"/>
        <v>2381.6111000014002</v>
      </c>
      <c r="E31">
        <f t="shared" si="1"/>
        <v>-241.27826394762513</v>
      </c>
      <c r="G31" s="9"/>
    </row>
    <row r="32" spans="1:7" x14ac:dyDescent="0.2">
      <c r="A32" t="s">
        <v>314</v>
      </c>
      <c r="B32">
        <v>1.5774447257571675</v>
      </c>
      <c r="C32">
        <v>0.24922564430462227</v>
      </c>
      <c r="D32">
        <f t="shared" si="0"/>
        <v>1577.4447257571676</v>
      </c>
      <c r="E32">
        <f t="shared" si="1"/>
        <v>249.22564430462228</v>
      </c>
      <c r="G32" s="9"/>
    </row>
    <row r="33" spans="1:7" x14ac:dyDescent="0.2">
      <c r="A33" t="s">
        <v>315</v>
      </c>
      <c r="B33">
        <v>2.1037815022746131</v>
      </c>
      <c r="C33">
        <v>1.6059467951002608</v>
      </c>
      <c r="D33">
        <f t="shared" si="0"/>
        <v>2103.7815022746131</v>
      </c>
      <c r="E33">
        <f t="shared" si="1"/>
        <v>1605.9467951002609</v>
      </c>
    </row>
    <row r="34" spans="1:7" x14ac:dyDescent="0.2">
      <c r="A34" t="s">
        <v>316</v>
      </c>
      <c r="B34">
        <v>3.0553662001082911</v>
      </c>
      <c r="C34">
        <v>1.188038985174432</v>
      </c>
      <c r="D34">
        <f t="shared" si="0"/>
        <v>3055.3662001082912</v>
      </c>
      <c r="E34">
        <f t="shared" si="1"/>
        <v>1188.0389851744319</v>
      </c>
      <c r="G34" s="9"/>
    </row>
    <row r="35" spans="1:7" x14ac:dyDescent="0.2">
      <c r="A35" t="s">
        <v>317</v>
      </c>
      <c r="B35">
        <v>3.9477147382592945</v>
      </c>
      <c r="C35">
        <v>-0.35627530364372467</v>
      </c>
      <c r="D35">
        <f t="shared" si="0"/>
        <v>3947.7147382592943</v>
      </c>
      <c r="E35">
        <f t="shared" si="1"/>
        <v>-356.27530364372467</v>
      </c>
      <c r="G35" s="9"/>
    </row>
    <row r="36" spans="1:7" x14ac:dyDescent="0.2">
      <c r="A36" t="s">
        <v>318</v>
      </c>
      <c r="B36">
        <v>9.7170742078171202</v>
      </c>
      <c r="C36">
        <v>-0.22043354042982857</v>
      </c>
      <c r="D36">
        <f t="shared" si="0"/>
        <v>9717.0742078171206</v>
      </c>
      <c r="E36">
        <f t="shared" si="1"/>
        <v>-220.43354042982858</v>
      </c>
      <c r="G36" s="9"/>
    </row>
    <row r="37" spans="1:7" x14ac:dyDescent="0.2">
      <c r="A37" t="s">
        <v>319</v>
      </c>
      <c r="B37">
        <v>21.055420009109028</v>
      </c>
      <c r="C37">
        <v>13.851965685535889</v>
      </c>
      <c r="D37">
        <f t="shared" si="0"/>
        <v>21055.420009109028</v>
      </c>
      <c r="E37">
        <f t="shared" si="1"/>
        <v>13851.96568553589</v>
      </c>
      <c r="G37" s="9"/>
    </row>
    <row r="38" spans="1:7" x14ac:dyDescent="0.2">
      <c r="A38" t="s">
        <v>320</v>
      </c>
      <c r="B38">
        <v>1.4968433750800845</v>
      </c>
      <c r="C38">
        <v>-0.30714525351158661</v>
      </c>
      <c r="D38">
        <f t="shared" si="0"/>
        <v>1496.8433750800846</v>
      </c>
      <c r="E38">
        <f t="shared" si="1"/>
        <v>-307.14525351158659</v>
      </c>
      <c r="G38" s="9"/>
    </row>
    <row r="39" spans="1:7" x14ac:dyDescent="0.2">
      <c r="A39" t="s">
        <v>321</v>
      </c>
      <c r="B39">
        <v>21.826900856163196</v>
      </c>
      <c r="C39">
        <v>18.910961030606735</v>
      </c>
      <c r="D39">
        <f t="shared" si="0"/>
        <v>21826.900856163196</v>
      </c>
      <c r="E39">
        <f t="shared" si="1"/>
        <v>18910.961030606737</v>
      </c>
      <c r="G39" s="9"/>
    </row>
    <row r="40" spans="1:7" x14ac:dyDescent="0.2">
      <c r="A40" t="s">
        <v>322</v>
      </c>
      <c r="B40">
        <v>31.780317378560447</v>
      </c>
      <c r="C40">
        <v>14.720258420169777</v>
      </c>
      <c r="D40">
        <f t="shared" si="0"/>
        <v>31780.317378560449</v>
      </c>
      <c r="E40">
        <f t="shared" si="1"/>
        <v>14720.258420169777</v>
      </c>
      <c r="G40" s="9"/>
    </row>
    <row r="41" spans="1:7" x14ac:dyDescent="0.2">
      <c r="B41" s="9"/>
      <c r="C41" s="9"/>
      <c r="D41" s="9"/>
      <c r="G41" s="9"/>
    </row>
    <row r="42" spans="1:7" x14ac:dyDescent="0.2">
      <c r="B42" s="9"/>
      <c r="C42" s="9"/>
      <c r="D42" s="9"/>
      <c r="G42" s="9"/>
    </row>
    <row r="43" spans="1:7" x14ac:dyDescent="0.2">
      <c r="B43" s="9"/>
      <c r="C43" s="9"/>
      <c r="D43" s="9"/>
      <c r="G43" s="9"/>
    </row>
    <row r="44" spans="1:7" x14ac:dyDescent="0.2">
      <c r="B44" s="9"/>
      <c r="C44" s="9"/>
      <c r="D44" s="9"/>
      <c r="G44" s="9"/>
    </row>
    <row r="45" spans="1:7" x14ac:dyDescent="0.2">
      <c r="B45" s="9"/>
      <c r="C45" s="9"/>
      <c r="D45" s="9"/>
    </row>
    <row r="46" spans="1:7" x14ac:dyDescent="0.2">
      <c r="B46" s="9"/>
      <c r="C46" s="9"/>
      <c r="D46" s="9"/>
      <c r="G46" s="9"/>
    </row>
    <row r="47" spans="1:7" x14ac:dyDescent="0.2">
      <c r="B47" s="9"/>
      <c r="C47" s="9"/>
      <c r="D47" s="9"/>
    </row>
    <row r="48" spans="1:7" x14ac:dyDescent="0.2">
      <c r="B48" s="9"/>
      <c r="C48" s="9"/>
      <c r="D48" s="9"/>
      <c r="G48" s="9"/>
    </row>
    <row r="49" spans="2:7" x14ac:dyDescent="0.2">
      <c r="B49" s="9"/>
      <c r="C49" s="9"/>
      <c r="D49" s="9"/>
      <c r="G49" s="9"/>
    </row>
    <row r="50" spans="2:7" x14ac:dyDescent="0.2">
      <c r="B50" s="9"/>
      <c r="C50" s="9"/>
      <c r="D50" s="9"/>
      <c r="G50" s="9"/>
    </row>
    <row r="51" spans="2:7" x14ac:dyDescent="0.2">
      <c r="B51" s="9"/>
      <c r="C51" s="9"/>
      <c r="D51" s="9"/>
      <c r="G51" s="9"/>
    </row>
    <row r="52" spans="2:7" x14ac:dyDescent="0.2">
      <c r="B52" s="9"/>
      <c r="C52" s="9"/>
      <c r="D52" s="9"/>
      <c r="G52" s="9"/>
    </row>
    <row r="53" spans="2:7" x14ac:dyDescent="0.2">
      <c r="B53" s="9"/>
      <c r="C53" s="9"/>
      <c r="D53" s="9"/>
    </row>
    <row r="54" spans="2:7" x14ac:dyDescent="0.2">
      <c r="B54" s="9"/>
      <c r="C54" s="9"/>
      <c r="D54" s="9"/>
      <c r="G54" s="9"/>
    </row>
    <row r="55" spans="2:7" x14ac:dyDescent="0.2">
      <c r="B55" s="9"/>
      <c r="C55" s="9"/>
      <c r="D55" s="9"/>
      <c r="G55" s="9"/>
    </row>
    <row r="56" spans="2:7" x14ac:dyDescent="0.2">
      <c r="B56" s="9"/>
      <c r="C56" s="9"/>
      <c r="D56" s="9"/>
      <c r="G56" s="9"/>
    </row>
    <row r="57" spans="2:7" x14ac:dyDescent="0.2">
      <c r="B57" s="9"/>
      <c r="C57" s="9"/>
      <c r="D57" s="9"/>
      <c r="G57" s="9"/>
    </row>
    <row r="58" spans="2:7" x14ac:dyDescent="0.2">
      <c r="B58" s="9"/>
      <c r="C58" s="9"/>
      <c r="D58" s="9"/>
      <c r="G58" s="9"/>
    </row>
    <row r="59" spans="2:7" x14ac:dyDescent="0.2">
      <c r="B59" s="9"/>
      <c r="C59" s="9"/>
      <c r="D59" s="9"/>
      <c r="G59" s="9"/>
    </row>
    <row r="60" spans="2:7" x14ac:dyDescent="0.2">
      <c r="B60" s="9"/>
      <c r="C60" s="9"/>
      <c r="D60" s="9"/>
      <c r="G60" s="9"/>
    </row>
    <row r="61" spans="2:7" x14ac:dyDescent="0.2">
      <c r="B61" s="9"/>
      <c r="C61" s="9"/>
      <c r="D61" s="9"/>
      <c r="G61" s="9"/>
    </row>
    <row r="62" spans="2:7" x14ac:dyDescent="0.2">
      <c r="B62" s="9"/>
      <c r="C62" s="9"/>
      <c r="D62" s="9"/>
    </row>
    <row r="63" spans="2:7" x14ac:dyDescent="0.2">
      <c r="B63" s="9"/>
      <c r="C63" s="9"/>
      <c r="D63" s="9"/>
      <c r="G63" s="9"/>
    </row>
    <row r="64" spans="2:7" x14ac:dyDescent="0.2">
      <c r="B64" s="9"/>
      <c r="C64" s="9"/>
      <c r="D64" s="9"/>
      <c r="G64" s="9"/>
    </row>
    <row r="65" spans="2:7" x14ac:dyDescent="0.2">
      <c r="B65" s="9"/>
      <c r="C65" s="9"/>
      <c r="D65" s="9"/>
      <c r="G65" s="9"/>
    </row>
    <row r="66" spans="2:7" x14ac:dyDescent="0.2">
      <c r="B66" s="9"/>
      <c r="C66" s="9"/>
      <c r="D66" s="9"/>
      <c r="G66" s="9"/>
    </row>
    <row r="67" spans="2:7" x14ac:dyDescent="0.2">
      <c r="B67" s="9"/>
      <c r="C67" s="9"/>
      <c r="D67" s="9"/>
      <c r="G67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2974-9328-4E73-8B5A-A06CEF25EB2B}">
  <dimension ref="A1:AA90"/>
  <sheetViews>
    <sheetView topLeftCell="F1" workbookViewId="0">
      <selection activeCell="U2" sqref="U2"/>
    </sheetView>
  </sheetViews>
  <sheetFormatPr baseColWidth="10" defaultColWidth="8.83203125" defaultRowHeight="15" x14ac:dyDescent="0.2"/>
  <cols>
    <col min="2" max="2" width="20.5" bestFit="1" customWidth="1"/>
    <col min="3" max="3" width="11" bestFit="1" customWidth="1"/>
    <col min="4" max="4" width="10.1640625" bestFit="1" customWidth="1"/>
    <col min="5" max="5" width="10.6640625" bestFit="1" customWidth="1"/>
    <col min="6" max="6" width="10.6640625" customWidth="1"/>
    <col min="7" max="7" width="22.83203125" customWidth="1"/>
    <col min="8" max="8" width="10.33203125" bestFit="1" customWidth="1"/>
    <col min="9" max="9" width="11.5" customWidth="1"/>
    <col min="10" max="10" width="10.6640625" customWidth="1"/>
    <col min="12" max="12" width="9.83203125" customWidth="1"/>
    <col min="16" max="16" width="18" customWidth="1"/>
    <col min="19" max="19" width="11.1640625" bestFit="1" customWidth="1"/>
    <col min="20" max="20" width="12.33203125" customWidth="1"/>
    <col min="21" max="21" width="13.5" customWidth="1"/>
    <col min="22" max="22" width="12.6640625" customWidth="1"/>
    <col min="23" max="23" width="10.1640625" bestFit="1" customWidth="1"/>
    <col min="24" max="24" width="16" customWidth="1"/>
  </cols>
  <sheetData>
    <row r="1" spans="1:27" ht="64" x14ac:dyDescent="0.2">
      <c r="A1" s="7" t="s">
        <v>127</v>
      </c>
      <c r="B1" s="7">
        <f>((31.11276*0.6596246^2)+(17.61902*0.6596246)-0.1097424)</f>
        <v>25.049502016725402</v>
      </c>
      <c r="C1" s="7" t="s">
        <v>136</v>
      </c>
      <c r="D1" t="s">
        <v>142</v>
      </c>
      <c r="E1" t="s">
        <v>137</v>
      </c>
      <c r="F1" s="7" t="s">
        <v>138</v>
      </c>
      <c r="G1" s="7" t="s">
        <v>139</v>
      </c>
      <c r="H1" s="7" t="s">
        <v>9</v>
      </c>
      <c r="I1" s="7" t="s">
        <v>140</v>
      </c>
      <c r="J1" s="7" t="s">
        <v>13</v>
      </c>
      <c r="K1" s="7" t="s">
        <v>17</v>
      </c>
      <c r="L1" s="7" t="s">
        <v>18</v>
      </c>
      <c r="M1" s="7" t="s">
        <v>45</v>
      </c>
      <c r="N1" s="7" t="s">
        <v>46</v>
      </c>
      <c r="P1" s="7"/>
      <c r="Q1" s="7" t="s">
        <v>136</v>
      </c>
      <c r="R1" s="20" t="s">
        <v>142</v>
      </c>
      <c r="S1" t="s">
        <v>137</v>
      </c>
      <c r="T1" s="7" t="s">
        <v>138</v>
      </c>
      <c r="U1" s="7" t="s">
        <v>139</v>
      </c>
      <c r="V1" s="7" t="s">
        <v>9</v>
      </c>
      <c r="W1" s="7" t="s">
        <v>212</v>
      </c>
      <c r="X1" s="7" t="s">
        <v>17</v>
      </c>
      <c r="Y1" s="7" t="s">
        <v>18</v>
      </c>
      <c r="Z1" s="22" t="s">
        <v>45</v>
      </c>
      <c r="AA1" s="22" t="s">
        <v>46</v>
      </c>
    </row>
    <row r="2" spans="1:27" x14ac:dyDescent="0.2">
      <c r="B2" t="s">
        <v>148</v>
      </c>
      <c r="C2" s="9">
        <v>3689031</v>
      </c>
      <c r="D2" s="9">
        <v>1.0000000000000001E-5</v>
      </c>
      <c r="E2" s="9">
        <v>270547</v>
      </c>
      <c r="F2" s="9">
        <v>166776</v>
      </c>
      <c r="G2" s="9">
        <v>1.0000000000000001E-5</v>
      </c>
      <c r="H2" s="9">
        <v>4512441</v>
      </c>
      <c r="I2" s="9">
        <v>17011582</v>
      </c>
      <c r="J2" s="9">
        <v>3954966</v>
      </c>
      <c r="K2" s="9">
        <v>18323</v>
      </c>
      <c r="L2" s="9">
        <v>51543</v>
      </c>
      <c r="M2">
        <v>1.0000000000000001E-5</v>
      </c>
      <c r="N2">
        <v>1.0000000000000001E-5</v>
      </c>
      <c r="P2" t="s">
        <v>148</v>
      </c>
      <c r="Q2" s="7">
        <v>122.29</v>
      </c>
      <c r="R2" s="21">
        <f>(((D2/C2) - 0.0004926787)/0.01074682)*Q2</f>
        <v>-5.6062796149469074</v>
      </c>
      <c r="S2" s="12">
        <f>(((E2/C2) -$E$30 )/$E$29)*Q2</f>
        <v>8.581647956035118</v>
      </c>
      <c r="T2" s="12">
        <f>(((F2/$C2) -F$30 )/F$29)*$Q2</f>
        <v>0.34432107195580541</v>
      </c>
      <c r="U2" s="12">
        <f>((-$G$32+(SQRT($G$33-(4*$G$34*($G$35-(G2/C2))))))/(2*$G$34))*Q2</f>
        <v>2.3123223675711904</v>
      </c>
      <c r="V2" s="12">
        <f>(((H2/$C2) -H$30 )/H$29)*$Q2</f>
        <v>43.033395230470077</v>
      </c>
      <c r="W2" s="12">
        <f>((((J2+I2)/$C2) -J$30 )/J$29)</f>
        <v>1201.8263446820956</v>
      </c>
      <c r="X2" s="12">
        <f t="shared" ref="X2:X27" si="0">(((K2/$C2) -K$30 )/K$29)</f>
        <v>-6.3687474535275097</v>
      </c>
      <c r="Y2" s="12">
        <f t="shared" ref="Y2:Y27" si="1">(((L2/$C2) -L$30 )/L$29)*$Q2</f>
        <v>0.83837711794356129</v>
      </c>
      <c r="Z2" s="20" t="e">
        <f t="shared" ref="Z2:Z27" si="2">(-$M$29+(SQRT($M$30-(4*$M$31*($M$32-(M2/C2))))))/(2*$M$31)*$Q$2</f>
        <v>#DIV/0!</v>
      </c>
      <c r="AA2" s="23">
        <f>(-$N$29+(SQRT($N$30-(4*$N$31*($N$32-(N2/C2))))))/(2*$N$31)*$Q$2</f>
        <v>0.56287224910302314</v>
      </c>
    </row>
    <row r="3" spans="1:27" x14ac:dyDescent="0.2">
      <c r="B3" t="s">
        <v>149</v>
      </c>
      <c r="C3" s="9">
        <v>3451380</v>
      </c>
      <c r="D3" s="9">
        <v>11940</v>
      </c>
      <c r="E3" s="9">
        <v>302501</v>
      </c>
      <c r="F3" s="9">
        <v>182906</v>
      </c>
      <c r="G3" s="9">
        <v>4867</v>
      </c>
      <c r="H3" s="9">
        <v>5657915</v>
      </c>
      <c r="I3" s="9">
        <v>14918358</v>
      </c>
      <c r="J3" s="9">
        <v>2799429</v>
      </c>
      <c r="K3" s="9">
        <v>36272</v>
      </c>
      <c r="L3" s="9">
        <v>68166</v>
      </c>
      <c r="M3" s="9">
        <v>1.0000000000000001E-5</v>
      </c>
      <c r="N3" s="9">
        <v>2189</v>
      </c>
      <c r="P3" t="s">
        <v>149</v>
      </c>
      <c r="Q3" s="7">
        <v>122.29</v>
      </c>
      <c r="R3" s="21">
        <f t="shared" ref="R3:R27" si="3">(((D3/C3) -  0.0004926787)/0.01074682)*Q3</f>
        <v>33.759831903899475</v>
      </c>
      <c r="S3" s="12">
        <f t="shared" ref="S3:S27" si="4">(((E3/C3) -$E$30 )/$E$29)*Q3</f>
        <v>10.246234479526548</v>
      </c>
      <c r="T3" s="12">
        <f t="shared" ref="T3:V27" si="5">(((F3/$C3) -F$30 )/F$29)*$Q3</f>
        <v>0.40713200625501011</v>
      </c>
      <c r="U3" s="12">
        <f t="shared" ref="U3:U27" si="6">((-$G$32+(SQRT($G$33-(4*$G$34*($G$35-(G3/C3))))))/(2*$G$34))*Q3</f>
        <v>2.4120364309996614</v>
      </c>
      <c r="V3" s="12">
        <f t="shared" si="5"/>
        <v>58.377499016674129</v>
      </c>
      <c r="W3" s="12">
        <f t="shared" ref="W3:W27" si="7">((((J3+I3)/$C3) -J$30 )/J$29)</f>
        <v>1084.8163872286423</v>
      </c>
      <c r="X3" s="12">
        <f t="shared" si="0"/>
        <v>-5.1894852296515861</v>
      </c>
      <c r="Y3" s="12">
        <f t="shared" si="1"/>
        <v>1.0744896474198491</v>
      </c>
      <c r="Z3" s="20" t="e">
        <f t="shared" si="2"/>
        <v>#DIV/0!</v>
      </c>
      <c r="AA3" s="20">
        <f t="shared" ref="AA3:AA27" si="8">(-$N$29+(SQRT($N$30-(4*$N$31*($N$32-(N3/C3))))))/(2*$N$31)*$Q$2</f>
        <v>0.75120292856891369</v>
      </c>
    </row>
    <row r="4" spans="1:27" x14ac:dyDescent="0.2">
      <c r="B4" t="s">
        <v>150</v>
      </c>
      <c r="C4" s="9">
        <v>4261950</v>
      </c>
      <c r="D4" s="9">
        <v>10067</v>
      </c>
      <c r="E4" s="9">
        <v>485154</v>
      </c>
      <c r="F4" s="9">
        <v>900038</v>
      </c>
      <c r="G4" s="9">
        <v>1.0000000000000001E-5</v>
      </c>
      <c r="H4" s="9">
        <v>6000964</v>
      </c>
      <c r="I4" s="9">
        <v>2456453</v>
      </c>
      <c r="J4" s="9">
        <v>594382</v>
      </c>
      <c r="K4" s="9">
        <v>8156</v>
      </c>
      <c r="L4" s="9">
        <v>36169</v>
      </c>
      <c r="M4">
        <v>1.0000000000000001E-5</v>
      </c>
      <c r="N4" s="9">
        <v>1.0000000000000001E-5</v>
      </c>
      <c r="P4" t="s">
        <v>150</v>
      </c>
      <c r="Q4" s="7">
        <v>122.29</v>
      </c>
      <c r="R4" s="21">
        <f t="shared" si="3"/>
        <v>21.272075520803273</v>
      </c>
      <c r="S4" s="12">
        <f t="shared" si="4"/>
        <v>13.292832869028564</v>
      </c>
      <c r="T4" s="12">
        <f t="shared" si="5"/>
        <v>1.6831669818858637</v>
      </c>
      <c r="U4" s="12">
        <f t="shared" si="6"/>
        <v>2.3123223675453906</v>
      </c>
      <c r="V4" s="12">
        <f t="shared" si="5"/>
        <v>49.84885443195396</v>
      </c>
      <c r="W4" s="12">
        <f t="shared" si="7"/>
        <v>144.87888972009367</v>
      </c>
      <c r="X4" s="12">
        <f t="shared" si="0"/>
        <v>-7.0183663805874499</v>
      </c>
      <c r="Y4" s="12">
        <f t="shared" si="1"/>
        <v>0.61423399560723102</v>
      </c>
      <c r="Z4" s="20" t="e">
        <f t="shared" si="2"/>
        <v>#DIV/0!</v>
      </c>
      <c r="AA4" s="20">
        <f t="shared" si="8"/>
        <v>0.56287224899471533</v>
      </c>
    </row>
    <row r="5" spans="1:27" x14ac:dyDescent="0.2">
      <c r="B5" t="s">
        <v>151</v>
      </c>
      <c r="C5" s="9">
        <v>3834590</v>
      </c>
      <c r="D5" s="9">
        <v>5420</v>
      </c>
      <c r="E5" s="9">
        <v>284861</v>
      </c>
      <c r="F5" s="9">
        <v>112432</v>
      </c>
      <c r="G5" s="9">
        <v>1.0000000000000001E-5</v>
      </c>
      <c r="H5" s="9">
        <v>3790477</v>
      </c>
      <c r="I5" s="9">
        <v>4330867</v>
      </c>
      <c r="J5" s="9">
        <v>895970</v>
      </c>
      <c r="K5" s="9">
        <v>33539</v>
      </c>
      <c r="L5" s="9">
        <v>71433</v>
      </c>
      <c r="M5">
        <v>1.0000000000000001E-5</v>
      </c>
      <c r="N5" s="9">
        <v>1826</v>
      </c>
      <c r="P5" t="s">
        <v>151</v>
      </c>
      <c r="Q5" s="7">
        <v>122.29</v>
      </c>
      <c r="R5" s="21">
        <f t="shared" si="3"/>
        <v>10.477618763068351</v>
      </c>
      <c r="S5" s="12">
        <f t="shared" si="4"/>
        <v>8.6920509792705403</v>
      </c>
      <c r="T5" s="12">
        <f t="shared" si="5"/>
        <v>0.21615562652827194</v>
      </c>
      <c r="U5" s="12">
        <f t="shared" si="6"/>
        <v>2.3123223675639006</v>
      </c>
      <c r="V5" s="12">
        <f t="shared" si="5"/>
        <v>34.378574192145514</v>
      </c>
      <c r="W5" s="12">
        <f t="shared" si="7"/>
        <v>282.59060507065226</v>
      </c>
      <c r="X5" s="12">
        <f t="shared" si="0"/>
        <v>-5.5645878643410125</v>
      </c>
      <c r="Y5" s="12">
        <f t="shared" si="1"/>
        <v>1.0286526556016757</v>
      </c>
      <c r="Z5" s="20" t="e">
        <f t="shared" si="2"/>
        <v>#DIV/0!</v>
      </c>
      <c r="AA5" s="20">
        <f t="shared" si="8"/>
        <v>0.70430584050757805</v>
      </c>
    </row>
    <row r="6" spans="1:27" x14ac:dyDescent="0.2">
      <c r="B6" t="s">
        <v>152</v>
      </c>
      <c r="C6" s="9">
        <v>2608202</v>
      </c>
      <c r="D6" s="9">
        <v>1.0000000000000001E-5</v>
      </c>
      <c r="E6" s="9">
        <v>547790</v>
      </c>
      <c r="F6" s="9">
        <v>169117</v>
      </c>
      <c r="G6" s="9">
        <v>1.0000000000000001E-5</v>
      </c>
      <c r="H6" s="9">
        <v>9032419</v>
      </c>
      <c r="I6" s="9">
        <v>7354794</v>
      </c>
      <c r="J6" s="9">
        <v>1403452</v>
      </c>
      <c r="K6" s="9">
        <v>6255</v>
      </c>
      <c r="L6" s="9">
        <v>95331</v>
      </c>
      <c r="M6">
        <v>1.0000000000000001E-5</v>
      </c>
      <c r="N6">
        <v>1.0000000000000001E-5</v>
      </c>
      <c r="P6" t="s">
        <v>152</v>
      </c>
      <c r="Q6" s="7">
        <v>122.29</v>
      </c>
      <c r="R6" s="21">
        <f t="shared" si="3"/>
        <v>-5.6062796021644488</v>
      </c>
      <c r="S6" s="12">
        <f t="shared" si="4"/>
        <v>24.483653825740053</v>
      </c>
      <c r="T6" s="12">
        <f t="shared" si="5"/>
        <v>0.50268585911612718</v>
      </c>
      <c r="U6" s="12">
        <f t="shared" si="6"/>
        <v>2.3123223676507205</v>
      </c>
      <c r="V6" s="12">
        <f t="shared" si="5"/>
        <v>125.62821102111729</v>
      </c>
      <c r="W6" s="12">
        <f t="shared" si="7"/>
        <v>707.03469614439052</v>
      </c>
      <c r="X6" s="12">
        <f t="shared" si="0"/>
        <v>-6.9152757829568321</v>
      </c>
      <c r="Y6" s="12">
        <f t="shared" si="1"/>
        <v>1.7609627514231978</v>
      </c>
      <c r="Z6" s="20" t="e">
        <f t="shared" si="2"/>
        <v>#DIV/0!</v>
      </c>
      <c r="AA6" s="20">
        <f t="shared" si="8"/>
        <v>0.56287224943689407</v>
      </c>
    </row>
    <row r="7" spans="1:27" x14ac:dyDescent="0.2">
      <c r="B7" t="s">
        <v>153</v>
      </c>
      <c r="C7" s="9">
        <v>2156685</v>
      </c>
      <c r="D7" s="9">
        <v>5684</v>
      </c>
      <c r="E7" s="9">
        <v>186628</v>
      </c>
      <c r="F7" s="9">
        <v>270703</v>
      </c>
      <c r="G7" s="9">
        <v>46321</v>
      </c>
      <c r="H7" s="9">
        <v>4966874</v>
      </c>
      <c r="I7" s="9">
        <v>33886498</v>
      </c>
      <c r="J7" s="9">
        <v>5807756</v>
      </c>
      <c r="K7" s="9">
        <v>141152</v>
      </c>
      <c r="L7" s="9">
        <v>94945</v>
      </c>
      <c r="M7">
        <v>1.0000000000000001E-5</v>
      </c>
      <c r="N7">
        <v>1.0000000000000001E-5</v>
      </c>
      <c r="P7" t="s">
        <v>153</v>
      </c>
      <c r="Q7" s="7">
        <v>122.29</v>
      </c>
      <c r="R7" s="21">
        <f t="shared" si="3"/>
        <v>24.383848508805883</v>
      </c>
      <c r="S7" s="12">
        <f t="shared" si="4"/>
        <v>10.116897498914133</v>
      </c>
      <c r="T7" s="12">
        <f t="shared" si="5"/>
        <v>0.99215630795053122</v>
      </c>
      <c r="U7" s="12">
        <f t="shared" si="6"/>
        <v>3.8049376693684351</v>
      </c>
      <c r="V7" s="12">
        <f t="shared" si="5"/>
        <v>82.850999472107247</v>
      </c>
      <c r="W7" s="12">
        <f t="shared" si="7"/>
        <v>3908.577944460566</v>
      </c>
      <c r="X7" s="12">
        <f t="shared" si="0"/>
        <v>6.4997007572545691</v>
      </c>
      <c r="Y7" s="12">
        <f t="shared" si="1"/>
        <v>2.0663235111805975</v>
      </c>
      <c r="Z7" s="20" t="e">
        <f t="shared" si="2"/>
        <v>#DIV/0!</v>
      </c>
      <c r="AA7" s="20">
        <f t="shared" si="8"/>
        <v>0.56287224967547078</v>
      </c>
    </row>
    <row r="8" spans="1:27" x14ac:dyDescent="0.2">
      <c r="B8" t="s">
        <v>154</v>
      </c>
      <c r="C8" s="9">
        <v>2481366</v>
      </c>
      <c r="D8" s="9">
        <v>1.0000000000000001E-5</v>
      </c>
      <c r="E8" s="9">
        <v>366920</v>
      </c>
      <c r="F8" s="9">
        <v>460841</v>
      </c>
      <c r="G8" s="9">
        <v>26629</v>
      </c>
      <c r="H8" s="9">
        <v>4353899</v>
      </c>
      <c r="I8" s="9">
        <v>27620954</v>
      </c>
      <c r="J8" s="9">
        <v>4298342</v>
      </c>
      <c r="K8" s="9">
        <v>71770</v>
      </c>
      <c r="L8" s="9">
        <v>69294</v>
      </c>
      <c r="M8">
        <v>1.0000000000000001E-5</v>
      </c>
      <c r="N8" s="9">
        <v>1.0000000000000001E-5</v>
      </c>
      <c r="P8" t="s">
        <v>154</v>
      </c>
      <c r="Q8" s="7">
        <v>122.29</v>
      </c>
      <c r="R8" s="21">
        <f t="shared" si="3"/>
        <v>-5.6062795999343633</v>
      </c>
      <c r="S8" s="12">
        <f t="shared" si="4"/>
        <v>17.252563079133317</v>
      </c>
      <c r="T8" s="12">
        <f t="shared" si="5"/>
        <v>1.4777946083759164</v>
      </c>
      <c r="U8" s="12">
        <f t="shared" si="6"/>
        <v>3.0649933792073991</v>
      </c>
      <c r="V8" s="12">
        <f t="shared" si="5"/>
        <v>62.629827981565882</v>
      </c>
      <c r="W8" s="12">
        <f t="shared" si="7"/>
        <v>2729.5103229602373</v>
      </c>
      <c r="X8" s="12">
        <f t="shared" si="0"/>
        <v>-1.2715776953397717</v>
      </c>
      <c r="Y8" s="12">
        <f t="shared" si="1"/>
        <v>1.4085460567074353</v>
      </c>
      <c r="Z8" s="20" t="e">
        <f t="shared" si="2"/>
        <v>#DIV/0!</v>
      </c>
      <c r="AA8" s="20">
        <f t="shared" si="8"/>
        <v>0.56287224949514059</v>
      </c>
    </row>
    <row r="9" spans="1:27" x14ac:dyDescent="0.2">
      <c r="B9" t="s">
        <v>155</v>
      </c>
      <c r="C9" s="9">
        <v>3616806</v>
      </c>
      <c r="D9" s="9">
        <v>1.0000000000000001E-5</v>
      </c>
      <c r="E9" s="9">
        <v>466868</v>
      </c>
      <c r="F9" s="9">
        <v>203521</v>
      </c>
      <c r="G9" s="9">
        <v>1.0000000000000001E-5</v>
      </c>
      <c r="H9" s="9">
        <v>8461069</v>
      </c>
      <c r="I9" s="9">
        <v>1217372</v>
      </c>
      <c r="J9" s="9">
        <v>309671</v>
      </c>
      <c r="K9" s="9">
        <v>7560</v>
      </c>
      <c r="L9" s="9">
        <v>146248</v>
      </c>
      <c r="M9">
        <v>1.0000000000000001E-5</v>
      </c>
      <c r="N9" s="9">
        <v>2610</v>
      </c>
      <c r="P9" t="s">
        <v>155</v>
      </c>
      <c r="Q9" s="7">
        <v>122.29</v>
      </c>
      <c r="R9" s="21">
        <f t="shared" si="3"/>
        <v>-5.6062796143309361</v>
      </c>
      <c r="S9" s="12">
        <f t="shared" si="4"/>
        <v>15.066891714305145</v>
      </c>
      <c r="T9" s="12">
        <f t="shared" si="5"/>
        <v>0.4335577072843409</v>
      </c>
      <c r="U9" s="12">
        <f t="shared" si="6"/>
        <v>2.3123223675750242</v>
      </c>
      <c r="V9" s="12">
        <f t="shared" si="5"/>
        <v>84.191865635497322</v>
      </c>
      <c r="W9" s="12">
        <f t="shared" si="7"/>
        <v>82.405873462515842</v>
      </c>
      <c r="X9" s="12">
        <f t="shared" si="0"/>
        <v>-6.980799563117527</v>
      </c>
      <c r="Y9" s="12">
        <f t="shared" si="1"/>
        <v>1.9197172643575502</v>
      </c>
      <c r="Z9" s="20" t="e">
        <f t="shared" si="2"/>
        <v>#DIV/0!</v>
      </c>
      <c r="AA9" s="20">
        <f t="shared" si="8"/>
        <v>0.77712512398771494</v>
      </c>
    </row>
    <row r="10" spans="1:27" x14ac:dyDescent="0.2">
      <c r="B10" t="s">
        <v>156</v>
      </c>
      <c r="C10" s="9">
        <v>3972189</v>
      </c>
      <c r="D10" s="9">
        <v>1.0000000000000001E-5</v>
      </c>
      <c r="E10" s="9">
        <v>715325</v>
      </c>
      <c r="F10" s="9">
        <v>430461</v>
      </c>
      <c r="G10" s="9">
        <v>1.0000000000000001E-5</v>
      </c>
      <c r="H10" s="9">
        <v>7048466</v>
      </c>
      <c r="I10" s="9">
        <v>1709275</v>
      </c>
      <c r="J10" s="9">
        <v>442219</v>
      </c>
      <c r="K10" s="9">
        <v>5692</v>
      </c>
      <c r="L10" s="9">
        <v>91631</v>
      </c>
      <c r="M10">
        <v>1.0000000000000001E-5</v>
      </c>
      <c r="N10">
        <v>1.0000000000000001E-5</v>
      </c>
      <c r="P10" t="s">
        <v>156</v>
      </c>
      <c r="Q10" s="7">
        <v>122.29</v>
      </c>
      <c r="R10" s="21">
        <f t="shared" si="3"/>
        <v>-5.6062796171457689</v>
      </c>
      <c r="S10" s="12">
        <f t="shared" si="4"/>
        <v>21.000185700681939</v>
      </c>
      <c r="T10" s="12">
        <f t="shared" si="5"/>
        <v>0.85381675066210316</v>
      </c>
      <c r="U10" s="12">
        <f t="shared" si="6"/>
        <v>2.3123223675575058</v>
      </c>
      <c r="V10" s="12">
        <f t="shared" si="5"/>
        <v>63.360532025732027</v>
      </c>
      <c r="W10" s="12">
        <f t="shared" si="7"/>
        <v>107.81689004716907</v>
      </c>
      <c r="X10" s="12">
        <f t="shared" si="0"/>
        <v>-7.1206461630355777</v>
      </c>
      <c r="Y10" s="12">
        <f t="shared" si="1"/>
        <v>1.2100580891884487</v>
      </c>
      <c r="Z10" s="20" t="e">
        <f t="shared" si="2"/>
        <v>#DIV/0!</v>
      </c>
      <c r="AA10" s="20">
        <f t="shared" si="8"/>
        <v>0.56287224904557909</v>
      </c>
    </row>
    <row r="11" spans="1:27" x14ac:dyDescent="0.2">
      <c r="B11" t="s">
        <v>157</v>
      </c>
      <c r="C11" s="9">
        <v>3873723</v>
      </c>
      <c r="D11" s="9">
        <v>1.0000000000000001E-5</v>
      </c>
      <c r="E11" s="9">
        <v>378971</v>
      </c>
      <c r="F11" s="9">
        <v>671463</v>
      </c>
      <c r="G11" s="9">
        <v>1.0000000000000001E-5</v>
      </c>
      <c r="H11" s="9">
        <v>8330654</v>
      </c>
      <c r="I11" s="9">
        <v>2677447</v>
      </c>
      <c r="J11" s="9">
        <v>688232</v>
      </c>
      <c r="K11" s="9">
        <v>2787</v>
      </c>
      <c r="L11" s="9">
        <v>120355</v>
      </c>
      <c r="M11">
        <v>1.0000000000000001E-5</v>
      </c>
      <c r="N11">
        <v>1.0000000000000001E-5</v>
      </c>
      <c r="P11" t="s">
        <v>157</v>
      </c>
      <c r="Q11" s="7">
        <v>122.29</v>
      </c>
      <c r="R11" s="21">
        <f t="shared" si="3"/>
        <v>-5.6062796164175888</v>
      </c>
      <c r="S11" s="12">
        <f t="shared" si="4"/>
        <v>11.431118296345819</v>
      </c>
      <c r="T11" s="12">
        <f t="shared" si="5"/>
        <v>1.3779059274788903</v>
      </c>
      <c r="U11" s="12">
        <f t="shared" si="6"/>
        <v>2.3123223675620403</v>
      </c>
      <c r="V11" s="12">
        <f t="shared" si="5"/>
        <v>77.229146057021083</v>
      </c>
      <c r="W11" s="12">
        <f t="shared" si="7"/>
        <v>177.43588303233338</v>
      </c>
      <c r="X11" s="12">
        <f t="shared" si="0"/>
        <v>-7.2724547012146168</v>
      </c>
      <c r="Y11" s="12">
        <f t="shared" si="1"/>
        <v>1.5370075100299432</v>
      </c>
      <c r="Z11" s="20" t="e">
        <f t="shared" si="2"/>
        <v>#DIV/0!</v>
      </c>
      <c r="AA11" s="20">
        <f t="shared" si="8"/>
        <v>0.5628722490646112</v>
      </c>
    </row>
    <row r="12" spans="1:27" x14ac:dyDescent="0.2">
      <c r="B12" t="s">
        <v>158</v>
      </c>
      <c r="C12" s="9">
        <v>3379542</v>
      </c>
      <c r="D12" s="9">
        <v>6855</v>
      </c>
      <c r="E12" s="9">
        <v>293401</v>
      </c>
      <c r="F12" s="9">
        <v>672835</v>
      </c>
      <c r="G12" s="9">
        <v>514976</v>
      </c>
      <c r="H12" s="9">
        <v>4387166</v>
      </c>
      <c r="I12" s="9">
        <v>23327851</v>
      </c>
      <c r="J12" s="9">
        <v>6300672</v>
      </c>
      <c r="K12" s="9">
        <v>1975719</v>
      </c>
      <c r="L12" s="9">
        <v>72397</v>
      </c>
      <c r="M12">
        <v>1.0000000000000001E-5</v>
      </c>
      <c r="N12">
        <v>1.0000000000000001E-5</v>
      </c>
      <c r="P12" t="s">
        <v>158</v>
      </c>
      <c r="Q12" s="7">
        <v>122.29</v>
      </c>
      <c r="R12" s="21">
        <f t="shared" si="3"/>
        <v>17.4750371141239</v>
      </c>
      <c r="S12" s="12">
        <f t="shared" si="4"/>
        <v>10.149720591810198</v>
      </c>
      <c r="T12" s="12">
        <f t="shared" si="5"/>
        <v>1.5856460339254423</v>
      </c>
      <c r="U12" s="12">
        <f t="shared" si="6"/>
        <v>11.936228219935797</v>
      </c>
      <c r="V12" s="12">
        <f t="shared" si="5"/>
        <v>45.797119110120363</v>
      </c>
      <c r="W12" s="12">
        <f t="shared" si="7"/>
        <v>1857.8985456760304</v>
      </c>
      <c r="X12" s="12">
        <f t="shared" si="0"/>
        <v>116.95988619230877</v>
      </c>
      <c r="Y12" s="12">
        <f t="shared" si="1"/>
        <v>1.1428003520341439</v>
      </c>
      <c r="Z12" s="20" t="e">
        <f t="shared" si="2"/>
        <v>#DIV/0!</v>
      </c>
      <c r="AA12" s="20">
        <f t="shared" si="8"/>
        <v>0.562872249176811</v>
      </c>
    </row>
    <row r="13" spans="1:27" x14ac:dyDescent="0.2">
      <c r="B13" t="s">
        <v>159</v>
      </c>
      <c r="C13" s="9">
        <v>1775172</v>
      </c>
      <c r="D13" s="9">
        <v>5180</v>
      </c>
      <c r="E13" s="9">
        <v>229586</v>
      </c>
      <c r="F13" s="9">
        <v>804522</v>
      </c>
      <c r="G13" s="9">
        <v>223047</v>
      </c>
      <c r="H13" s="9">
        <v>1700155</v>
      </c>
      <c r="I13" s="9">
        <v>21641074</v>
      </c>
      <c r="J13" s="9">
        <v>4976914</v>
      </c>
      <c r="K13" s="9">
        <v>6498061</v>
      </c>
      <c r="L13" s="9">
        <v>122958</v>
      </c>
      <c r="M13">
        <v>1.0000000000000001E-5</v>
      </c>
      <c r="N13" s="9">
        <v>1133</v>
      </c>
      <c r="P13" t="s">
        <v>159</v>
      </c>
      <c r="Q13" s="7">
        <v>122.29</v>
      </c>
      <c r="R13" s="21">
        <f t="shared" si="3"/>
        <v>27.598476164877404</v>
      </c>
      <c r="S13" s="12">
        <f t="shared" si="4"/>
        <v>15.095829647565663</v>
      </c>
      <c r="T13" s="12">
        <f t="shared" si="5"/>
        <v>3.6355430312272192</v>
      </c>
      <c r="U13" s="12">
        <f t="shared" si="6"/>
        <v>10.388125618430005</v>
      </c>
      <c r="V13" s="12">
        <f t="shared" si="5"/>
        <v>33.244491485779179</v>
      </c>
      <c r="W13" s="12">
        <f t="shared" si="7"/>
        <v>3182.9141659440511</v>
      </c>
      <c r="X13" s="12">
        <f t="shared" si="0"/>
        <v>771.40951630171071</v>
      </c>
      <c r="Y13" s="12">
        <f t="shared" si="1"/>
        <v>3.0977354263024046</v>
      </c>
      <c r="Z13" s="20" t="e">
        <f t="shared" si="2"/>
        <v>#DIV/0!</v>
      </c>
      <c r="AA13" s="20">
        <f t="shared" si="8"/>
        <v>0.75239220994176459</v>
      </c>
    </row>
    <row r="14" spans="1:27" x14ac:dyDescent="0.2">
      <c r="B14" t="s">
        <v>160</v>
      </c>
      <c r="C14" s="9">
        <v>1800433</v>
      </c>
      <c r="D14" s="9">
        <v>1.0000000000000001E-5</v>
      </c>
      <c r="E14" s="9">
        <v>223583</v>
      </c>
      <c r="F14" s="9">
        <v>778337</v>
      </c>
      <c r="G14" s="9">
        <v>1423368</v>
      </c>
      <c r="H14" s="9">
        <v>4027595</v>
      </c>
      <c r="I14" s="9">
        <v>19596737</v>
      </c>
      <c r="J14" s="9">
        <v>5138737</v>
      </c>
      <c r="K14" s="9">
        <v>5077744</v>
      </c>
      <c r="L14" s="9">
        <v>138640</v>
      </c>
      <c r="M14">
        <v>1.0000000000000001E-5</v>
      </c>
      <c r="N14">
        <v>1.0000000000000001E-5</v>
      </c>
      <c r="P14" t="s">
        <v>160</v>
      </c>
      <c r="Q14" s="7">
        <v>122.29</v>
      </c>
      <c r="R14" s="21">
        <f t="shared" si="3"/>
        <v>-5.6062795825904326</v>
      </c>
      <c r="S14" s="12">
        <f t="shared" si="4"/>
        <v>14.496828650317893</v>
      </c>
      <c r="T14" s="12">
        <f t="shared" si="5"/>
        <v>3.4669284088879482</v>
      </c>
      <c r="U14" s="12">
        <f t="shared" si="6"/>
        <v>40.217847864644483</v>
      </c>
      <c r="V14" s="12">
        <f t="shared" si="5"/>
        <v>80.417323218890715</v>
      </c>
      <c r="W14" s="12">
        <f t="shared" si="7"/>
        <v>2915.6861909376858</v>
      </c>
      <c r="X14" s="12">
        <f t="shared" si="0"/>
        <v>592.63626645793511</v>
      </c>
      <c r="Y14" s="12">
        <f t="shared" si="1"/>
        <v>3.4139318453142846</v>
      </c>
      <c r="Z14" s="20" t="e">
        <f t="shared" si="2"/>
        <v>#DIV/0!</v>
      </c>
      <c r="AA14" s="20">
        <f t="shared" si="8"/>
        <v>0.56287224994816631</v>
      </c>
    </row>
    <row r="15" spans="1:27" x14ac:dyDescent="0.2">
      <c r="B15" t="s">
        <v>161</v>
      </c>
      <c r="C15" s="9">
        <v>3430787</v>
      </c>
      <c r="D15" s="9">
        <v>1.0000000000000001E-5</v>
      </c>
      <c r="E15" s="9">
        <v>354830</v>
      </c>
      <c r="F15" s="9">
        <v>289448</v>
      </c>
      <c r="G15" s="9">
        <v>1.0000000000000001E-5</v>
      </c>
      <c r="H15" s="9">
        <v>6892645</v>
      </c>
      <c r="I15" s="9">
        <v>10398528</v>
      </c>
      <c r="J15" s="9">
        <v>2072310</v>
      </c>
      <c r="K15" s="9">
        <v>11675</v>
      </c>
      <c r="L15" s="9">
        <v>75585</v>
      </c>
      <c r="M15">
        <v>1.0000000000000001E-5</v>
      </c>
      <c r="N15">
        <v>1.0000000000000001E-5</v>
      </c>
      <c r="P15" t="s">
        <v>161</v>
      </c>
      <c r="Q15" s="7">
        <v>122.29</v>
      </c>
      <c r="R15" s="21">
        <f t="shared" si="3"/>
        <v>-5.6062796126250527</v>
      </c>
      <c r="S15" s="12">
        <f t="shared" si="4"/>
        <v>12.081919269751147</v>
      </c>
      <c r="T15" s="12">
        <f t="shared" si="5"/>
        <v>0.66020789320515039</v>
      </c>
      <c r="U15" s="12">
        <f t="shared" si="6"/>
        <v>2.3123223675856366</v>
      </c>
      <c r="V15" s="12">
        <f t="shared" si="5"/>
        <v>72.011435696153001</v>
      </c>
      <c r="W15" s="12">
        <f t="shared" si="7"/>
        <v>765.97421200218503</v>
      </c>
      <c r="X15" s="12">
        <f t="shared" si="0"/>
        <v>-6.7014873871536293</v>
      </c>
      <c r="Y15" s="12">
        <f t="shared" si="1"/>
        <v>1.1676952486199157</v>
      </c>
      <c r="Z15" s="20" t="e">
        <f t="shared" si="2"/>
        <v>#DIV/0!</v>
      </c>
      <c r="AA15" s="20">
        <f t="shared" si="8"/>
        <v>0.56287224916366363</v>
      </c>
    </row>
    <row r="16" spans="1:27" x14ac:dyDescent="0.2">
      <c r="B16" t="s">
        <v>162</v>
      </c>
      <c r="C16" s="9">
        <v>1585908</v>
      </c>
      <c r="D16" s="9">
        <v>1.0000000000000001E-5</v>
      </c>
      <c r="E16" s="9">
        <v>249828</v>
      </c>
      <c r="F16" s="9">
        <v>136335</v>
      </c>
      <c r="G16" s="9">
        <v>738567</v>
      </c>
      <c r="H16" s="9">
        <v>3677618</v>
      </c>
      <c r="I16" s="9">
        <v>41053937</v>
      </c>
      <c r="J16" s="9">
        <v>8547638</v>
      </c>
      <c r="K16" s="9">
        <v>3996781</v>
      </c>
      <c r="L16" s="9">
        <v>198666</v>
      </c>
      <c r="M16">
        <v>1.0000000000000001E-5</v>
      </c>
      <c r="N16">
        <v>1.0000000000000001E-5</v>
      </c>
      <c r="P16" t="s">
        <v>162</v>
      </c>
      <c r="Q16" s="7">
        <v>122.29</v>
      </c>
      <c r="R16" s="21">
        <f t="shared" si="3"/>
        <v>-5.606279574041066</v>
      </c>
      <c r="S16" s="12">
        <f t="shared" si="4"/>
        <v>18.3763649848574</v>
      </c>
      <c r="T16" s="12">
        <f t="shared" si="5"/>
        <v>0.67310427045314891</v>
      </c>
      <c r="U16" s="12">
        <f t="shared" si="6"/>
        <v>27.3817631124301</v>
      </c>
      <c r="V16" s="12">
        <f t="shared" si="5"/>
        <v>83.438121506623503</v>
      </c>
      <c r="W16" s="12">
        <f t="shared" si="7"/>
        <v>6647.1386645862149</v>
      </c>
      <c r="X16" s="12">
        <f t="shared" si="0"/>
        <v>528.78396836520631</v>
      </c>
      <c r="Y16" s="12">
        <f t="shared" si="1"/>
        <v>5.3861347099364894</v>
      </c>
      <c r="Z16" s="20" t="e">
        <f t="shared" si="2"/>
        <v>#DIV/0!</v>
      </c>
      <c r="AA16" s="20">
        <f t="shared" si="8"/>
        <v>0.56287225017146914</v>
      </c>
    </row>
    <row r="17" spans="1:27" x14ac:dyDescent="0.2">
      <c r="B17" t="s">
        <v>163</v>
      </c>
      <c r="C17" s="9">
        <v>2316537</v>
      </c>
      <c r="D17" s="9">
        <v>15425</v>
      </c>
      <c r="E17" s="9">
        <v>127073</v>
      </c>
      <c r="F17" s="9">
        <v>785503</v>
      </c>
      <c r="G17" s="9">
        <v>717969</v>
      </c>
      <c r="H17" s="9">
        <v>3418093</v>
      </c>
      <c r="I17" s="9">
        <v>46065505</v>
      </c>
      <c r="J17" s="9">
        <v>7618260</v>
      </c>
      <c r="K17" s="9">
        <v>2093157</v>
      </c>
      <c r="L17" s="9">
        <v>133601</v>
      </c>
      <c r="M17">
        <v>1.0000000000000001E-5</v>
      </c>
      <c r="N17" s="9">
        <v>1158</v>
      </c>
      <c r="P17" t="s">
        <v>163</v>
      </c>
      <c r="Q17" s="7">
        <v>122.29</v>
      </c>
      <c r="R17" s="21">
        <f t="shared" si="3"/>
        <v>70.163653075911228</v>
      </c>
      <c r="S17" s="12">
        <f t="shared" si="4"/>
        <v>6.4313094249957565</v>
      </c>
      <c r="T17" s="12">
        <f t="shared" si="5"/>
        <v>2.7149439659857237</v>
      </c>
      <c r="U17" s="12">
        <f t="shared" si="6"/>
        <v>20.222179597581437</v>
      </c>
      <c r="V17" s="12">
        <f t="shared" si="5"/>
        <v>52.337378215206563</v>
      </c>
      <c r="W17" s="12">
        <f t="shared" si="7"/>
        <v>4923.2436780197922</v>
      </c>
      <c r="X17" s="12">
        <f t="shared" si="0"/>
        <v>184.8237406810068</v>
      </c>
      <c r="Y17" s="12">
        <f t="shared" si="1"/>
        <v>2.6240443323496323</v>
      </c>
      <c r="Z17" s="20" t="e">
        <f t="shared" si="2"/>
        <v>#DIV/0!</v>
      </c>
      <c r="AA17" s="20">
        <f t="shared" si="8"/>
        <v>0.71133744598117354</v>
      </c>
    </row>
    <row r="18" spans="1:27" x14ac:dyDescent="0.2">
      <c r="B18" t="s">
        <v>164</v>
      </c>
      <c r="C18" s="9">
        <v>1166697</v>
      </c>
      <c r="D18" s="9">
        <v>1.0000000000000001E-5</v>
      </c>
      <c r="E18" s="9">
        <v>190607</v>
      </c>
      <c r="F18" s="9">
        <v>54413</v>
      </c>
      <c r="G18" s="9">
        <v>1.0000000000000001E-5</v>
      </c>
      <c r="H18" s="9">
        <v>1379081</v>
      </c>
      <c r="I18" s="9">
        <v>511372</v>
      </c>
      <c r="J18" s="9">
        <v>94229</v>
      </c>
      <c r="K18" s="9">
        <v>1.0000000000000001E-5</v>
      </c>
      <c r="L18" s="9">
        <v>15739</v>
      </c>
      <c r="M18">
        <v>1.0000000000000001E-5</v>
      </c>
      <c r="N18">
        <v>1.0000000000000001E-5</v>
      </c>
      <c r="P18" t="s">
        <v>164</v>
      </c>
      <c r="Q18" s="7">
        <v>122.29</v>
      </c>
      <c r="R18" s="21">
        <f t="shared" si="3"/>
        <v>-5.6062795482596011</v>
      </c>
      <c r="S18" s="12">
        <f t="shared" si="4"/>
        <v>19.056156829428758</v>
      </c>
      <c r="T18" s="12">
        <f t="shared" si="5"/>
        <v>0.35585554919285517</v>
      </c>
      <c r="U18" s="12">
        <f t="shared" si="6"/>
        <v>2.3123223679861091</v>
      </c>
      <c r="V18" s="12">
        <f t="shared" si="5"/>
        <v>41.515401763823988</v>
      </c>
      <c r="W18" s="12">
        <f t="shared" si="7"/>
        <v>103.01554798481015</v>
      </c>
      <c r="X18" s="12">
        <f t="shared" si="0"/>
        <v>-7.425531913069956</v>
      </c>
      <c r="Y18" s="12">
        <f t="shared" si="1"/>
        <v>0.81869258238864673</v>
      </c>
      <c r="Z18" s="20" t="e">
        <f t="shared" si="2"/>
        <v>#DIV/0!</v>
      </c>
      <c r="AA18" s="20">
        <f t="shared" si="8"/>
        <v>0.56287225084488191</v>
      </c>
    </row>
    <row r="19" spans="1:27" x14ac:dyDescent="0.2">
      <c r="B19" t="s">
        <v>165</v>
      </c>
      <c r="C19" s="9">
        <v>3359085</v>
      </c>
      <c r="D19" s="9">
        <v>1.0000000000000001E-5</v>
      </c>
      <c r="E19" s="9">
        <v>362516</v>
      </c>
      <c r="F19" s="9">
        <v>160106</v>
      </c>
      <c r="G19" s="9">
        <v>6359</v>
      </c>
      <c r="H19" s="9">
        <v>3868250</v>
      </c>
      <c r="I19" s="9">
        <v>10875075</v>
      </c>
      <c r="J19" s="9">
        <v>2393963</v>
      </c>
      <c r="K19" s="9">
        <v>45260</v>
      </c>
      <c r="L19" s="9">
        <v>85954</v>
      </c>
      <c r="M19">
        <v>1.0000000000000001E-5</v>
      </c>
      <c r="N19" s="9">
        <v>2831</v>
      </c>
      <c r="P19" t="s">
        <v>165</v>
      </c>
      <c r="Q19" s="7">
        <v>122.29</v>
      </c>
      <c r="R19" s="21">
        <f t="shared" si="3"/>
        <v>-5.6062796119170626</v>
      </c>
      <c r="S19" s="12">
        <f t="shared" si="4"/>
        <v>12.604953572327188</v>
      </c>
      <c r="T19" s="12">
        <f t="shared" si="5"/>
        <v>0.36412454381359727</v>
      </c>
      <c r="U19" s="12">
        <f t="shared" si="6"/>
        <v>2.446126581505109</v>
      </c>
      <c r="V19" s="12">
        <f t="shared" si="5"/>
        <v>40.392190481793492</v>
      </c>
      <c r="W19" s="12">
        <f t="shared" si="7"/>
        <v>833.04131380889282</v>
      </c>
      <c r="X19" s="12">
        <f t="shared" si="0"/>
        <v>-4.5587431215041807</v>
      </c>
      <c r="Y19" s="12">
        <f t="shared" si="1"/>
        <v>1.3130438896490513</v>
      </c>
      <c r="Z19" s="20" t="e">
        <f t="shared" si="2"/>
        <v>#DIV/0!</v>
      </c>
      <c r="AA19" s="20">
        <f t="shared" si="8"/>
        <v>0.81305170078427036</v>
      </c>
    </row>
    <row r="20" spans="1:27" x14ac:dyDescent="0.2">
      <c r="B20" t="s">
        <v>166</v>
      </c>
      <c r="C20" s="9">
        <v>3963684</v>
      </c>
      <c r="D20">
        <v>1.0000000000000001E-5</v>
      </c>
      <c r="E20" s="9">
        <v>410111</v>
      </c>
      <c r="F20" s="9">
        <v>519504</v>
      </c>
      <c r="G20">
        <v>1.0000000000000001E-5</v>
      </c>
      <c r="H20" s="9">
        <v>3568248</v>
      </c>
      <c r="I20" s="9">
        <v>1015588</v>
      </c>
      <c r="J20" s="9">
        <v>227274</v>
      </c>
      <c r="K20" s="9">
        <v>2044</v>
      </c>
      <c r="L20" s="9">
        <v>60490</v>
      </c>
      <c r="M20">
        <v>1.0000000000000001E-5</v>
      </c>
      <c r="N20" s="9">
        <v>1940</v>
      </c>
      <c r="P20" t="s">
        <v>166</v>
      </c>
      <c r="Q20" s="7">
        <v>122.29</v>
      </c>
      <c r="R20" s="21">
        <f t="shared" si="3"/>
        <v>-5.606279617084299</v>
      </c>
      <c r="S20" s="12">
        <f t="shared" si="4"/>
        <v>12.086791397067806</v>
      </c>
      <c r="T20" s="12">
        <f t="shared" si="5"/>
        <v>1.0369093354292362</v>
      </c>
      <c r="U20" s="12">
        <f t="shared" si="6"/>
        <v>2.3123223675578943</v>
      </c>
      <c r="V20" s="12">
        <f t="shared" si="5"/>
        <v>31.123983836392068</v>
      </c>
      <c r="W20" s="12">
        <f t="shared" si="7"/>
        <v>59.289857960852103</v>
      </c>
      <c r="X20" s="12">
        <f t="shared" si="0"/>
        <v>-7.3158123668617154</v>
      </c>
      <c r="Y20" s="12">
        <f t="shared" si="1"/>
        <v>0.89105106773663334</v>
      </c>
      <c r="Z20" s="20" t="e">
        <f t="shared" si="2"/>
        <v>#DIV/0!</v>
      </c>
      <c r="AA20" s="20">
        <f t="shared" si="8"/>
        <v>0.70823891475655931</v>
      </c>
    </row>
    <row r="21" spans="1:27" x14ac:dyDescent="0.2">
      <c r="B21" t="s">
        <v>167</v>
      </c>
      <c r="C21" s="9">
        <v>1167470</v>
      </c>
      <c r="D21" s="9">
        <v>1.0000000000000001E-5</v>
      </c>
      <c r="E21" s="9">
        <v>143999</v>
      </c>
      <c r="F21" s="9">
        <v>236671</v>
      </c>
      <c r="G21" s="9">
        <v>1.0000000000000001E-5</v>
      </c>
      <c r="H21" s="9">
        <v>5388240</v>
      </c>
      <c r="I21" s="9">
        <v>812579</v>
      </c>
      <c r="J21" s="9">
        <v>232750</v>
      </c>
      <c r="K21" s="9">
        <v>1.0000000000000001E-5</v>
      </c>
      <c r="L21" s="9">
        <v>107843</v>
      </c>
      <c r="M21">
        <v>1.0000000000000001E-5</v>
      </c>
      <c r="N21">
        <v>1.0000000000000001E-5</v>
      </c>
      <c r="P21" t="s">
        <v>167</v>
      </c>
      <c r="Q21" s="7">
        <v>122.29</v>
      </c>
      <c r="R21" s="21">
        <f t="shared" si="3"/>
        <v>-5.6062795483241796</v>
      </c>
      <c r="S21" s="12">
        <f t="shared" si="4"/>
        <v>14.399090451366348</v>
      </c>
      <c r="T21" s="12">
        <f t="shared" si="5"/>
        <v>1.6149337833525095</v>
      </c>
      <c r="U21" s="12">
        <f t="shared" si="6"/>
        <v>2.3123223679857055</v>
      </c>
      <c r="V21" s="12">
        <f t="shared" si="5"/>
        <v>168.11637716993437</v>
      </c>
      <c r="W21" s="12">
        <f t="shared" si="7"/>
        <v>183.08079846782704</v>
      </c>
      <c r="X21" s="12">
        <f t="shared" si="0"/>
        <v>-7.4255319130711639</v>
      </c>
      <c r="Y21" s="12">
        <f t="shared" si="1"/>
        <v>4.0419507910897847</v>
      </c>
      <c r="Z21" s="20" t="e">
        <f t="shared" si="2"/>
        <v>#DIV/0!</v>
      </c>
      <c r="AA21" s="20">
        <f t="shared" si="8"/>
        <v>0.56287225084319681</v>
      </c>
    </row>
    <row r="22" spans="1:27" x14ac:dyDescent="0.2">
      <c r="B22" t="s">
        <v>168</v>
      </c>
      <c r="C22" s="9">
        <v>2257103</v>
      </c>
      <c r="D22" s="9">
        <v>1.0000000000000001E-5</v>
      </c>
      <c r="E22" s="9">
        <v>253362</v>
      </c>
      <c r="F22" s="9">
        <v>520987</v>
      </c>
      <c r="G22" s="9">
        <v>134447</v>
      </c>
      <c r="H22" s="9">
        <v>5772494</v>
      </c>
      <c r="I22" s="9">
        <v>15720488</v>
      </c>
      <c r="J22" s="9">
        <v>4059428</v>
      </c>
      <c r="K22" s="9">
        <v>188430</v>
      </c>
      <c r="L22" s="9">
        <v>69052</v>
      </c>
      <c r="M22">
        <v>1.0000000000000001E-5</v>
      </c>
      <c r="N22">
        <v>1.0000000000000001E-5</v>
      </c>
      <c r="P22" t="s">
        <v>168</v>
      </c>
      <c r="Q22" s="7">
        <v>122.29</v>
      </c>
      <c r="R22" s="21">
        <f t="shared" si="3"/>
        <v>-5.6062795953779165</v>
      </c>
      <c r="S22" s="12">
        <f t="shared" si="4"/>
        <v>13.108688150668547</v>
      </c>
      <c r="T22" s="12">
        <f t="shared" si="5"/>
        <v>1.8416076668484722</v>
      </c>
      <c r="U22" s="12">
        <f t="shared" si="6"/>
        <v>6.326939122379275</v>
      </c>
      <c r="V22" s="12">
        <f t="shared" si="5"/>
        <v>92.234357589251331</v>
      </c>
      <c r="W22" s="12">
        <f t="shared" si="7"/>
        <v>1857.1295043229061</v>
      </c>
      <c r="X22" s="12">
        <f t="shared" si="0"/>
        <v>10.336833985865953</v>
      </c>
      <c r="Y22" s="12">
        <f t="shared" si="1"/>
        <v>1.5175414078703993</v>
      </c>
      <c r="Z22" s="20" t="e">
        <f t="shared" si="2"/>
        <v>#DIV/0!</v>
      </c>
      <c r="AA22" s="20">
        <f t="shared" si="8"/>
        <v>0.56287224961416149</v>
      </c>
    </row>
    <row r="23" spans="1:27" x14ac:dyDescent="0.2">
      <c r="B23" t="s">
        <v>169</v>
      </c>
      <c r="C23" s="9">
        <v>2420193</v>
      </c>
      <c r="D23" s="9">
        <v>1.0000000000000001E-5</v>
      </c>
      <c r="E23" s="9">
        <v>230492</v>
      </c>
      <c r="F23" s="9">
        <v>241021</v>
      </c>
      <c r="G23" s="9">
        <v>1.0000000000000001E-5</v>
      </c>
      <c r="H23" s="9">
        <v>5537241</v>
      </c>
      <c r="I23" s="9">
        <v>15816932</v>
      </c>
      <c r="J23" s="9">
        <v>3309143</v>
      </c>
      <c r="K23" s="9">
        <v>1.0000000000000001E-5</v>
      </c>
      <c r="L23" s="9">
        <v>102025</v>
      </c>
      <c r="M23">
        <v>1.0000000000000001E-5</v>
      </c>
      <c r="N23">
        <v>1.0000000000000001E-5</v>
      </c>
      <c r="P23" t="s">
        <v>169</v>
      </c>
      <c r="Q23" s="7">
        <v>122.29</v>
      </c>
      <c r="R23" s="21">
        <f t="shared" si="3"/>
        <v>-5.6062795987752398</v>
      </c>
      <c r="S23" s="12">
        <f t="shared" si="4"/>
        <v>11.12931650027183</v>
      </c>
      <c r="T23" s="12">
        <f t="shared" si="5"/>
        <v>0.78298115583202965</v>
      </c>
      <c r="U23" s="12">
        <f t="shared" si="6"/>
        <v>2.3123223676718072</v>
      </c>
      <c r="V23" s="12">
        <f t="shared" si="5"/>
        <v>82.294945929296873</v>
      </c>
      <c r="W23" s="12">
        <f t="shared" si="7"/>
        <v>1674.0013871673727</v>
      </c>
      <c r="X23" s="12">
        <f t="shared" si="0"/>
        <v>-7.4255319140144884</v>
      </c>
      <c r="Y23" s="12">
        <f t="shared" si="1"/>
        <v>1.9900007033787823</v>
      </c>
      <c r="Z23" s="20" t="e">
        <f t="shared" si="2"/>
        <v>#DIV/0!</v>
      </c>
      <c r="AA23" s="20">
        <f t="shared" si="8"/>
        <v>0.56287224952542081</v>
      </c>
    </row>
    <row r="24" spans="1:27" x14ac:dyDescent="0.2">
      <c r="B24" t="s">
        <v>170</v>
      </c>
      <c r="C24" s="9">
        <v>1548405</v>
      </c>
      <c r="D24" s="9">
        <v>1.0000000000000001E-5</v>
      </c>
      <c r="E24" s="9">
        <v>287447</v>
      </c>
      <c r="F24" s="9">
        <v>453470</v>
      </c>
      <c r="G24" s="9">
        <v>102726</v>
      </c>
      <c r="H24" s="9">
        <v>4792061</v>
      </c>
      <c r="I24" s="9">
        <v>35990588</v>
      </c>
      <c r="J24" s="9">
        <v>5601908</v>
      </c>
      <c r="K24" s="9">
        <v>441385</v>
      </c>
      <c r="L24" s="9">
        <v>93338</v>
      </c>
      <c r="M24">
        <v>1.0000000000000001E-5</v>
      </c>
      <c r="N24">
        <v>1.0000000000000001E-5</v>
      </c>
      <c r="P24" t="s">
        <v>170</v>
      </c>
      <c r="Q24" s="7">
        <v>122.29</v>
      </c>
      <c r="R24" s="21">
        <f t="shared" si="3"/>
        <v>-5.6062795723032073</v>
      </c>
      <c r="S24" s="12">
        <f t="shared" si="4"/>
        <v>21.646721963443092</v>
      </c>
      <c r="T24" s="12">
        <f t="shared" si="5"/>
        <v>2.3420804087067331</v>
      </c>
      <c r="U24" s="12">
        <f t="shared" si="6"/>
        <v>6.7605977771200285</v>
      </c>
      <c r="V24" s="12">
        <f>(((H24/$C24) -H$30 )/H$29)*$Q24</f>
        <v>112.04926260347949</v>
      </c>
      <c r="W24" s="12">
        <f t="shared" si="7"/>
        <v>5707.7893078993357</v>
      </c>
      <c r="X24" s="12">
        <f t="shared" si="0"/>
        <v>53.225074436583924</v>
      </c>
      <c r="Y24" s="12">
        <f t="shared" si="1"/>
        <v>2.7305847062098856</v>
      </c>
      <c r="Z24" s="20" t="e">
        <f t="shared" si="2"/>
        <v>#DIV/0!</v>
      </c>
      <c r="AA24" s="20">
        <f t="shared" si="8"/>
        <v>0.5628722502168626</v>
      </c>
    </row>
    <row r="25" spans="1:27" x14ac:dyDescent="0.2">
      <c r="B25" t="s">
        <v>171</v>
      </c>
      <c r="C25" s="9">
        <v>2612715</v>
      </c>
      <c r="D25" s="9">
        <v>1.0000000000000001E-5</v>
      </c>
      <c r="E25" s="9">
        <v>275811</v>
      </c>
      <c r="F25" s="9">
        <v>50983</v>
      </c>
      <c r="G25" s="9">
        <v>1.0000000000000001E-5</v>
      </c>
      <c r="H25" s="9">
        <v>2899222</v>
      </c>
      <c r="I25" s="9">
        <v>1408454</v>
      </c>
      <c r="J25" s="9">
        <v>356273</v>
      </c>
      <c r="K25" s="9">
        <v>1.0000000000000001E-5</v>
      </c>
      <c r="L25" s="9">
        <v>119082</v>
      </c>
      <c r="M25">
        <v>1.0000000000000001E-5</v>
      </c>
      <c r="N25">
        <v>1.0000000000000001E-5</v>
      </c>
      <c r="P25" t="s">
        <v>171</v>
      </c>
      <c r="Q25" s="7">
        <v>122.29</v>
      </c>
      <c r="R25" s="21">
        <f t="shared" si="3"/>
        <v>-5.6062796022398089</v>
      </c>
      <c r="S25" s="12">
        <f t="shared" si="4"/>
        <v>12.330842619164494</v>
      </c>
      <c r="T25" s="12">
        <f t="shared" si="5"/>
        <v>0.13704470289618784</v>
      </c>
      <c r="U25" s="12">
        <f t="shared" si="6"/>
        <v>2.3123223676502502</v>
      </c>
      <c r="V25" s="12">
        <f t="shared" si="5"/>
        <v>38.846412153320443</v>
      </c>
      <c r="W25" s="12">
        <f t="shared" si="7"/>
        <v>136.28468132582876</v>
      </c>
      <c r="X25" s="12">
        <f t="shared" si="0"/>
        <v>-7.4255319140792686</v>
      </c>
      <c r="Y25" s="12">
        <f t="shared" si="1"/>
        <v>2.129833861896441</v>
      </c>
      <c r="Z25" s="20" t="e">
        <f t="shared" si="2"/>
        <v>#DIV/0!</v>
      </c>
      <c r="AA25" s="20">
        <f t="shared" si="8"/>
        <v>0.56287224943492808</v>
      </c>
    </row>
    <row r="26" spans="1:27" x14ac:dyDescent="0.2">
      <c r="B26" t="s">
        <v>172</v>
      </c>
      <c r="C26" s="9">
        <v>3207984</v>
      </c>
      <c r="D26" s="9">
        <v>1.0000000000000001E-5</v>
      </c>
      <c r="E26" s="9">
        <v>547178</v>
      </c>
      <c r="F26" s="9">
        <v>17245548</v>
      </c>
      <c r="G26" s="9">
        <v>1909756</v>
      </c>
      <c r="H26" s="9">
        <v>2077087</v>
      </c>
      <c r="I26" s="9">
        <v>363053</v>
      </c>
      <c r="J26" s="9">
        <v>250186</v>
      </c>
      <c r="K26" s="9">
        <v>60515</v>
      </c>
      <c r="L26" s="9">
        <v>2607669</v>
      </c>
      <c r="M26" s="9">
        <v>13424</v>
      </c>
      <c r="N26" s="9">
        <v>178573</v>
      </c>
      <c r="P26" t="s">
        <v>172</v>
      </c>
      <c r="Q26" s="7">
        <v>122.29</v>
      </c>
      <c r="R26" s="21">
        <f t="shared" si="3"/>
        <v>-5.6062796103214581</v>
      </c>
      <c r="S26" s="12">
        <f t="shared" si="4"/>
        <v>19.893138194179805</v>
      </c>
      <c r="T26" s="12">
        <f t="shared" si="5"/>
        <v>43.344956128006416</v>
      </c>
      <c r="U26" s="12">
        <f t="shared" si="6"/>
        <v>32.7846578634623</v>
      </c>
      <c r="V26" s="12">
        <f t="shared" si="5"/>
        <v>21.803498023407812</v>
      </c>
      <c r="W26" s="12">
        <f t="shared" si="7"/>
        <v>33.246860147761126</v>
      </c>
      <c r="X26" s="12">
        <f t="shared" si="0"/>
        <v>-3.4119420980823056</v>
      </c>
      <c r="Y26" s="12">
        <f t="shared" si="1"/>
        <v>33.482275981753098</v>
      </c>
      <c r="Z26" s="20" t="e">
        <f t="shared" si="2"/>
        <v>#DIV/0!</v>
      </c>
      <c r="AA26" s="20">
        <f t="shared" si="8"/>
        <v>15.91846859314952</v>
      </c>
    </row>
    <row r="27" spans="1:27" x14ac:dyDescent="0.2">
      <c r="B27" t="s">
        <v>173</v>
      </c>
      <c r="C27" s="9">
        <v>3121036</v>
      </c>
      <c r="D27">
        <v>1.0000000000000001E-5</v>
      </c>
      <c r="E27" s="9">
        <v>523887</v>
      </c>
      <c r="F27" s="9">
        <v>15697616</v>
      </c>
      <c r="G27" s="9">
        <v>2907198</v>
      </c>
      <c r="H27" s="9">
        <v>2341826</v>
      </c>
      <c r="I27" s="9">
        <v>339590</v>
      </c>
      <c r="J27" s="9">
        <v>222448</v>
      </c>
      <c r="K27" s="9">
        <v>223304</v>
      </c>
      <c r="L27" s="9">
        <v>3159266</v>
      </c>
      <c r="M27" s="9">
        <v>17978</v>
      </c>
      <c r="N27" s="9">
        <v>311798</v>
      </c>
      <c r="P27" t="s">
        <v>173</v>
      </c>
      <c r="Q27" s="7">
        <v>122.29</v>
      </c>
      <c r="R27" s="21">
        <f t="shared" si="3"/>
        <v>-5.6062796093332699</v>
      </c>
      <c r="S27" s="12">
        <f t="shared" si="4"/>
        <v>19.577768928369892</v>
      </c>
      <c r="T27" s="12">
        <f t="shared" si="5"/>
        <v>40.552220499118157</v>
      </c>
      <c r="U27" s="12">
        <f t="shared" si="6"/>
        <v>45.167894006653029</v>
      </c>
      <c r="V27" s="12">
        <f t="shared" si="5"/>
        <v>25.596498471528545</v>
      </c>
      <c r="W27" s="12">
        <f t="shared" si="7"/>
        <v>30.889486941501939</v>
      </c>
      <c r="X27" s="12">
        <f t="shared" si="0"/>
        <v>7.7974547349566654</v>
      </c>
      <c r="Y27" s="12">
        <f t="shared" si="1"/>
        <v>41.629217257036707</v>
      </c>
      <c r="Z27" s="20" t="e">
        <f t="shared" si="2"/>
        <v>#DIV/0!</v>
      </c>
      <c r="AA27" s="20">
        <f t="shared" si="8"/>
        <v>26.787228038688554</v>
      </c>
    </row>
    <row r="28" spans="1:27" x14ac:dyDescent="0.2">
      <c r="E28" s="7"/>
      <c r="R28" s="20"/>
      <c r="W28" t="s">
        <v>175</v>
      </c>
      <c r="X28" t="s">
        <v>190</v>
      </c>
    </row>
    <row r="29" spans="1:27" x14ac:dyDescent="0.2">
      <c r="A29" t="s">
        <v>143</v>
      </c>
      <c r="C29" t="s">
        <v>145</v>
      </c>
      <c r="E29">
        <v>1.051159</v>
      </c>
      <c r="F29">
        <v>15.159789999999999</v>
      </c>
      <c r="G29">
        <v>2.7168009999999998</v>
      </c>
      <c r="H29">
        <v>3.3163659999999999</v>
      </c>
      <c r="I29">
        <v>0.33622950000000001</v>
      </c>
      <c r="J29" s="13">
        <v>4.7000000000000002E-3</v>
      </c>
      <c r="K29" s="13">
        <v>4.7000000000000002E-3</v>
      </c>
      <c r="L29">
        <v>2.9928119999999998</v>
      </c>
      <c r="M29" s="13">
        <v>1.6964509999999999E-2</v>
      </c>
      <c r="N29">
        <v>0.40910760000000002</v>
      </c>
      <c r="P29" t="s">
        <v>119</v>
      </c>
      <c r="R29" s="20"/>
    </row>
    <row r="30" spans="1:27" x14ac:dyDescent="0.2">
      <c r="A30" t="s">
        <v>144</v>
      </c>
      <c r="C30" t="s">
        <v>143</v>
      </c>
      <c r="E30">
        <f>- 0.0004264001</f>
        <v>-4.2640009999999999E-4</v>
      </c>
      <c r="F30" s="13">
        <f>0.002524548</f>
        <v>2.5245480000000002E-3</v>
      </c>
      <c r="G30">
        <f>- 0.06318498</f>
        <v>-6.3184980000000002E-2</v>
      </c>
      <c r="H30">
        <f>+ 0.05618812</f>
        <v>5.6188120000000001E-2</v>
      </c>
      <c r="I30">
        <f>+ 0.02334673</f>
        <v>2.334673E-2</v>
      </c>
      <c r="J30">
        <v>3.49E-2</v>
      </c>
      <c r="K30">
        <v>3.49E-2</v>
      </c>
      <c r="L30">
        <f xml:space="preserve"> - 0.006545702</f>
        <v>-6.5457019999999996E-3</v>
      </c>
      <c r="M30">
        <f t="shared" ref="M30" si="9">M29^2</f>
        <v>2.8779459954009993E-4</v>
      </c>
      <c r="N30">
        <f>N29^2</f>
        <v>0.16736902837776002</v>
      </c>
      <c r="P30" t="s">
        <v>120</v>
      </c>
      <c r="R30" s="20"/>
      <c r="S30" t="s">
        <v>133</v>
      </c>
      <c r="T30" t="s">
        <v>133</v>
      </c>
      <c r="U30" t="s">
        <v>174</v>
      </c>
      <c r="V30" t="s">
        <v>133</v>
      </c>
      <c r="W30" t="s">
        <v>133</v>
      </c>
      <c r="X30" t="s">
        <v>133</v>
      </c>
      <c r="Y30" t="s">
        <v>133</v>
      </c>
      <c r="AA30" t="s">
        <v>174</v>
      </c>
    </row>
    <row r="31" spans="1:27" x14ac:dyDescent="0.2">
      <c r="A31" t="s">
        <v>145</v>
      </c>
      <c r="I31" s="13"/>
      <c r="J31" s="13"/>
      <c r="K31" s="13"/>
      <c r="M31" s="13"/>
      <c r="N31">
        <v>0.25378109999999998</v>
      </c>
      <c r="P31" t="s">
        <v>48</v>
      </c>
      <c r="R31" s="20"/>
      <c r="S31">
        <v>0.99939339999999999</v>
      </c>
      <c r="T31">
        <v>0.99220569999999997</v>
      </c>
      <c r="U31">
        <v>0.99955110000000003</v>
      </c>
      <c r="V31">
        <v>0.99438850000000001</v>
      </c>
      <c r="W31">
        <v>0.99319999999999997</v>
      </c>
      <c r="X31">
        <v>0.99319999999999997</v>
      </c>
      <c r="Y31">
        <v>0.99677070000000001</v>
      </c>
      <c r="AA31">
        <v>0.9999614</v>
      </c>
    </row>
    <row r="32" spans="1:27" x14ac:dyDescent="0.2">
      <c r="A32" t="s">
        <v>146</v>
      </c>
      <c r="C32" t="s">
        <v>143</v>
      </c>
      <c r="G32">
        <v>1.626824</v>
      </c>
      <c r="H32" s="14"/>
      <c r="I32" s="13"/>
      <c r="J32" s="13"/>
      <c r="K32" s="13"/>
      <c r="L32" s="13"/>
      <c r="M32" s="13"/>
      <c r="N32" s="13">
        <f xml:space="preserve"> -0.001888403</f>
        <v>-1.8884030000000001E-3</v>
      </c>
      <c r="P32" t="s">
        <v>110</v>
      </c>
      <c r="R32" s="20"/>
      <c r="S32">
        <v>21.62219</v>
      </c>
      <c r="T32">
        <v>38.26529</v>
      </c>
      <c r="U32">
        <v>72.722449999999995</v>
      </c>
      <c r="V32">
        <v>11.797890000000001</v>
      </c>
      <c r="Y32">
        <v>13.37368</v>
      </c>
      <c r="AA32">
        <v>123.7475</v>
      </c>
    </row>
    <row r="33" spans="1:27" x14ac:dyDescent="0.2">
      <c r="C33" t="s">
        <v>224</v>
      </c>
      <c r="G33">
        <f t="shared" ref="G33" si="10">G32^2</f>
        <v>2.646556326976</v>
      </c>
      <c r="P33" t="s">
        <v>125</v>
      </c>
      <c r="R33" s="20"/>
      <c r="S33">
        <v>0.25</v>
      </c>
      <c r="T33">
        <v>0.25</v>
      </c>
      <c r="U33">
        <v>1</v>
      </c>
      <c r="V33">
        <v>0.25</v>
      </c>
      <c r="W33">
        <v>0.25</v>
      </c>
      <c r="X33">
        <v>0.25</v>
      </c>
      <c r="Y33">
        <v>0.25</v>
      </c>
      <c r="AA33">
        <v>0.25</v>
      </c>
    </row>
    <row r="34" spans="1:27" x14ac:dyDescent="0.2">
      <c r="C34" t="s">
        <v>145</v>
      </c>
      <c r="G34">
        <v>2.655967</v>
      </c>
      <c r="P34" t="s">
        <v>126</v>
      </c>
      <c r="S34">
        <v>50</v>
      </c>
      <c r="T34">
        <v>10</v>
      </c>
      <c r="U34">
        <v>100</v>
      </c>
      <c r="V34">
        <v>250</v>
      </c>
      <c r="W34">
        <v>500</v>
      </c>
      <c r="X34">
        <v>500</v>
      </c>
      <c r="Y34">
        <v>10</v>
      </c>
      <c r="AA34">
        <v>500</v>
      </c>
    </row>
    <row r="35" spans="1:27" x14ac:dyDescent="0.2">
      <c r="C35" t="s">
        <v>146</v>
      </c>
      <c r="G35" s="5">
        <f>-0.03171042</f>
        <v>-3.1710420000000003E-2</v>
      </c>
      <c r="I35" s="13"/>
      <c r="K35" s="11"/>
    </row>
    <row r="36" spans="1:27" x14ac:dyDescent="0.2">
      <c r="I36" s="13"/>
      <c r="K36" s="11" t="s">
        <v>191</v>
      </c>
      <c r="L36" s="8" t="s">
        <v>192</v>
      </c>
    </row>
    <row r="37" spans="1:27" ht="64" x14ac:dyDescent="0.2">
      <c r="A37" s="7">
        <f>((31.11276*0.6596246^2)+(17.61902*0.6596246)-0.1097424)</f>
        <v>25.049502016725402</v>
      </c>
      <c r="B37" s="7" t="s">
        <v>136</v>
      </c>
      <c r="C37" s="7" t="s">
        <v>140</v>
      </c>
      <c r="D37" s="7" t="s">
        <v>13</v>
      </c>
      <c r="E37" s="7" t="s">
        <v>190</v>
      </c>
      <c r="F37" s="7" t="s">
        <v>207</v>
      </c>
      <c r="I37" s="7" t="s">
        <v>197</v>
      </c>
      <c r="J37" t="s">
        <v>198</v>
      </c>
      <c r="K37" s="7" t="s">
        <v>199</v>
      </c>
      <c r="L37" t="s">
        <v>193</v>
      </c>
      <c r="M37" t="s">
        <v>194</v>
      </c>
      <c r="N37" t="s">
        <v>195</v>
      </c>
      <c r="O37" t="s">
        <v>196</v>
      </c>
      <c r="P37" t="s">
        <v>200</v>
      </c>
      <c r="Q37" t="s">
        <v>201</v>
      </c>
      <c r="R37" t="s">
        <v>202</v>
      </c>
      <c r="S37" t="s">
        <v>203</v>
      </c>
      <c r="T37" t="s">
        <v>204</v>
      </c>
      <c r="U37" t="s">
        <v>205</v>
      </c>
      <c r="V37" t="s">
        <v>206</v>
      </c>
    </row>
    <row r="38" spans="1:27" x14ac:dyDescent="0.2">
      <c r="A38" t="s">
        <v>148</v>
      </c>
      <c r="B38" s="9">
        <v>3689031</v>
      </c>
      <c r="C38" s="9">
        <v>17011582</v>
      </c>
      <c r="D38" s="9">
        <v>3954966</v>
      </c>
      <c r="E38" s="9">
        <f>C38+D38</f>
        <v>20966548</v>
      </c>
      <c r="F38" s="24">
        <f>(D38+C38)/B38</f>
        <v>5.6834838200058497</v>
      </c>
      <c r="G38">
        <f>(F38-$B$66)/$B$65</f>
        <v>1201.8263446820956</v>
      </c>
      <c r="H38">
        <f>(V38-$B$66)/$B$65</f>
        <v>-7.1116931138298609</v>
      </c>
      <c r="I38">
        <v>0.25</v>
      </c>
      <c r="J38" s="9">
        <v>6191447</v>
      </c>
      <c r="K38" s="9">
        <v>6536489</v>
      </c>
      <c r="L38" s="11">
        <v>5462</v>
      </c>
      <c r="M38">
        <v>5780</v>
      </c>
      <c r="N38" s="11">
        <v>3638</v>
      </c>
      <c r="O38">
        <v>3896</v>
      </c>
      <c r="P38">
        <f>L38/J38</f>
        <v>8.8218472999930389E-4</v>
      </c>
      <c r="Q38">
        <v>8.8429999999999997E-4</v>
      </c>
      <c r="R38">
        <v>5.8759999999999997E-4</v>
      </c>
      <c r="S38">
        <v>5.9599999999999996E-4</v>
      </c>
      <c r="T38">
        <f>(P38+Q38)/2</f>
        <v>8.8324236499965193E-4</v>
      </c>
      <c r="U38">
        <f>(R38+S38)/2</f>
        <v>5.9179999999999996E-4</v>
      </c>
      <c r="V38">
        <f>T38+U38</f>
        <v>1.4750423649996518E-3</v>
      </c>
    </row>
    <row r="39" spans="1:27" x14ac:dyDescent="0.2">
      <c r="A39" t="s">
        <v>149</v>
      </c>
      <c r="B39" s="9">
        <v>3451380</v>
      </c>
      <c r="C39" s="9">
        <v>14918358</v>
      </c>
      <c r="D39" s="9">
        <v>2799429</v>
      </c>
      <c r="E39" s="9">
        <f t="shared" ref="E39:E63" si="11">C39+D39</f>
        <v>17717787</v>
      </c>
      <c r="F39" s="24">
        <f t="shared" ref="F39:F63" si="12">(D39+C39)/B39</f>
        <v>5.1335370199746189</v>
      </c>
      <c r="G39">
        <f t="shared" ref="G39:G90" si="13">(F39-$B$66)/$B$65</f>
        <v>1084.8163872286423</v>
      </c>
      <c r="H39">
        <f t="shared" ref="H39:H48" si="14">(V39-$B$66)/$B$65</f>
        <v>-6.945950697416917</v>
      </c>
      <c r="I39">
        <v>0.5</v>
      </c>
      <c r="J39" s="9">
        <v>6471551</v>
      </c>
      <c r="K39" s="9">
        <v>6095573</v>
      </c>
      <c r="L39">
        <v>7521</v>
      </c>
      <c r="M39">
        <v>9000</v>
      </c>
      <c r="N39">
        <v>5808</v>
      </c>
      <c r="O39">
        <v>5924</v>
      </c>
      <c r="P39">
        <f t="shared" ref="P39:P43" si="15">L39/J39</f>
        <v>1.1621634442809769E-3</v>
      </c>
      <c r="Q39">
        <v>1.4764999999999999E-3</v>
      </c>
      <c r="R39">
        <v>8.9749999999999997E-4</v>
      </c>
      <c r="S39">
        <v>9.7190000000000004E-4</v>
      </c>
      <c r="T39">
        <f t="shared" ref="T39:T48" si="16">(P39+Q39)/2</f>
        <v>1.3193317221404884E-3</v>
      </c>
      <c r="U39">
        <f t="shared" ref="U39:U48" si="17">(R39+S39)/2</f>
        <v>9.3470000000000001E-4</v>
      </c>
      <c r="V39">
        <f t="shared" ref="V39:V48" si="18">T39+U39</f>
        <v>2.2540317221404886E-3</v>
      </c>
    </row>
    <row r="40" spans="1:27" x14ac:dyDescent="0.2">
      <c r="A40" t="s">
        <v>150</v>
      </c>
      <c r="B40" s="9">
        <v>4261950</v>
      </c>
      <c r="C40" s="9">
        <v>2456453</v>
      </c>
      <c r="D40" s="9">
        <v>594382</v>
      </c>
      <c r="E40" s="9">
        <f t="shared" si="11"/>
        <v>3050835</v>
      </c>
      <c r="F40" s="24">
        <f t="shared" si="12"/>
        <v>0.71583078168444025</v>
      </c>
      <c r="G40">
        <f t="shared" si="13"/>
        <v>144.87888972009367</v>
      </c>
      <c r="H40">
        <f t="shared" si="14"/>
        <v>-6.5488882120054157</v>
      </c>
      <c r="I40">
        <v>1</v>
      </c>
      <c r="J40" s="9">
        <v>6570843</v>
      </c>
      <c r="K40" s="9">
        <v>5968420</v>
      </c>
      <c r="L40">
        <v>17212</v>
      </c>
      <c r="M40">
        <v>12815</v>
      </c>
      <c r="N40">
        <v>12692</v>
      </c>
      <c r="O40">
        <v>9205</v>
      </c>
      <c r="P40">
        <f t="shared" si="15"/>
        <v>2.6194508071490977E-3</v>
      </c>
      <c r="Q40">
        <v>2.1470999999999999E-3</v>
      </c>
      <c r="R40">
        <v>1.9315999999999999E-3</v>
      </c>
      <c r="S40">
        <v>1.5422999999999999E-3</v>
      </c>
      <c r="T40">
        <f t="shared" si="16"/>
        <v>2.3832754035745486E-3</v>
      </c>
      <c r="U40">
        <f t="shared" si="17"/>
        <v>1.7369499999999999E-3</v>
      </c>
      <c r="V40">
        <f t="shared" si="18"/>
        <v>4.1202254035745487E-3</v>
      </c>
    </row>
    <row r="41" spans="1:27" x14ac:dyDescent="0.2">
      <c r="A41" t="s">
        <v>151</v>
      </c>
      <c r="B41" s="9">
        <v>3834590</v>
      </c>
      <c r="C41" s="9">
        <v>4330867</v>
      </c>
      <c r="D41" s="9">
        <v>895970</v>
      </c>
      <c r="E41" s="9">
        <f t="shared" si="11"/>
        <v>5226837</v>
      </c>
      <c r="F41" s="24">
        <f t="shared" si="12"/>
        <v>1.3630758438320656</v>
      </c>
      <c r="G41">
        <f t="shared" si="13"/>
        <v>282.59060507065226</v>
      </c>
      <c r="H41">
        <f t="shared" si="14"/>
        <v>-5.1390705062703219</v>
      </c>
      <c r="I41">
        <v>2.5</v>
      </c>
      <c r="J41" s="9">
        <v>5278953</v>
      </c>
      <c r="K41" s="9">
        <v>5621044</v>
      </c>
      <c r="L41">
        <v>31808</v>
      </c>
      <c r="M41">
        <v>36937</v>
      </c>
      <c r="N41">
        <v>22909</v>
      </c>
      <c r="O41">
        <v>25798</v>
      </c>
      <c r="P41">
        <f t="shared" si="15"/>
        <v>6.0254372410589755E-3</v>
      </c>
      <c r="Q41">
        <v>6.5712000000000001E-3</v>
      </c>
      <c r="R41">
        <v>4.3397000000000002E-3</v>
      </c>
      <c r="S41">
        <v>4.5564000000000004E-3</v>
      </c>
      <c r="T41">
        <f t="shared" si="16"/>
        <v>6.2983186205294878E-3</v>
      </c>
      <c r="U41">
        <f t="shared" si="17"/>
        <v>4.4480500000000003E-3</v>
      </c>
      <c r="V41">
        <f t="shared" si="18"/>
        <v>1.0746368620529488E-2</v>
      </c>
    </row>
    <row r="42" spans="1:27" x14ac:dyDescent="0.2">
      <c r="A42" t="s">
        <v>152</v>
      </c>
      <c r="B42" s="9">
        <v>2608202</v>
      </c>
      <c r="C42" s="9">
        <v>7354794</v>
      </c>
      <c r="D42" s="9">
        <v>1403452</v>
      </c>
      <c r="E42" s="9">
        <f t="shared" si="11"/>
        <v>8758246</v>
      </c>
      <c r="F42" s="24">
        <f t="shared" si="12"/>
        <v>3.3579630718786353</v>
      </c>
      <c r="G42">
        <f t="shared" si="13"/>
        <v>707.03469614439052</v>
      </c>
      <c r="H42">
        <f t="shared" si="14"/>
        <v>-2.5146913227600423</v>
      </c>
      <c r="I42">
        <v>5</v>
      </c>
      <c r="J42" s="9">
        <v>4528064</v>
      </c>
      <c r="K42" s="9">
        <v>5221694</v>
      </c>
      <c r="L42">
        <v>63344</v>
      </c>
      <c r="M42">
        <v>67259</v>
      </c>
      <c r="N42">
        <v>46556</v>
      </c>
      <c r="O42">
        <v>48025</v>
      </c>
      <c r="P42">
        <f t="shared" si="15"/>
        <v>1.3989201566055603E-2</v>
      </c>
      <c r="Q42">
        <v>1.28807E-2</v>
      </c>
      <c r="R42">
        <v>1.02015E-2</v>
      </c>
      <c r="S42">
        <v>9.0904999999999996E-3</v>
      </c>
      <c r="T42">
        <f t="shared" si="16"/>
        <v>1.3434950783027802E-2</v>
      </c>
      <c r="U42">
        <f t="shared" si="17"/>
        <v>9.6460000000000001E-3</v>
      </c>
      <c r="V42">
        <f t="shared" si="18"/>
        <v>2.3080950783027802E-2</v>
      </c>
    </row>
    <row r="43" spans="1:27" x14ac:dyDescent="0.2">
      <c r="A43" t="s">
        <v>153</v>
      </c>
      <c r="B43" s="9">
        <v>2156685</v>
      </c>
      <c r="C43" s="9">
        <v>33886498</v>
      </c>
      <c r="D43" s="9">
        <v>5807756</v>
      </c>
      <c r="E43" s="9">
        <f t="shared" si="11"/>
        <v>39694254</v>
      </c>
      <c r="F43" s="24">
        <f t="shared" si="12"/>
        <v>18.40521633896466</v>
      </c>
      <c r="G43">
        <f t="shared" si="13"/>
        <v>3908.577944460566</v>
      </c>
      <c r="H43">
        <f t="shared" si="14"/>
        <v>3.025568981063389</v>
      </c>
      <c r="I43">
        <v>10</v>
      </c>
      <c r="J43" s="9">
        <v>3914882</v>
      </c>
      <c r="K43" s="9">
        <v>5006372</v>
      </c>
      <c r="L43">
        <v>115508</v>
      </c>
      <c r="M43">
        <v>136418</v>
      </c>
      <c r="N43">
        <v>86382</v>
      </c>
      <c r="O43">
        <v>98548</v>
      </c>
      <c r="P43">
        <f t="shared" si="15"/>
        <v>2.9504848421995862E-2</v>
      </c>
      <c r="Q43">
        <v>2.72489E-2</v>
      </c>
      <c r="R43">
        <v>2.1924300000000001E-2</v>
      </c>
      <c r="S43">
        <v>1.9562300000000001E-2</v>
      </c>
      <c r="T43">
        <f t="shared" si="16"/>
        <v>2.8376874210997931E-2</v>
      </c>
      <c r="U43">
        <f t="shared" si="17"/>
        <v>2.0743299999999999E-2</v>
      </c>
      <c r="V43">
        <f t="shared" si="18"/>
        <v>4.912017421099793E-2</v>
      </c>
    </row>
    <row r="44" spans="1:27" x14ac:dyDescent="0.2">
      <c r="A44" t="s">
        <v>154</v>
      </c>
      <c r="B44" s="9">
        <v>2481366</v>
      </c>
      <c r="C44" s="9">
        <v>27620954</v>
      </c>
      <c r="D44" s="9">
        <v>4298342</v>
      </c>
      <c r="E44" s="9">
        <f t="shared" si="11"/>
        <v>31919296</v>
      </c>
      <c r="F44" s="24">
        <f t="shared" si="12"/>
        <v>12.863598517913116</v>
      </c>
      <c r="G44">
        <f t="shared" si="13"/>
        <v>2729.5103229602373</v>
      </c>
      <c r="H44">
        <f t="shared" si="14"/>
        <v>27.869893617021276</v>
      </c>
      <c r="I44">
        <v>25</v>
      </c>
      <c r="J44" s="9">
        <v>2761558</v>
      </c>
      <c r="K44" s="9">
        <v>3040202</v>
      </c>
      <c r="L44">
        <v>296647</v>
      </c>
      <c r="M44">
        <v>254339</v>
      </c>
      <c r="N44">
        <v>218516</v>
      </c>
      <c r="O44">
        <v>190105</v>
      </c>
      <c r="P44">
        <v>0.1073934</v>
      </c>
      <c r="Q44">
        <v>8.36586E-2</v>
      </c>
      <c r="R44">
        <v>7.8538999999999998E-2</v>
      </c>
      <c r="S44">
        <v>6.2185999999999998E-2</v>
      </c>
      <c r="T44">
        <f t="shared" si="16"/>
        <v>9.5526E-2</v>
      </c>
      <c r="U44">
        <f t="shared" si="17"/>
        <v>7.0362499999999994E-2</v>
      </c>
      <c r="V44">
        <f t="shared" si="18"/>
        <v>0.16588849999999999</v>
      </c>
    </row>
    <row r="45" spans="1:27" x14ac:dyDescent="0.2">
      <c r="A45" t="s">
        <v>155</v>
      </c>
      <c r="B45" s="9">
        <v>3616806</v>
      </c>
      <c r="C45" s="9">
        <v>1217372</v>
      </c>
      <c r="D45" s="9">
        <v>309671</v>
      </c>
      <c r="E45" s="9">
        <f t="shared" si="11"/>
        <v>1527043</v>
      </c>
      <c r="F45" s="24">
        <f t="shared" si="12"/>
        <v>0.42220760527382445</v>
      </c>
      <c r="G45">
        <f t="shared" si="13"/>
        <v>82.405873462515842</v>
      </c>
      <c r="H45">
        <f t="shared" si="14"/>
        <v>69.533223404255324</v>
      </c>
      <c r="I45">
        <v>50</v>
      </c>
      <c r="J45" s="9">
        <v>1722748</v>
      </c>
      <c r="K45" s="9">
        <v>2251283</v>
      </c>
      <c r="L45">
        <v>514220</v>
      </c>
      <c r="M45">
        <v>406171</v>
      </c>
      <c r="N45">
        <v>388801</v>
      </c>
      <c r="O45">
        <v>315767</v>
      </c>
      <c r="P45" s="26">
        <v>0.29651349999999999</v>
      </c>
      <c r="Q45">
        <v>0.1804549</v>
      </c>
      <c r="R45">
        <v>0.22329209999999999</v>
      </c>
      <c r="S45">
        <v>0.13921040000000001</v>
      </c>
      <c r="T45">
        <v>0.1804549</v>
      </c>
      <c r="U45">
        <f t="shared" si="17"/>
        <v>0.18125125</v>
      </c>
      <c r="V45">
        <f t="shared" si="18"/>
        <v>0.36170615</v>
      </c>
    </row>
    <row r="46" spans="1:27" x14ac:dyDescent="0.2">
      <c r="A46" t="s">
        <v>156</v>
      </c>
      <c r="B46" s="9">
        <v>3972189</v>
      </c>
      <c r="C46" s="9">
        <v>1709275</v>
      </c>
      <c r="D46" s="9">
        <v>442219</v>
      </c>
      <c r="E46" s="9">
        <f t="shared" si="11"/>
        <v>2151494</v>
      </c>
      <c r="F46" s="24">
        <f t="shared" si="12"/>
        <v>0.54163938322169469</v>
      </c>
      <c r="G46">
        <f t="shared" si="13"/>
        <v>107.81689004716907</v>
      </c>
      <c r="H46">
        <f t="shared" si="14"/>
        <v>116.46832978723401</v>
      </c>
      <c r="I46">
        <v>100</v>
      </c>
      <c r="J46" s="9">
        <v>1273116</v>
      </c>
      <c r="K46" s="9">
        <v>1457606</v>
      </c>
      <c r="L46">
        <v>542102</v>
      </c>
      <c r="M46">
        <v>435925</v>
      </c>
      <c r="N46">
        <v>421207</v>
      </c>
      <c r="O46">
        <v>359198</v>
      </c>
      <c r="P46" s="26">
        <v>0.4258072</v>
      </c>
      <c r="Q46">
        <v>0.2987899</v>
      </c>
      <c r="R46">
        <v>0.32259979999999999</v>
      </c>
      <c r="S46">
        <v>0.24442269999999999</v>
      </c>
      <c r="T46">
        <v>0.2987899</v>
      </c>
      <c r="U46">
        <f t="shared" si="17"/>
        <v>0.28351124999999999</v>
      </c>
      <c r="V46">
        <f t="shared" si="18"/>
        <v>0.58230114999999993</v>
      </c>
    </row>
    <row r="47" spans="1:27" x14ac:dyDescent="0.2">
      <c r="A47" t="s">
        <v>157</v>
      </c>
      <c r="B47" s="9">
        <v>3873723</v>
      </c>
      <c r="C47" s="9">
        <v>2677447</v>
      </c>
      <c r="D47" s="9">
        <v>688232</v>
      </c>
      <c r="E47" s="9">
        <f t="shared" si="11"/>
        <v>3365679</v>
      </c>
      <c r="F47" s="24">
        <f t="shared" si="12"/>
        <v>0.86884865025196689</v>
      </c>
      <c r="G47">
        <f t="shared" si="13"/>
        <v>177.43588303233338</v>
      </c>
      <c r="H47">
        <f t="shared" si="14"/>
        <v>270.40491489361705</v>
      </c>
      <c r="I47">
        <v>250</v>
      </c>
      <c r="J47" s="9">
        <v>737806</v>
      </c>
      <c r="K47" s="9">
        <v>729250</v>
      </c>
      <c r="L47">
        <v>608653</v>
      </c>
      <c r="M47">
        <v>475956</v>
      </c>
      <c r="N47">
        <v>460091</v>
      </c>
      <c r="O47">
        <v>414491</v>
      </c>
      <c r="P47">
        <v>0.82494990000000001</v>
      </c>
      <c r="Q47">
        <v>0.64774359999999997</v>
      </c>
      <c r="R47">
        <v>0.58367239999999998</v>
      </c>
      <c r="S47">
        <v>0.55524030000000002</v>
      </c>
      <c r="T47">
        <f t="shared" si="16"/>
        <v>0.73634675000000005</v>
      </c>
      <c r="U47">
        <f t="shared" si="17"/>
        <v>0.56945635000000006</v>
      </c>
      <c r="V47">
        <f t="shared" si="18"/>
        <v>1.3058031000000001</v>
      </c>
    </row>
    <row r="48" spans="1:27" x14ac:dyDescent="0.2">
      <c r="A48" t="s">
        <v>158</v>
      </c>
      <c r="B48" s="9">
        <v>3379542</v>
      </c>
      <c r="C48" s="9">
        <v>23327851</v>
      </c>
      <c r="D48" s="9">
        <v>6300672</v>
      </c>
      <c r="E48" s="9">
        <f t="shared" si="11"/>
        <v>29628523</v>
      </c>
      <c r="F48" s="24">
        <f t="shared" si="12"/>
        <v>8.7670231646773438</v>
      </c>
      <c r="G48">
        <f t="shared" si="13"/>
        <v>1857.8985456760304</v>
      </c>
      <c r="H48">
        <f t="shared" si="14"/>
        <v>483.67170212765956</v>
      </c>
      <c r="I48">
        <v>500</v>
      </c>
      <c r="J48" s="9">
        <v>430465</v>
      </c>
      <c r="K48" s="9">
        <v>470111</v>
      </c>
      <c r="L48">
        <v>692555</v>
      </c>
      <c r="M48">
        <v>526162</v>
      </c>
      <c r="N48">
        <v>545835</v>
      </c>
      <c r="O48">
        <v>500814</v>
      </c>
      <c r="P48">
        <v>1.5050840000000001</v>
      </c>
      <c r="Q48">
        <v>1.0770900000000001</v>
      </c>
      <c r="R48">
        <v>1.067564</v>
      </c>
      <c r="S48">
        <v>0.96657599999999999</v>
      </c>
      <c r="T48">
        <f t="shared" si="16"/>
        <v>1.2910870000000001</v>
      </c>
      <c r="U48">
        <f t="shared" si="17"/>
        <v>1.0170699999999999</v>
      </c>
      <c r="V48">
        <f t="shared" si="18"/>
        <v>2.308157</v>
      </c>
    </row>
    <row r="49" spans="1:7" x14ac:dyDescent="0.2">
      <c r="A49" t="s">
        <v>159</v>
      </c>
      <c r="B49" s="9">
        <v>1775172</v>
      </c>
      <c r="C49" s="9">
        <v>21641074</v>
      </c>
      <c r="D49" s="9">
        <v>4976914</v>
      </c>
      <c r="E49" s="9">
        <f t="shared" si="11"/>
        <v>26617988</v>
      </c>
      <c r="F49" s="24">
        <f t="shared" si="12"/>
        <v>14.994596579937042</v>
      </c>
      <c r="G49">
        <f t="shared" si="13"/>
        <v>3182.9141659440511</v>
      </c>
    </row>
    <row r="50" spans="1:7" x14ac:dyDescent="0.2">
      <c r="A50" t="s">
        <v>160</v>
      </c>
      <c r="B50" s="9">
        <v>1800433</v>
      </c>
      <c r="C50" s="9">
        <v>19596737</v>
      </c>
      <c r="D50" s="9">
        <v>5138737</v>
      </c>
      <c r="E50" s="9">
        <f t="shared" si="11"/>
        <v>24735474</v>
      </c>
      <c r="F50" s="24">
        <f t="shared" si="12"/>
        <v>13.738625097407123</v>
      </c>
      <c r="G50">
        <f t="shared" si="13"/>
        <v>2915.6861909376858</v>
      </c>
    </row>
    <row r="51" spans="1:7" x14ac:dyDescent="0.2">
      <c r="A51" t="s">
        <v>161</v>
      </c>
      <c r="B51" s="9">
        <v>3430787</v>
      </c>
      <c r="C51" s="9">
        <v>10398528</v>
      </c>
      <c r="D51" s="9">
        <v>2072310</v>
      </c>
      <c r="E51" s="9">
        <f t="shared" si="11"/>
        <v>12470838</v>
      </c>
      <c r="F51" s="24">
        <f t="shared" si="12"/>
        <v>3.6349787964102696</v>
      </c>
      <c r="G51">
        <f t="shared" si="13"/>
        <v>765.97421200218503</v>
      </c>
    </row>
    <row r="52" spans="1:7" x14ac:dyDescent="0.2">
      <c r="A52" t="s">
        <v>162</v>
      </c>
      <c r="B52" s="9">
        <v>1585908</v>
      </c>
      <c r="C52" s="9">
        <v>41053937</v>
      </c>
      <c r="D52" s="9">
        <v>8547638</v>
      </c>
      <c r="E52" s="9">
        <f t="shared" si="11"/>
        <v>49601575</v>
      </c>
      <c r="F52" s="24">
        <f t="shared" si="12"/>
        <v>31.276451723555212</v>
      </c>
      <c r="G52">
        <f t="shared" si="13"/>
        <v>6647.1386645862149</v>
      </c>
    </row>
    <row r="53" spans="1:7" x14ac:dyDescent="0.2">
      <c r="A53" t="s">
        <v>163</v>
      </c>
      <c r="B53" s="9">
        <v>2316537</v>
      </c>
      <c r="C53" s="9">
        <v>46065505</v>
      </c>
      <c r="D53" s="9">
        <v>7618260</v>
      </c>
      <c r="E53" s="9">
        <f t="shared" si="11"/>
        <v>53683765</v>
      </c>
      <c r="F53" s="24">
        <f t="shared" si="12"/>
        <v>23.174145286693026</v>
      </c>
      <c r="G53">
        <f t="shared" si="13"/>
        <v>4923.2436780197922</v>
      </c>
    </row>
    <row r="54" spans="1:7" x14ac:dyDescent="0.2">
      <c r="A54" t="s">
        <v>164</v>
      </c>
      <c r="B54" s="9">
        <v>1166697</v>
      </c>
      <c r="C54" s="9">
        <v>511372</v>
      </c>
      <c r="D54" s="9">
        <v>94229</v>
      </c>
      <c r="E54" s="9">
        <f t="shared" si="11"/>
        <v>605601</v>
      </c>
      <c r="F54" s="24">
        <f t="shared" si="12"/>
        <v>0.51907307552860771</v>
      </c>
      <c r="G54">
        <f t="shared" si="13"/>
        <v>103.01554798481015</v>
      </c>
    </row>
    <row r="55" spans="1:7" x14ac:dyDescent="0.2">
      <c r="A55" t="s">
        <v>165</v>
      </c>
      <c r="B55" s="9">
        <v>3359085</v>
      </c>
      <c r="C55" s="9">
        <v>10875075</v>
      </c>
      <c r="D55" s="9">
        <v>2393963</v>
      </c>
      <c r="E55" s="9">
        <f t="shared" si="11"/>
        <v>13269038</v>
      </c>
      <c r="F55" s="24">
        <f t="shared" si="12"/>
        <v>3.9501941749017964</v>
      </c>
      <c r="G55">
        <f t="shared" si="13"/>
        <v>833.04131380889282</v>
      </c>
    </row>
    <row r="56" spans="1:7" x14ac:dyDescent="0.2">
      <c r="A56" t="s">
        <v>166</v>
      </c>
      <c r="B56" s="9">
        <v>3963684</v>
      </c>
      <c r="C56" s="9">
        <v>1015588</v>
      </c>
      <c r="D56" s="9">
        <v>227274</v>
      </c>
      <c r="E56" s="9">
        <f t="shared" si="11"/>
        <v>1242862</v>
      </c>
      <c r="F56" s="24">
        <f t="shared" si="12"/>
        <v>0.3135623324160049</v>
      </c>
      <c r="G56">
        <f t="shared" si="13"/>
        <v>59.289857960852103</v>
      </c>
    </row>
    <row r="57" spans="1:7" x14ac:dyDescent="0.2">
      <c r="A57" t="s">
        <v>167</v>
      </c>
      <c r="B57" s="9">
        <v>1167470</v>
      </c>
      <c r="C57" s="9">
        <v>812579</v>
      </c>
      <c r="D57" s="9">
        <v>232750</v>
      </c>
      <c r="E57" s="9">
        <f t="shared" si="11"/>
        <v>1045329</v>
      </c>
      <c r="F57" s="24">
        <f t="shared" si="12"/>
        <v>0.89537975279878712</v>
      </c>
      <c r="G57">
        <f t="shared" si="13"/>
        <v>183.08079846782704</v>
      </c>
    </row>
    <row r="58" spans="1:7" x14ac:dyDescent="0.2">
      <c r="A58" t="s">
        <v>168</v>
      </c>
      <c r="B58" s="9">
        <v>2257103</v>
      </c>
      <c r="C58" s="9">
        <v>15720488</v>
      </c>
      <c r="D58" s="9">
        <v>4059428</v>
      </c>
      <c r="E58" s="9">
        <f t="shared" si="11"/>
        <v>19779916</v>
      </c>
      <c r="F58" s="24">
        <f t="shared" si="12"/>
        <v>8.7634086703176592</v>
      </c>
      <c r="G58">
        <f t="shared" si="13"/>
        <v>1857.1295043229061</v>
      </c>
    </row>
    <row r="59" spans="1:7" x14ac:dyDescent="0.2">
      <c r="A59" t="s">
        <v>169</v>
      </c>
      <c r="B59" s="9">
        <v>2420193</v>
      </c>
      <c r="C59" s="9">
        <v>15816932</v>
      </c>
      <c r="D59" s="9">
        <v>3309143</v>
      </c>
      <c r="E59" s="9">
        <f t="shared" si="11"/>
        <v>19126075</v>
      </c>
      <c r="F59" s="24">
        <f t="shared" si="12"/>
        <v>7.9027065196866531</v>
      </c>
      <c r="G59">
        <f t="shared" si="13"/>
        <v>1674.0013871673727</v>
      </c>
    </row>
    <row r="60" spans="1:7" x14ac:dyDescent="0.2">
      <c r="A60" t="s">
        <v>170</v>
      </c>
      <c r="B60" s="9">
        <v>1548405</v>
      </c>
      <c r="C60" s="9">
        <v>35990588</v>
      </c>
      <c r="D60" s="9">
        <v>5601908</v>
      </c>
      <c r="E60" s="9">
        <f t="shared" si="11"/>
        <v>41592496</v>
      </c>
      <c r="F60" s="24">
        <f t="shared" si="12"/>
        <v>26.861509747126881</v>
      </c>
      <c r="G60">
        <f t="shared" si="13"/>
        <v>5707.7893078993357</v>
      </c>
    </row>
    <row r="61" spans="1:7" x14ac:dyDescent="0.2">
      <c r="A61" t="s">
        <v>171</v>
      </c>
      <c r="B61" s="9">
        <v>2612715</v>
      </c>
      <c r="C61" s="9">
        <v>1408454</v>
      </c>
      <c r="D61" s="9">
        <v>356273</v>
      </c>
      <c r="E61" s="9">
        <f t="shared" si="11"/>
        <v>1764727</v>
      </c>
      <c r="F61" s="24">
        <f t="shared" si="12"/>
        <v>0.67543800223139527</v>
      </c>
      <c r="G61">
        <f t="shared" si="13"/>
        <v>136.28468132582876</v>
      </c>
    </row>
    <row r="62" spans="1:7" x14ac:dyDescent="0.2">
      <c r="A62" t="s">
        <v>172</v>
      </c>
      <c r="B62" s="9">
        <v>3207984</v>
      </c>
      <c r="C62" s="9">
        <v>363053</v>
      </c>
      <c r="D62" s="9">
        <v>250186</v>
      </c>
      <c r="E62" s="9">
        <f t="shared" si="11"/>
        <v>613239</v>
      </c>
      <c r="F62" s="24">
        <f t="shared" si="12"/>
        <v>0.19116024269447729</v>
      </c>
      <c r="G62">
        <f t="shared" si="13"/>
        <v>33.246860147761126</v>
      </c>
    </row>
    <row r="63" spans="1:7" x14ac:dyDescent="0.2">
      <c r="A63" t="s">
        <v>173</v>
      </c>
      <c r="B63" s="9">
        <v>3121036</v>
      </c>
      <c r="C63" s="9">
        <v>339590</v>
      </c>
      <c r="D63" s="9">
        <v>222448</v>
      </c>
      <c r="E63" s="9">
        <f t="shared" si="11"/>
        <v>562038</v>
      </c>
      <c r="F63" s="24">
        <f t="shared" si="12"/>
        <v>0.1800805886250591</v>
      </c>
      <c r="G63">
        <f t="shared" si="13"/>
        <v>30.889486941501939</v>
      </c>
    </row>
    <row r="65" spans="1:7" x14ac:dyDescent="0.2">
      <c r="A65" t="s">
        <v>145</v>
      </c>
      <c r="B65">
        <v>4.7000000000000002E-3</v>
      </c>
      <c r="E65" s="9">
        <v>18323</v>
      </c>
      <c r="F65" s="24">
        <f>E65/B38</f>
        <v>4.9668869684207041E-3</v>
      </c>
      <c r="G65">
        <f t="shared" si="13"/>
        <v>-6.3687474535275097</v>
      </c>
    </row>
    <row r="66" spans="1:7" x14ac:dyDescent="0.2">
      <c r="A66" t="s">
        <v>143</v>
      </c>
      <c r="B66">
        <v>3.49E-2</v>
      </c>
      <c r="E66" s="9">
        <v>36272</v>
      </c>
      <c r="F66" s="24">
        <f t="shared" ref="F66:F90" si="19">E66/B39</f>
        <v>1.0509419420637543E-2</v>
      </c>
      <c r="G66">
        <f t="shared" si="13"/>
        <v>-5.1894852296515861</v>
      </c>
    </row>
    <row r="67" spans="1:7" x14ac:dyDescent="0.2">
      <c r="B67" s="13"/>
      <c r="E67" s="9">
        <v>8156</v>
      </c>
      <c r="F67" s="24">
        <f t="shared" si="19"/>
        <v>1.9136780112389868E-3</v>
      </c>
      <c r="G67">
        <f t="shared" si="13"/>
        <v>-7.0183663805874499</v>
      </c>
    </row>
    <row r="68" spans="1:7" x14ac:dyDescent="0.2">
      <c r="D68" s="13"/>
      <c r="E68" s="9">
        <v>33539</v>
      </c>
      <c r="F68" s="24">
        <f t="shared" si="19"/>
        <v>8.7464370375972406E-3</v>
      </c>
      <c r="G68">
        <f t="shared" si="13"/>
        <v>-5.5645878643410125</v>
      </c>
    </row>
    <row r="69" spans="1:7" x14ac:dyDescent="0.2">
      <c r="E69" s="9">
        <v>6255</v>
      </c>
      <c r="F69" s="24">
        <f t="shared" si="19"/>
        <v>2.3982038201028908E-3</v>
      </c>
      <c r="G69">
        <f t="shared" si="13"/>
        <v>-6.9152757829568321</v>
      </c>
    </row>
    <row r="70" spans="1:7" x14ac:dyDescent="0.2">
      <c r="B70" s="13"/>
      <c r="E70" s="9">
        <v>141152</v>
      </c>
      <c r="F70" s="24">
        <f t="shared" si="19"/>
        <v>6.5448593559096477E-2</v>
      </c>
      <c r="G70">
        <f t="shared" si="13"/>
        <v>6.4997007572545691</v>
      </c>
    </row>
    <row r="71" spans="1:7" x14ac:dyDescent="0.2">
      <c r="E71" s="9">
        <v>71770</v>
      </c>
      <c r="F71" s="24">
        <f t="shared" si="19"/>
        <v>2.8923584831903073E-2</v>
      </c>
      <c r="G71">
        <f t="shared" si="13"/>
        <v>-1.2715776953397717</v>
      </c>
    </row>
    <row r="72" spans="1:7" x14ac:dyDescent="0.2">
      <c r="E72" s="9">
        <v>7560</v>
      </c>
      <c r="F72" s="24">
        <f t="shared" si="19"/>
        <v>2.0902420533476223E-3</v>
      </c>
      <c r="G72">
        <f t="shared" si="13"/>
        <v>-6.980799563117527</v>
      </c>
    </row>
    <row r="73" spans="1:7" x14ac:dyDescent="0.2">
      <c r="E73" s="9">
        <v>5692</v>
      </c>
      <c r="F73" s="24">
        <f t="shared" si="19"/>
        <v>1.4329630337327857E-3</v>
      </c>
      <c r="G73">
        <f t="shared" si="13"/>
        <v>-7.1206461630355777</v>
      </c>
    </row>
    <row r="74" spans="1:7" x14ac:dyDescent="0.2">
      <c r="E74" s="9">
        <v>2787</v>
      </c>
      <c r="F74" s="24">
        <f t="shared" si="19"/>
        <v>7.1946290429129802E-4</v>
      </c>
      <c r="G74">
        <f t="shared" si="13"/>
        <v>-7.2724547012146168</v>
      </c>
    </row>
    <row r="75" spans="1:7" x14ac:dyDescent="0.2">
      <c r="E75" s="9">
        <v>1975719</v>
      </c>
      <c r="F75" s="24">
        <f t="shared" si="19"/>
        <v>0.58461146510385131</v>
      </c>
      <c r="G75">
        <f t="shared" si="13"/>
        <v>116.95988619230877</v>
      </c>
    </row>
    <row r="76" spans="1:7" x14ac:dyDescent="0.2">
      <c r="E76" s="9">
        <v>6498061</v>
      </c>
      <c r="F76" s="24">
        <f t="shared" si="19"/>
        <v>3.6605247266180405</v>
      </c>
      <c r="G76">
        <f t="shared" si="13"/>
        <v>771.40951630171071</v>
      </c>
    </row>
    <row r="77" spans="1:7" x14ac:dyDescent="0.2">
      <c r="E77" s="9">
        <v>5077744</v>
      </c>
      <c r="F77" s="24">
        <f t="shared" si="19"/>
        <v>2.8202904523522951</v>
      </c>
      <c r="G77">
        <f t="shared" si="13"/>
        <v>592.63626645793511</v>
      </c>
    </row>
    <row r="78" spans="1:7" x14ac:dyDescent="0.2">
      <c r="E78" s="9">
        <v>11675</v>
      </c>
      <c r="F78" s="24">
        <f t="shared" si="19"/>
        <v>3.4030092803779425E-3</v>
      </c>
      <c r="G78">
        <f t="shared" si="13"/>
        <v>-6.7014873871536293</v>
      </c>
    </row>
    <row r="79" spans="1:7" x14ac:dyDescent="0.2">
      <c r="E79" s="9">
        <v>3996781</v>
      </c>
      <c r="F79" s="24">
        <f t="shared" si="19"/>
        <v>2.5201846513164696</v>
      </c>
      <c r="G79">
        <f t="shared" si="13"/>
        <v>528.78396836520631</v>
      </c>
    </row>
    <row r="80" spans="1:7" x14ac:dyDescent="0.2">
      <c r="E80" s="9">
        <v>2093157</v>
      </c>
      <c r="F80" s="24">
        <f t="shared" si="19"/>
        <v>0.903571581200732</v>
      </c>
      <c r="G80">
        <f t="shared" si="13"/>
        <v>184.8237406810068</v>
      </c>
    </row>
    <row r="81" spans="5:7" x14ac:dyDescent="0.2">
      <c r="E81" s="9">
        <v>1.0000000000000001E-5</v>
      </c>
      <c r="F81" s="24">
        <f t="shared" si="19"/>
        <v>8.5712057200798503E-12</v>
      </c>
      <c r="G81">
        <f t="shared" si="13"/>
        <v>-7.425531913069956</v>
      </c>
    </row>
    <row r="82" spans="5:7" x14ac:dyDescent="0.2">
      <c r="E82" s="9">
        <v>45260</v>
      </c>
      <c r="F82" s="24">
        <f t="shared" si="19"/>
        <v>1.3473907328930348E-2</v>
      </c>
      <c r="G82">
        <f t="shared" si="13"/>
        <v>-4.5587431215041807</v>
      </c>
    </row>
    <row r="83" spans="5:7" x14ac:dyDescent="0.2">
      <c r="E83" s="9">
        <v>2044</v>
      </c>
      <c r="F83" s="24">
        <f t="shared" si="19"/>
        <v>5.1568187574993366E-4</v>
      </c>
      <c r="G83">
        <f t="shared" si="13"/>
        <v>-7.3158123668617154</v>
      </c>
    </row>
    <row r="84" spans="5:7" x14ac:dyDescent="0.2">
      <c r="E84" s="9">
        <v>1.0000000000000001E-5</v>
      </c>
      <c r="F84" s="24">
        <f t="shared" si="19"/>
        <v>8.5655305917925097E-12</v>
      </c>
      <c r="G84">
        <f t="shared" si="13"/>
        <v>-7.4255319130711639</v>
      </c>
    </row>
    <row r="85" spans="5:7" x14ac:dyDescent="0.2">
      <c r="E85" s="9">
        <v>188430</v>
      </c>
      <c r="F85" s="24">
        <f t="shared" si="19"/>
        <v>8.3483119733569977E-2</v>
      </c>
      <c r="G85">
        <f t="shared" si="13"/>
        <v>10.336833985865953</v>
      </c>
    </row>
    <row r="86" spans="5:7" x14ac:dyDescent="0.2">
      <c r="E86" s="9">
        <v>1.0000000000000001E-5</v>
      </c>
      <c r="F86" s="24">
        <f t="shared" si="19"/>
        <v>4.1319018772469801E-12</v>
      </c>
      <c r="G86">
        <f t="shared" si="13"/>
        <v>-7.4255319140144884</v>
      </c>
    </row>
    <row r="87" spans="5:7" x14ac:dyDescent="0.2">
      <c r="E87" s="9">
        <v>441385</v>
      </c>
      <c r="F87" s="24">
        <f t="shared" si="19"/>
        <v>0.28505784985194443</v>
      </c>
      <c r="G87">
        <f t="shared" si="13"/>
        <v>53.225074436583924</v>
      </c>
    </row>
    <row r="88" spans="5:7" x14ac:dyDescent="0.2">
      <c r="E88" s="9">
        <v>1.0000000000000001E-5</v>
      </c>
      <c r="F88" s="24">
        <f t="shared" si="19"/>
        <v>3.8274362109912492E-12</v>
      </c>
      <c r="G88">
        <f t="shared" si="13"/>
        <v>-7.4255319140792686</v>
      </c>
    </row>
    <row r="89" spans="5:7" x14ac:dyDescent="0.2">
      <c r="E89" s="9">
        <v>60515</v>
      </c>
      <c r="F89" s="24">
        <f t="shared" si="19"/>
        <v>1.8863872139013162E-2</v>
      </c>
      <c r="G89">
        <f t="shared" si="13"/>
        <v>-3.4119420980823056</v>
      </c>
    </row>
    <row r="90" spans="5:7" x14ac:dyDescent="0.2">
      <c r="E90" s="9">
        <v>223304</v>
      </c>
      <c r="F90" s="24">
        <f t="shared" si="19"/>
        <v>7.1548037254296329E-2</v>
      </c>
      <c r="G90">
        <f t="shared" si="13"/>
        <v>7.7974547349566654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8846-EA18-435F-844B-5F57C8EEB69A}">
  <dimension ref="A1:Q5"/>
  <sheetViews>
    <sheetView workbookViewId="0">
      <selection activeCell="P7" sqref="P7"/>
    </sheetView>
  </sheetViews>
  <sheetFormatPr baseColWidth="10" defaultColWidth="8.83203125" defaultRowHeight="15" x14ac:dyDescent="0.2"/>
  <sheetData>
    <row r="1" spans="1:17" ht="48" x14ac:dyDescent="0.2">
      <c r="B1" s="7" t="s">
        <v>5</v>
      </c>
      <c r="C1" s="7" t="s">
        <v>41</v>
      </c>
      <c r="D1" s="7" t="s">
        <v>117</v>
      </c>
      <c r="E1" s="7" t="s">
        <v>118</v>
      </c>
      <c r="F1" s="7" t="s">
        <v>122</v>
      </c>
      <c r="G1" s="7" t="s">
        <v>123</v>
      </c>
      <c r="H1" s="7" t="s">
        <v>124</v>
      </c>
      <c r="I1" t="s">
        <v>15</v>
      </c>
      <c r="J1" s="7" t="s">
        <v>129</v>
      </c>
      <c r="K1" s="7" t="s">
        <v>130</v>
      </c>
      <c r="L1" s="7" t="s">
        <v>20</v>
      </c>
      <c r="M1" s="7" t="s">
        <v>131</v>
      </c>
      <c r="N1" s="7" t="s">
        <v>22</v>
      </c>
      <c r="O1" s="7" t="s">
        <v>132</v>
      </c>
      <c r="P1" s="7" t="s">
        <v>134</v>
      </c>
      <c r="Q1" s="7" t="s">
        <v>135</v>
      </c>
    </row>
    <row r="2" spans="1:17" x14ac:dyDescent="0.2">
      <c r="A2" t="s">
        <v>178</v>
      </c>
      <c r="C2" t="s">
        <v>107</v>
      </c>
      <c r="D2">
        <v>6.3527899999999997</v>
      </c>
      <c r="E2">
        <v>3.4311199999999999</v>
      </c>
      <c r="F2">
        <v>22.991150000000001</v>
      </c>
      <c r="G2" t="s">
        <v>107</v>
      </c>
      <c r="H2">
        <v>9.0243000000000002</v>
      </c>
      <c r="I2">
        <v>24.694569999999999</v>
      </c>
      <c r="J2">
        <v>8.4544899999999998</v>
      </c>
      <c r="K2" t="s">
        <v>107</v>
      </c>
      <c r="L2">
        <v>284.90382</v>
      </c>
      <c r="M2">
        <v>93.073239999999998</v>
      </c>
      <c r="N2">
        <v>9.0309899999999992</v>
      </c>
      <c r="O2">
        <v>3.7182499999999998</v>
      </c>
      <c r="P2" t="s">
        <v>107</v>
      </c>
      <c r="Q2">
        <v>1.4653799999999999</v>
      </c>
    </row>
    <row r="3" spans="1:17" x14ac:dyDescent="0.2">
      <c r="A3" t="s">
        <v>179</v>
      </c>
      <c r="C3" t="s">
        <v>107</v>
      </c>
      <c r="D3">
        <v>4.0622199999999999</v>
      </c>
      <c r="E3" t="s">
        <v>107</v>
      </c>
      <c r="F3">
        <v>30.686800000000002</v>
      </c>
      <c r="G3" t="s">
        <v>107</v>
      </c>
      <c r="H3" t="s">
        <v>107</v>
      </c>
      <c r="I3">
        <v>25.923580000000001</v>
      </c>
      <c r="J3">
        <v>8.9114100000000001</v>
      </c>
      <c r="K3" t="s">
        <v>107</v>
      </c>
      <c r="L3">
        <v>130.89308</v>
      </c>
      <c r="M3">
        <v>85.360690000000005</v>
      </c>
      <c r="N3">
        <v>8.6694800000000001</v>
      </c>
      <c r="O3">
        <v>2.4781499999999999</v>
      </c>
      <c r="P3" t="s">
        <v>107</v>
      </c>
      <c r="Q3" t="s">
        <v>107</v>
      </c>
    </row>
    <row r="4" spans="1:17" x14ac:dyDescent="0.2">
      <c r="A4" t="s">
        <v>180</v>
      </c>
      <c r="C4">
        <v>23.996449999999999</v>
      </c>
      <c r="D4">
        <v>17.679269999999999</v>
      </c>
      <c r="E4">
        <v>28.875350000000001</v>
      </c>
      <c r="F4">
        <v>28.748889999999999</v>
      </c>
      <c r="G4" t="s">
        <v>107</v>
      </c>
      <c r="H4">
        <v>25.776700000000002</v>
      </c>
      <c r="I4">
        <v>24.134540000000001</v>
      </c>
      <c r="J4">
        <v>21.374230000000001</v>
      </c>
      <c r="K4">
        <v>26.610479999999999</v>
      </c>
      <c r="L4">
        <v>57.067450000000001</v>
      </c>
      <c r="M4">
        <v>60.00479</v>
      </c>
      <c r="N4">
        <v>22.971710000000002</v>
      </c>
      <c r="O4">
        <v>34.55518</v>
      </c>
      <c r="P4">
        <v>40.420670000000001</v>
      </c>
      <c r="Q4">
        <v>10.25559</v>
      </c>
    </row>
    <row r="5" spans="1:17" x14ac:dyDescent="0.2">
      <c r="L5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1080-9ED9-4114-B8DC-C45FF82D1828}">
  <dimension ref="A1:H4"/>
  <sheetViews>
    <sheetView workbookViewId="0">
      <selection activeCell="G9" sqref="G9"/>
    </sheetView>
  </sheetViews>
  <sheetFormatPr baseColWidth="10" defaultColWidth="8.83203125" defaultRowHeight="15" x14ac:dyDescent="0.2"/>
  <sheetData>
    <row r="1" spans="1:8" ht="48" x14ac:dyDescent="0.2">
      <c r="B1" s="7" t="s">
        <v>108</v>
      </c>
      <c r="C1" s="7" t="s">
        <v>114</v>
      </c>
      <c r="D1" s="7" t="s">
        <v>115</v>
      </c>
      <c r="E1" s="7" t="s">
        <v>116</v>
      </c>
      <c r="F1" s="7" t="s">
        <v>38</v>
      </c>
      <c r="G1" s="7" t="s">
        <v>4</v>
      </c>
      <c r="H1" s="7" t="s">
        <v>19</v>
      </c>
    </row>
    <row r="2" spans="1:8" x14ac:dyDescent="0.2">
      <c r="A2" t="s">
        <v>178</v>
      </c>
      <c r="B2">
        <v>0</v>
      </c>
      <c r="C2">
        <v>0</v>
      </c>
      <c r="D2" t="s">
        <v>107</v>
      </c>
      <c r="E2" t="s">
        <v>107</v>
      </c>
      <c r="F2">
        <v>0</v>
      </c>
      <c r="G2" t="s">
        <v>107</v>
      </c>
      <c r="H2">
        <v>0</v>
      </c>
    </row>
    <row r="3" spans="1:8" x14ac:dyDescent="0.2">
      <c r="A3" t="s">
        <v>179</v>
      </c>
      <c r="B3">
        <v>22.93244</v>
      </c>
      <c r="C3">
        <v>40.248660000000001</v>
      </c>
      <c r="D3">
        <v>3.5878999999999999</v>
      </c>
      <c r="E3" t="s">
        <v>107</v>
      </c>
      <c r="F3">
        <v>2.2707299999999999</v>
      </c>
      <c r="G3">
        <v>0</v>
      </c>
      <c r="H3">
        <v>5.13497</v>
      </c>
    </row>
    <row r="4" spans="1:8" x14ac:dyDescent="0.2">
      <c r="A4" t="s">
        <v>180</v>
      </c>
      <c r="B4">
        <v>8.7542299999999997</v>
      </c>
      <c r="C4">
        <v>28.68609</v>
      </c>
      <c r="D4">
        <v>41.090260000000001</v>
      </c>
      <c r="E4" t="s">
        <v>107</v>
      </c>
      <c r="F4">
        <v>24.750509999999998</v>
      </c>
      <c r="G4">
        <v>0</v>
      </c>
      <c r="H4">
        <v>28.80941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EB56-CEB4-4C68-AC8F-4C2BA33C8731}">
  <dimension ref="A1:L4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12" x14ac:dyDescent="0.2">
      <c r="B1" t="s">
        <v>142</v>
      </c>
      <c r="C1" t="s">
        <v>137</v>
      </c>
      <c r="D1" t="s">
        <v>138</v>
      </c>
      <c r="E1" t="s">
        <v>139</v>
      </c>
      <c r="F1" t="s">
        <v>9</v>
      </c>
      <c r="G1" t="s">
        <v>140</v>
      </c>
      <c r="H1" t="s">
        <v>13</v>
      </c>
      <c r="I1" t="s">
        <v>17</v>
      </c>
      <c r="J1" t="s">
        <v>18</v>
      </c>
      <c r="K1" t="s">
        <v>45</v>
      </c>
      <c r="L1" t="s">
        <v>46</v>
      </c>
    </row>
    <row r="2" spans="1:12" x14ac:dyDescent="0.2">
      <c r="A2" t="s">
        <v>178</v>
      </c>
      <c r="B2" t="s">
        <v>176</v>
      </c>
      <c r="C2">
        <v>20.577319093858723</v>
      </c>
      <c r="D2" t="s">
        <v>176</v>
      </c>
      <c r="E2" t="s">
        <v>176</v>
      </c>
      <c r="F2">
        <v>94.821550153257434</v>
      </c>
      <c r="G2" t="s">
        <v>177</v>
      </c>
      <c r="H2">
        <v>609.06852492521068</v>
      </c>
      <c r="I2" t="s">
        <v>177</v>
      </c>
      <c r="J2">
        <v>1.981979395886877</v>
      </c>
      <c r="K2" t="s">
        <v>176</v>
      </c>
      <c r="L2" t="s">
        <v>176</v>
      </c>
    </row>
    <row r="3" spans="1:12" x14ac:dyDescent="0.2">
      <c r="A3" t="s">
        <v>179</v>
      </c>
      <c r="B3" t="s">
        <v>176</v>
      </c>
      <c r="C3">
        <v>33.549135356589488</v>
      </c>
      <c r="D3">
        <v>1.1219399998670716</v>
      </c>
      <c r="E3" t="s">
        <v>176</v>
      </c>
      <c r="F3">
        <v>114.94083801745865</v>
      </c>
      <c r="G3" t="s">
        <v>177</v>
      </c>
      <c r="H3">
        <v>303.82648288554941</v>
      </c>
      <c r="I3" t="s">
        <v>177</v>
      </c>
      <c r="J3">
        <v>1.7403637393452474</v>
      </c>
      <c r="K3" t="s">
        <v>176</v>
      </c>
      <c r="L3" t="s">
        <v>176</v>
      </c>
    </row>
    <row r="4" spans="1:12" x14ac:dyDescent="0.2">
      <c r="A4" t="s">
        <v>180</v>
      </c>
      <c r="B4" t="s">
        <v>176</v>
      </c>
      <c r="C4">
        <v>29.409604543402711</v>
      </c>
      <c r="D4">
        <v>4.3335869334413673</v>
      </c>
      <c r="E4" t="s">
        <v>176</v>
      </c>
      <c r="F4">
        <v>36.151228237192946</v>
      </c>
      <c r="G4">
        <v>23.712322581994503</v>
      </c>
      <c r="H4">
        <v>22.892721221553678</v>
      </c>
      <c r="I4">
        <v>119.65245419271595</v>
      </c>
      <c r="J4">
        <v>31.805718798886499</v>
      </c>
      <c r="K4">
        <v>24.762525738959049</v>
      </c>
      <c r="L4">
        <v>36.989628891852782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3C14-4C90-40A1-9078-4C3EC8678B88}">
  <dimension ref="A1:AB15"/>
  <sheetViews>
    <sheetView topLeftCell="D1" workbookViewId="0">
      <selection activeCell="T2" sqref="T2"/>
    </sheetView>
  </sheetViews>
  <sheetFormatPr baseColWidth="10" defaultColWidth="8.83203125" defaultRowHeight="15" x14ac:dyDescent="0.2"/>
  <cols>
    <col min="2" max="2" width="20.5" bestFit="1" customWidth="1"/>
    <col min="3" max="3" width="11" bestFit="1" customWidth="1"/>
    <col min="6" max="6" width="10.6640625" customWidth="1"/>
    <col min="7" max="7" width="11.6640625" bestFit="1" customWidth="1"/>
    <col min="8" max="8" width="10.33203125" bestFit="1" customWidth="1"/>
    <col min="9" max="9" width="11.5" customWidth="1"/>
    <col min="10" max="10" width="10.6640625" customWidth="1"/>
    <col min="12" max="12" width="9.83203125" customWidth="1"/>
    <col min="16" max="16" width="18" customWidth="1"/>
    <col min="20" max="20" width="12.33203125" customWidth="1"/>
    <col min="21" max="21" width="13.5" customWidth="1"/>
    <col min="22" max="22" width="12.6640625" customWidth="1"/>
  </cols>
  <sheetData>
    <row r="1" spans="1:28" ht="64" x14ac:dyDescent="0.2">
      <c r="A1" s="7" t="s">
        <v>127</v>
      </c>
      <c r="B1" s="7">
        <f>((31.11276*0.6596246^2)+(17.61902*0.6596246)-0.1097424)</f>
        <v>25.049502016725402</v>
      </c>
      <c r="C1" s="7" t="s">
        <v>136</v>
      </c>
      <c r="D1" t="s">
        <v>142</v>
      </c>
      <c r="E1" t="s">
        <v>137</v>
      </c>
      <c r="F1" s="7" t="s">
        <v>138</v>
      </c>
      <c r="G1" s="7" t="s">
        <v>139</v>
      </c>
      <c r="H1" s="7" t="s">
        <v>9</v>
      </c>
      <c r="I1" s="7" t="s">
        <v>140</v>
      </c>
      <c r="J1" s="7" t="s">
        <v>13</v>
      </c>
      <c r="K1" s="7" t="s">
        <v>17</v>
      </c>
      <c r="L1" s="7" t="s">
        <v>18</v>
      </c>
      <c r="M1" s="7" t="s">
        <v>45</v>
      </c>
      <c r="N1" s="7" t="s">
        <v>46</v>
      </c>
      <c r="P1" s="7"/>
      <c r="Q1" s="7" t="s">
        <v>136</v>
      </c>
      <c r="R1" t="s">
        <v>142</v>
      </c>
      <c r="S1" t="s">
        <v>137</v>
      </c>
      <c r="T1" s="7" t="s">
        <v>138</v>
      </c>
      <c r="U1" s="7" t="s">
        <v>139</v>
      </c>
      <c r="V1" s="7" t="s">
        <v>9</v>
      </c>
      <c r="W1" s="7" t="s">
        <v>140</v>
      </c>
      <c r="X1" s="7" t="s">
        <v>13</v>
      </c>
      <c r="Y1" s="7" t="s">
        <v>17</v>
      </c>
      <c r="Z1" s="7" t="s">
        <v>18</v>
      </c>
      <c r="AA1" s="7" t="s">
        <v>45</v>
      </c>
      <c r="AB1" s="7" t="s">
        <v>46</v>
      </c>
    </row>
    <row r="2" spans="1:28" x14ac:dyDescent="0.2">
      <c r="B2" t="s">
        <v>178</v>
      </c>
      <c r="C2" s="9">
        <v>2048070</v>
      </c>
      <c r="D2" s="9" t="s">
        <v>107</v>
      </c>
      <c r="E2" s="9">
        <v>352612</v>
      </c>
      <c r="F2" s="9" t="s">
        <v>107</v>
      </c>
      <c r="G2" s="9" t="s">
        <v>107</v>
      </c>
      <c r="H2" s="9">
        <v>5175750</v>
      </c>
      <c r="I2" s="9">
        <v>18078398</v>
      </c>
      <c r="J2" s="9">
        <v>2797658</v>
      </c>
      <c r="K2" s="9">
        <v>1835217</v>
      </c>
      <c r="L2" s="9">
        <v>87287</v>
      </c>
      <c r="M2" t="s">
        <v>107</v>
      </c>
      <c r="N2" t="s">
        <v>107</v>
      </c>
      <c r="P2" t="s">
        <v>148</v>
      </c>
      <c r="Q2" s="7">
        <v>122.29</v>
      </c>
      <c r="R2" s="12" t="e">
        <f>(((D2/C2) - 0.0004926787)/0.01074682)*Q2</f>
        <v>#VALUE!</v>
      </c>
      <c r="S2" s="12">
        <f>(((E2/C2) + 0.01367912)/1.10448)*Q2</f>
        <v>20.577319093858723</v>
      </c>
      <c r="T2" s="11" t="e">
        <f>(-$F$6+(SQRT($F$7-(4*$F$8*($F$9-(F2/C2))))))/(2*$F$8)*$Q$2</f>
        <v>#VALUE!</v>
      </c>
      <c r="U2" s="11" t="e">
        <f>(-$G$6+(SQRT($G$7-(4*$G$8*($G$9-(G2/$C$2))))))/(2*$G$8)*$Q$2</f>
        <v>#VALUE!</v>
      </c>
      <c r="V2" s="11">
        <f>(-$H$6+(SQRT($H$7-(4*$H$8*($H$9-(H2/C2))))))/(2*$H$8)*$Q$2</f>
        <v>94.821550153257434</v>
      </c>
      <c r="W2" s="11" t="e">
        <f>(-$I$6+(SQRT($I$7-(4*$I$8*($I$9-(I2/C2))))))/(2*$I$8)*$Q$2</f>
        <v>#NUM!</v>
      </c>
      <c r="X2" s="11">
        <f>(-$J$6+(SQRT($J$7-(4*$J$8*($J$9-(J2/C2))))))/(2*$J$8)*$Q$2</f>
        <v>609.06852492521068</v>
      </c>
      <c r="Y2" s="11" t="e">
        <f>(-$K$6+(SQRT($K$7-(4*$K$8*($K$9-(K2/C2))))))/(2*$K$8)*$Q$2</f>
        <v>#NUM!</v>
      </c>
      <c r="Z2" s="11">
        <f>(-$L$6+(SQRT($L$7-(4*$L$8*($L$9-(L2/C2))))))/(2*$L$8)*$Q$2</f>
        <v>1.981979395886877</v>
      </c>
      <c r="AA2" t="e">
        <f>(-$M$6+(SQRT($M$7-(4*$M$8*($M$9-(M2/C2))))))/(2*$M$8)*$Q$2</f>
        <v>#VALUE!</v>
      </c>
      <c r="AB2" t="e">
        <f>(-$N$6+(SQRT($N$7-(4*$N$8*($N$9-(N2/C2))))))/(2*$N$8)*$Q$2</f>
        <v>#VALUE!</v>
      </c>
    </row>
    <row r="3" spans="1:28" x14ac:dyDescent="0.2">
      <c r="B3" t="s">
        <v>179</v>
      </c>
      <c r="C3" s="9">
        <v>1593047</v>
      </c>
      <c r="D3" s="9" t="s">
        <v>107</v>
      </c>
      <c r="E3" s="9">
        <v>460908</v>
      </c>
      <c r="F3" s="9">
        <v>86854</v>
      </c>
      <c r="G3" s="9" t="s">
        <v>107</v>
      </c>
      <c r="H3" s="9">
        <v>4720610</v>
      </c>
      <c r="I3" s="9">
        <v>9241287</v>
      </c>
      <c r="J3" s="9">
        <v>1193035</v>
      </c>
      <c r="K3" s="9">
        <v>1594897</v>
      </c>
      <c r="L3" s="9">
        <v>58446</v>
      </c>
      <c r="M3" s="9" t="s">
        <v>107</v>
      </c>
      <c r="N3" s="9" t="s">
        <v>107</v>
      </c>
      <c r="P3" t="s">
        <v>149</v>
      </c>
      <c r="Q3" s="7">
        <v>122.29</v>
      </c>
      <c r="R3" s="12" t="e">
        <f t="shared" ref="R3:R4" si="0">(((D3/C3) -  0.0004926787)/0.01074682)*Q3</f>
        <v>#VALUE!</v>
      </c>
      <c r="S3" s="12">
        <f>(((E3/C3) + 0.01367912)/1.10448)*Q3</f>
        <v>33.549135356589488</v>
      </c>
      <c r="T3" s="11">
        <f>(-$F$6+(SQRT($F$7-(4*$F$8*($F$9-(F3/C3))))))/(2*$F$8)*Q3</f>
        <v>1.1219399998670716</v>
      </c>
      <c r="U3" s="11" t="e">
        <f>(-$G$6+(SQRT($G$7-(4*$G$8*($G$9-(G3/C3))))))/(2*$G$8)*$Q$2</f>
        <v>#VALUE!</v>
      </c>
      <c r="V3" s="11">
        <f>(-$H$6+(SQRT($H$7-(4*$H$8*($H$9-(H3/C3))))))/(2*$H$8)*$Q$2</f>
        <v>114.94083801745865</v>
      </c>
      <c r="W3" s="11" t="e">
        <f>(-$I$6+(SQRT($I$7-(4*$I$8*($I$9-(I3/C3))))))/(2*$I$8)*$Q$2</f>
        <v>#NUM!</v>
      </c>
      <c r="X3" s="11">
        <f>(-$J$6+(SQRT($J$7-(4*$J$8*($J$9-(J3/C3))))))/(2*$J$8)*$Q$2</f>
        <v>303.82648288554941</v>
      </c>
      <c r="Y3" s="11" t="e">
        <f>(-$K$6+(SQRT($K$7-(4*$K$8*($K$9-(K3/C3))))))/(2*$K$8)*$Q$2</f>
        <v>#NUM!</v>
      </c>
      <c r="Z3" s="11">
        <f>(-$L$6+(SQRT($L$7-(4*$L$8*($L$9-(L3/C3))))))/(2*$L$8)*$Q$2</f>
        <v>1.7403637393452474</v>
      </c>
      <c r="AA3" t="e">
        <f>(-$M$6+(SQRT($M$7-(4*$M$8*($M$9-(M3/C3))))))/(2*$M$8)*$Q$2</f>
        <v>#VALUE!</v>
      </c>
      <c r="AB3" t="e">
        <f>(-$N$6+(SQRT($N$7-(4*$N$8*($N$9-(N3/C3))))))/(2*$N$8)*$Q$2</f>
        <v>#VALUE!</v>
      </c>
    </row>
    <row r="4" spans="1:28" x14ac:dyDescent="0.2">
      <c r="B4" t="s">
        <v>180</v>
      </c>
      <c r="C4" s="9">
        <v>2195798</v>
      </c>
      <c r="D4" s="9" t="s">
        <v>107</v>
      </c>
      <c r="E4" s="9">
        <v>553205</v>
      </c>
      <c r="F4" s="9">
        <v>1215798</v>
      </c>
      <c r="G4" s="9" t="s">
        <v>107</v>
      </c>
      <c r="H4" s="9">
        <v>2315407</v>
      </c>
      <c r="I4" s="9">
        <v>194942</v>
      </c>
      <c r="J4" s="9">
        <v>144851</v>
      </c>
      <c r="K4" s="9">
        <v>196845</v>
      </c>
      <c r="L4" s="9">
        <v>2475554</v>
      </c>
      <c r="M4" s="9">
        <v>14569</v>
      </c>
      <c r="N4" s="9">
        <v>246596</v>
      </c>
      <c r="P4" t="s">
        <v>150</v>
      </c>
      <c r="Q4" s="7">
        <v>122.29</v>
      </c>
      <c r="R4" s="12" t="e">
        <f t="shared" si="0"/>
        <v>#VALUE!</v>
      </c>
      <c r="S4" s="12">
        <f t="shared" ref="S4" si="1">(((E4/C4) + 0.01367912)/1.10448)*Q4</f>
        <v>29.409604543402711</v>
      </c>
      <c r="T4" s="11">
        <f>(-$F$6+(SQRT($F$7-(4*$F$8*($F$9-(F4/C4))))))/(2*$F$8)*Q4</f>
        <v>4.3335869334413673</v>
      </c>
      <c r="U4" s="11" t="e">
        <f>(-$G$6+(SQRT($G$7-(4*$G$8*($G$9-(G4/C4))))))/(2*$G$8)*$Q$2</f>
        <v>#VALUE!</v>
      </c>
      <c r="V4" s="11">
        <f>(-$H$6+(SQRT($H$7-(4*$H$8*($H$9-(H4/C4))))))/(2*$H$8)*$Q$2</f>
        <v>36.151228237192946</v>
      </c>
      <c r="W4" s="11">
        <f>(-$I$6+(SQRT($I$7-(4*$I$8*($I$9-(I4/C4))))))/(2*$I$8)*$Q$2</f>
        <v>23.712322581994503</v>
      </c>
      <c r="X4" s="11">
        <f>(-$J$6+(SQRT($J$7-(4*$J$8*($J$9-(J4/C4))))))/(2*$J$8)*$Q$2</f>
        <v>22.892721221553678</v>
      </c>
      <c r="Y4" s="11">
        <f>(-$K$6+(SQRT($K$7-(4*$K$8*($K$9-(K4/C4))))))/(2*$K$8)*$Q$2</f>
        <v>119.65245419271595</v>
      </c>
      <c r="Z4" s="11">
        <f>(-$L$6+(SQRT($L$7-(4*$L$8*($L$9-(L4/C4))))))/(2*$L$8)*$Q$2</f>
        <v>31.805718798886499</v>
      </c>
      <c r="AA4">
        <f>(-$M$6+(SQRT($M$7-(4*$M$8*($M$9-(M4/C4))))))/(2*$M$8)*$Q$2</f>
        <v>24.762525738959049</v>
      </c>
      <c r="AB4">
        <f>(-$N$6+(SQRT($N$7-(4*$N$8*($N$9-(N4/C4))))))/(2*$N$8)*$Q$2</f>
        <v>36.989628891852782</v>
      </c>
    </row>
    <row r="5" spans="1:28" ht="64" x14ac:dyDescent="0.2">
      <c r="D5" t="s">
        <v>147</v>
      </c>
      <c r="E5" s="7" t="s">
        <v>141</v>
      </c>
      <c r="W5" t="s">
        <v>175</v>
      </c>
      <c r="X5" t="s">
        <v>175</v>
      </c>
    </row>
    <row r="6" spans="1:28" x14ac:dyDescent="0.2">
      <c r="A6" t="s">
        <v>143</v>
      </c>
      <c r="E6" t="s">
        <v>143</v>
      </c>
      <c r="F6">
        <v>17.619019999999999</v>
      </c>
      <c r="G6">
        <v>1.626824</v>
      </c>
      <c r="H6">
        <v>3.7655599999999998</v>
      </c>
      <c r="I6">
        <v>0.42160340000000002</v>
      </c>
      <c r="J6">
        <v>0.3251772</v>
      </c>
      <c r="K6" s="13">
        <v>9.6407900000000005E-2</v>
      </c>
      <c r="L6">
        <v>2.8228119999999999</v>
      </c>
      <c r="M6" s="13">
        <v>1.6964509999999999E-2</v>
      </c>
      <c r="N6">
        <v>0.25378109999999998</v>
      </c>
      <c r="P6" t="s">
        <v>119</v>
      </c>
    </row>
    <row r="7" spans="1:28" x14ac:dyDescent="0.2">
      <c r="A7" t="s">
        <v>144</v>
      </c>
      <c r="E7" t="s">
        <v>144</v>
      </c>
      <c r="F7">
        <f t="shared" ref="F7:N7" si="2">F6^2</f>
        <v>310.42986576039999</v>
      </c>
      <c r="G7">
        <f t="shared" si="2"/>
        <v>2.646556326976</v>
      </c>
      <c r="H7">
        <f t="shared" si="2"/>
        <v>14.179442113599999</v>
      </c>
      <c r="I7">
        <f t="shared" si="2"/>
        <v>0.17774942689156001</v>
      </c>
      <c r="J7">
        <f t="shared" si="2"/>
        <v>0.10574021139984</v>
      </c>
      <c r="K7">
        <f t="shared" si="2"/>
        <v>9.2944831824100013E-3</v>
      </c>
      <c r="L7">
        <f t="shared" si="2"/>
        <v>7.9682675873439992</v>
      </c>
      <c r="M7">
        <f t="shared" si="2"/>
        <v>2.8779459954009993E-4</v>
      </c>
      <c r="N7">
        <f t="shared" si="2"/>
        <v>6.4404846717209988E-2</v>
      </c>
      <c r="P7" t="s">
        <v>120</v>
      </c>
      <c r="R7" t="s">
        <v>133</v>
      </c>
      <c r="S7" t="s">
        <v>133</v>
      </c>
      <c r="T7" t="s">
        <v>121</v>
      </c>
      <c r="U7" t="s">
        <v>121</v>
      </c>
      <c r="V7" t="s">
        <v>121</v>
      </c>
      <c r="W7" t="s">
        <v>121</v>
      </c>
      <c r="X7" t="s">
        <v>121</v>
      </c>
      <c r="Y7" t="s">
        <v>121</v>
      </c>
      <c r="Z7" t="s">
        <v>121</v>
      </c>
      <c r="AA7" t="s">
        <v>121</v>
      </c>
    </row>
    <row r="8" spans="1:28" x14ac:dyDescent="0.2">
      <c r="A8" t="s">
        <v>145</v>
      </c>
      <c r="E8" t="s">
        <v>145</v>
      </c>
      <c r="F8">
        <v>31.112760000000002</v>
      </c>
      <c r="G8">
        <v>2.655967</v>
      </c>
      <c r="H8">
        <v>-0.64985979999999999</v>
      </c>
      <c r="I8" s="13">
        <v>-2.244908E-2</v>
      </c>
      <c r="J8" s="13">
        <v>-1.0441829999999999E-2</v>
      </c>
      <c r="K8" s="13">
        <v>-5.6799340000000002E-3</v>
      </c>
      <c r="L8">
        <v>5.8824500000000004</v>
      </c>
      <c r="M8" s="13">
        <v>9.2532240000000002E-2</v>
      </c>
      <c r="N8">
        <v>0.40910760000000002</v>
      </c>
      <c r="P8" t="s">
        <v>48</v>
      </c>
      <c r="R8">
        <v>0.99799000000000004</v>
      </c>
      <c r="S8">
        <v>0.99906329999999999</v>
      </c>
      <c r="T8">
        <v>0.9987857</v>
      </c>
      <c r="U8">
        <v>0.99955110000000003</v>
      </c>
      <c r="V8">
        <v>0.99977559999999999</v>
      </c>
      <c r="W8">
        <v>0.99642790000000003</v>
      </c>
      <c r="X8">
        <v>0.99695659999999997</v>
      </c>
      <c r="Y8">
        <v>0.99874719999999995</v>
      </c>
      <c r="Z8">
        <v>0.99975139999999996</v>
      </c>
      <c r="AA8">
        <v>0.99998089999999995</v>
      </c>
      <c r="AB8">
        <v>0.9999614</v>
      </c>
    </row>
    <row r="9" spans="1:28" x14ac:dyDescent="0.2">
      <c r="A9" t="s">
        <v>146</v>
      </c>
      <c r="E9" t="s">
        <v>146</v>
      </c>
      <c r="F9">
        <v>-0.1097424</v>
      </c>
      <c r="G9" s="5">
        <f>-0.03171042</f>
        <v>-3.1710420000000003E-2</v>
      </c>
      <c r="H9" s="14">
        <v>-1.9071470000000001E-3</v>
      </c>
      <c r="I9" s="13">
        <v>7.8737080000000001E-3</v>
      </c>
      <c r="J9" s="13">
        <v>5.460024E-3</v>
      </c>
      <c r="K9" s="13">
        <v>7.5521300000000002E-4</v>
      </c>
      <c r="L9" s="13">
        <v>-4.6759150000000001E-3</v>
      </c>
      <c r="M9" s="13">
        <v>-5.9423410000000005E-4</v>
      </c>
      <c r="N9" s="13">
        <v>-1.8884030000000001E-3</v>
      </c>
      <c r="P9" t="s">
        <v>110</v>
      </c>
      <c r="R9">
        <v>9.0359300000000005</v>
      </c>
      <c r="S9">
        <v>18.892230000000001</v>
      </c>
      <c r="T9">
        <v>36.011679999999998</v>
      </c>
      <c r="U9">
        <v>72.722449999999995</v>
      </c>
      <c r="V9">
        <v>16.507529999999999</v>
      </c>
      <c r="W9">
        <v>23.153269999999999</v>
      </c>
      <c r="X9">
        <v>24.748699999999999</v>
      </c>
      <c r="Y9">
        <v>29.599640000000001</v>
      </c>
      <c r="Z9">
        <v>52.292749999999998</v>
      </c>
      <c r="AA9">
        <v>120.0836</v>
      </c>
      <c r="AB9">
        <v>123.7475</v>
      </c>
    </row>
    <row r="10" spans="1:28" x14ac:dyDescent="0.2">
      <c r="P10" t="s">
        <v>125</v>
      </c>
      <c r="R10">
        <v>10</v>
      </c>
      <c r="S10">
        <v>0.25</v>
      </c>
      <c r="T10">
        <v>0.25</v>
      </c>
      <c r="U10">
        <v>1</v>
      </c>
      <c r="V10">
        <v>0.25</v>
      </c>
      <c r="W10">
        <v>0.25</v>
      </c>
      <c r="X10">
        <v>0.25</v>
      </c>
      <c r="Y10">
        <v>0.25</v>
      </c>
      <c r="Z10">
        <v>0.25</v>
      </c>
      <c r="AA10">
        <v>2.5</v>
      </c>
      <c r="AB10">
        <v>0.25</v>
      </c>
    </row>
    <row r="11" spans="1:28" x14ac:dyDescent="0.2">
      <c r="P11" t="s">
        <v>126</v>
      </c>
      <c r="R11">
        <v>250</v>
      </c>
      <c r="S11">
        <v>500</v>
      </c>
      <c r="T11">
        <v>50</v>
      </c>
      <c r="U11">
        <v>100</v>
      </c>
      <c r="V11">
        <v>250</v>
      </c>
      <c r="W11">
        <v>500</v>
      </c>
      <c r="X11">
        <v>500</v>
      </c>
      <c r="Y11">
        <v>500</v>
      </c>
      <c r="Z11">
        <v>100</v>
      </c>
      <c r="AA11">
        <v>250</v>
      </c>
      <c r="AB11">
        <v>500</v>
      </c>
    </row>
    <row r="12" spans="1:28" x14ac:dyDescent="0.2">
      <c r="I12" s="13">
        <f>$I$7-I13</f>
        <v>-1.1361831052854321E-3</v>
      </c>
      <c r="K12" s="11"/>
    </row>
    <row r="13" spans="1:28" x14ac:dyDescent="0.2">
      <c r="G13" t="e">
        <f>(#REF!/#REF!)</f>
        <v>#REF!</v>
      </c>
      <c r="I13" s="13">
        <f>4*$I$8*($I$9-2)</f>
        <v>0.17888560999684544</v>
      </c>
    </row>
    <row r="14" spans="1:28" x14ac:dyDescent="0.2">
      <c r="K14" s="11"/>
      <c r="L14" s="8"/>
    </row>
    <row r="15" spans="1:28" x14ac:dyDescent="0.2">
      <c r="J15" s="11"/>
      <c r="L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77BA-229F-4F51-A6F7-4DB1B142D42D}">
  <dimension ref="A1:H41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28.83203125" bestFit="1" customWidth="1"/>
    <col min="2" max="2" width="9.83203125" bestFit="1" customWidth="1"/>
    <col min="3" max="3" width="13.6640625" bestFit="1" customWidth="1"/>
    <col min="8" max="8" width="11.5" bestFit="1" customWidth="1"/>
  </cols>
  <sheetData>
    <row r="1" spans="1:8" x14ac:dyDescent="0.2">
      <c r="A1" t="s">
        <v>25</v>
      </c>
      <c r="B1" t="s">
        <v>49</v>
      </c>
      <c r="C1" t="s">
        <v>51</v>
      </c>
      <c r="D1" t="s">
        <v>50</v>
      </c>
      <c r="E1" t="s">
        <v>55</v>
      </c>
      <c r="F1" t="s">
        <v>53</v>
      </c>
      <c r="G1" t="s">
        <v>54</v>
      </c>
      <c r="H1" t="s">
        <v>56</v>
      </c>
    </row>
    <row r="2" spans="1:8" x14ac:dyDescent="0.2">
      <c r="A2" t="s">
        <v>0</v>
      </c>
      <c r="B2">
        <v>3</v>
      </c>
      <c r="C2">
        <v>100</v>
      </c>
      <c r="D2">
        <v>9.59</v>
      </c>
      <c r="E2">
        <f>(B2*C2)/D2</f>
        <v>31.282586027111574</v>
      </c>
      <c r="F2">
        <v>0.85799999999999998</v>
      </c>
      <c r="G2">
        <v>0.98</v>
      </c>
      <c r="H2" s="6">
        <f>E2*F2*G2</f>
        <v>26.303649635036496</v>
      </c>
    </row>
    <row r="3" spans="1:8" x14ac:dyDescent="0.2">
      <c r="A3" t="s">
        <v>33</v>
      </c>
      <c r="B3">
        <v>3</v>
      </c>
      <c r="C3">
        <v>0.25</v>
      </c>
      <c r="D3">
        <v>3.8</v>
      </c>
      <c r="E3">
        <f t="shared" ref="E3:E41" si="0">(B3*C3)/D3</f>
        <v>0.19736842105263158</v>
      </c>
      <c r="H3" s="6"/>
    </row>
    <row r="4" spans="1:8" x14ac:dyDescent="0.2">
      <c r="A4" t="s">
        <v>1</v>
      </c>
      <c r="B4">
        <v>3</v>
      </c>
      <c r="C4">
        <v>0.25</v>
      </c>
      <c r="D4">
        <v>3.9</v>
      </c>
      <c r="E4">
        <f t="shared" si="0"/>
        <v>0.19230769230769232</v>
      </c>
      <c r="F4">
        <v>0.81499999999999995</v>
      </c>
      <c r="G4">
        <v>0.98</v>
      </c>
      <c r="H4" s="6">
        <f t="shared" ref="H4:H41" si="1">E4*F4*G4</f>
        <v>0.15359615384615385</v>
      </c>
    </row>
    <row r="5" spans="1:8" x14ac:dyDescent="0.2">
      <c r="A5" t="s">
        <v>2</v>
      </c>
      <c r="B5">
        <v>3</v>
      </c>
      <c r="C5">
        <v>0.25</v>
      </c>
      <c r="D5">
        <v>8.41</v>
      </c>
      <c r="E5">
        <f t="shared" si="0"/>
        <v>8.9179548156956001E-2</v>
      </c>
      <c r="F5">
        <v>0.83699999999999997</v>
      </c>
      <c r="G5">
        <v>0.85</v>
      </c>
      <c r="H5" s="6">
        <f t="shared" si="1"/>
        <v>6.344678953626634E-2</v>
      </c>
    </row>
    <row r="6" spans="1:8" x14ac:dyDescent="0.2">
      <c r="A6" t="s">
        <v>34</v>
      </c>
      <c r="B6">
        <v>3</v>
      </c>
      <c r="C6">
        <v>0.25</v>
      </c>
      <c r="D6">
        <v>493.31</v>
      </c>
      <c r="E6">
        <f t="shared" si="0"/>
        <v>1.5203421783462731E-3</v>
      </c>
      <c r="H6" s="6"/>
    </row>
    <row r="7" spans="1:8" x14ac:dyDescent="0.2">
      <c r="A7" t="s">
        <v>3</v>
      </c>
      <c r="B7">
        <v>3</v>
      </c>
      <c r="C7">
        <v>0.25</v>
      </c>
      <c r="D7">
        <v>21.16</v>
      </c>
      <c r="E7">
        <f t="shared" si="0"/>
        <v>3.544423440453686E-2</v>
      </c>
      <c r="F7">
        <v>0.82099999999999995</v>
      </c>
      <c r="G7">
        <v>0.95</v>
      </c>
      <c r="H7" s="6">
        <f t="shared" si="1"/>
        <v>2.764473062381852E-2</v>
      </c>
    </row>
    <row r="8" spans="1:8" x14ac:dyDescent="0.2">
      <c r="A8" t="s">
        <v>35</v>
      </c>
      <c r="B8">
        <v>3</v>
      </c>
      <c r="C8">
        <v>0.25</v>
      </c>
      <c r="D8">
        <v>51.04</v>
      </c>
      <c r="E8">
        <f t="shared" si="0"/>
        <v>1.469435736677116E-2</v>
      </c>
      <c r="F8">
        <v>0.88400000000000001</v>
      </c>
      <c r="G8">
        <v>0.99</v>
      </c>
      <c r="H8" s="6">
        <f t="shared" si="1"/>
        <v>1.2859913793103448E-2</v>
      </c>
    </row>
    <row r="9" spans="1:8" x14ac:dyDescent="0.2">
      <c r="A9" t="s">
        <v>36</v>
      </c>
      <c r="B9">
        <v>3</v>
      </c>
      <c r="C9">
        <v>10</v>
      </c>
      <c r="D9">
        <v>1.9</v>
      </c>
      <c r="E9">
        <f t="shared" si="0"/>
        <v>15.789473684210527</v>
      </c>
      <c r="F9">
        <v>0.84199999999999997</v>
      </c>
      <c r="G9">
        <v>0.9</v>
      </c>
      <c r="H9" s="6">
        <f t="shared" si="1"/>
        <v>11.965263157894737</v>
      </c>
    </row>
    <row r="10" spans="1:8" x14ac:dyDescent="0.2">
      <c r="A10" t="s">
        <v>37</v>
      </c>
      <c r="B10">
        <v>3</v>
      </c>
      <c r="C10">
        <v>0.25</v>
      </c>
      <c r="D10">
        <v>1460.37</v>
      </c>
      <c r="E10">
        <f t="shared" si="0"/>
        <v>5.1356847922101937E-4</v>
      </c>
      <c r="H10" s="6"/>
    </row>
    <row r="11" spans="1:8" x14ac:dyDescent="0.2">
      <c r="A11" t="s">
        <v>38</v>
      </c>
      <c r="B11">
        <v>3</v>
      </c>
      <c r="C11">
        <v>0.25</v>
      </c>
      <c r="D11">
        <v>3.26</v>
      </c>
      <c r="E11">
        <f t="shared" si="0"/>
        <v>0.23006134969325154</v>
      </c>
      <c r="F11">
        <v>0.92100000000000004</v>
      </c>
      <c r="G11">
        <v>0.99</v>
      </c>
      <c r="H11" s="6">
        <f t="shared" si="1"/>
        <v>0.20976763803680984</v>
      </c>
    </row>
    <row r="12" spans="1:8" x14ac:dyDescent="0.2">
      <c r="A12" t="s">
        <v>4</v>
      </c>
      <c r="B12">
        <v>3</v>
      </c>
      <c r="C12">
        <v>0.25</v>
      </c>
      <c r="D12">
        <v>17</v>
      </c>
      <c r="E12">
        <f t="shared" si="0"/>
        <v>4.4117647058823532E-2</v>
      </c>
      <c r="F12">
        <v>0.81799999999999995</v>
      </c>
      <c r="G12">
        <v>0.9</v>
      </c>
      <c r="H12" s="6">
        <f t="shared" si="1"/>
        <v>3.2479411764705889E-2</v>
      </c>
    </row>
    <row r="13" spans="1:8" x14ac:dyDescent="0.2">
      <c r="A13" t="s">
        <v>5</v>
      </c>
      <c r="B13">
        <v>3</v>
      </c>
      <c r="C13">
        <v>1</v>
      </c>
      <c r="D13">
        <v>3.78</v>
      </c>
      <c r="E13">
        <f t="shared" si="0"/>
        <v>0.79365079365079372</v>
      </c>
      <c r="F13">
        <v>0.81799999999999995</v>
      </c>
      <c r="G13">
        <v>0.9</v>
      </c>
      <c r="H13" s="6">
        <f t="shared" si="1"/>
        <v>0.5842857142857143</v>
      </c>
    </row>
    <row r="14" spans="1:8" x14ac:dyDescent="0.2">
      <c r="A14" t="s">
        <v>6</v>
      </c>
      <c r="B14">
        <v>3</v>
      </c>
      <c r="C14">
        <v>0.25</v>
      </c>
      <c r="D14">
        <v>4.3</v>
      </c>
      <c r="E14">
        <f t="shared" si="0"/>
        <v>0.1744186046511628</v>
      </c>
      <c r="F14">
        <v>0.86</v>
      </c>
      <c r="G14">
        <v>0.995</v>
      </c>
      <c r="H14" s="6">
        <f t="shared" si="1"/>
        <v>0.14924999999999999</v>
      </c>
    </row>
    <row r="15" spans="1:8" x14ac:dyDescent="0.2">
      <c r="A15" t="s">
        <v>39</v>
      </c>
      <c r="B15">
        <v>3</v>
      </c>
      <c r="C15">
        <v>0.25</v>
      </c>
      <c r="D15">
        <v>6.55</v>
      </c>
      <c r="E15">
        <f t="shared" si="0"/>
        <v>0.11450381679389313</v>
      </c>
      <c r="H15" s="6"/>
    </row>
    <row r="16" spans="1:8" x14ac:dyDescent="0.2">
      <c r="A16" t="s">
        <v>7</v>
      </c>
      <c r="B16">
        <v>3</v>
      </c>
      <c r="C16">
        <v>2.5</v>
      </c>
      <c r="D16">
        <v>2.3199999999999998</v>
      </c>
      <c r="E16">
        <f t="shared" si="0"/>
        <v>3.2327586206896552</v>
      </c>
      <c r="F16">
        <v>0.86099999999999999</v>
      </c>
      <c r="G16">
        <v>0.94</v>
      </c>
      <c r="H16" s="6">
        <f t="shared" si="1"/>
        <v>2.6164008620689656</v>
      </c>
    </row>
    <row r="17" spans="1:8" x14ac:dyDescent="0.2">
      <c r="A17" t="s">
        <v>40</v>
      </c>
      <c r="B17">
        <v>3</v>
      </c>
      <c r="C17">
        <v>0.25</v>
      </c>
      <c r="D17">
        <v>3.61</v>
      </c>
      <c r="E17">
        <f t="shared" si="0"/>
        <v>0.20775623268698062</v>
      </c>
      <c r="H17" s="6"/>
    </row>
    <row r="18" spans="1:8" x14ac:dyDescent="0.2">
      <c r="A18" t="s">
        <v>41</v>
      </c>
      <c r="B18">
        <v>3</v>
      </c>
      <c r="C18">
        <v>2.5</v>
      </c>
      <c r="D18">
        <v>8.49</v>
      </c>
      <c r="E18">
        <f t="shared" si="0"/>
        <v>0.88339222614840984</v>
      </c>
      <c r="F18">
        <v>0.81899999999999995</v>
      </c>
      <c r="G18">
        <v>0.98</v>
      </c>
      <c r="H18" s="6">
        <f t="shared" si="1"/>
        <v>0.70902826855123668</v>
      </c>
    </row>
    <row r="19" spans="1:8" x14ac:dyDescent="0.2">
      <c r="A19" t="s">
        <v>8</v>
      </c>
      <c r="B19">
        <v>3</v>
      </c>
      <c r="C19">
        <v>0.25</v>
      </c>
      <c r="D19">
        <v>3.94</v>
      </c>
      <c r="E19">
        <f t="shared" si="0"/>
        <v>0.19035532994923859</v>
      </c>
      <c r="F19">
        <v>0.82</v>
      </c>
      <c r="G19">
        <v>0.98</v>
      </c>
      <c r="H19" s="6">
        <f t="shared" si="1"/>
        <v>0.15296954314720812</v>
      </c>
    </row>
    <row r="20" spans="1:8" x14ac:dyDescent="0.2">
      <c r="A20" t="s">
        <v>9</v>
      </c>
      <c r="B20">
        <v>3</v>
      </c>
      <c r="C20">
        <v>10</v>
      </c>
      <c r="D20">
        <v>135.55000000000001</v>
      </c>
      <c r="E20">
        <f t="shared" si="0"/>
        <v>0.22132054592401326</v>
      </c>
      <c r="F20">
        <v>0.85799999999999998</v>
      </c>
      <c r="G20">
        <v>0.99</v>
      </c>
      <c r="H20" s="6">
        <f>E20*F20*G20</f>
        <v>0.18799409811877532</v>
      </c>
    </row>
    <row r="21" spans="1:8" x14ac:dyDescent="0.2">
      <c r="A21" t="s">
        <v>42</v>
      </c>
      <c r="B21">
        <v>3</v>
      </c>
      <c r="C21">
        <v>0.25</v>
      </c>
      <c r="D21">
        <v>3.28</v>
      </c>
      <c r="E21">
        <f t="shared" si="0"/>
        <v>0.22865853658536586</v>
      </c>
      <c r="H21" s="6"/>
    </row>
    <row r="22" spans="1:8" x14ac:dyDescent="0.2">
      <c r="A22" t="s">
        <v>10</v>
      </c>
      <c r="B22">
        <v>3</v>
      </c>
      <c r="C22">
        <v>0.25</v>
      </c>
      <c r="D22">
        <v>4.8</v>
      </c>
      <c r="E22">
        <f t="shared" si="0"/>
        <v>0.15625</v>
      </c>
      <c r="F22">
        <v>0.877</v>
      </c>
      <c r="G22">
        <v>0.99</v>
      </c>
      <c r="H22" s="6">
        <f t="shared" si="1"/>
        <v>0.1356609375</v>
      </c>
    </row>
    <row r="23" spans="1:8" x14ac:dyDescent="0.2">
      <c r="A23" t="s">
        <v>11</v>
      </c>
      <c r="B23">
        <v>3</v>
      </c>
      <c r="C23">
        <v>0.25</v>
      </c>
      <c r="D23">
        <v>24.34</v>
      </c>
      <c r="E23">
        <f t="shared" si="0"/>
        <v>3.0813475760065736E-2</v>
      </c>
      <c r="F23">
        <v>0.82599999999999996</v>
      </c>
      <c r="G23">
        <v>0.95</v>
      </c>
      <c r="H23" s="6">
        <f t="shared" si="1"/>
        <v>2.4179334428923581E-2</v>
      </c>
    </row>
    <row r="24" spans="1:8" x14ac:dyDescent="0.2">
      <c r="A24" t="s">
        <v>12</v>
      </c>
      <c r="B24">
        <v>3</v>
      </c>
      <c r="C24">
        <v>0.25</v>
      </c>
      <c r="D24">
        <v>5.29</v>
      </c>
      <c r="E24">
        <f t="shared" si="0"/>
        <v>0.14177693761814744</v>
      </c>
      <c r="F24">
        <v>0.94499999999999995</v>
      </c>
      <c r="G24">
        <v>0.97</v>
      </c>
      <c r="H24" s="6">
        <f t="shared" si="1"/>
        <v>0.12995982986767482</v>
      </c>
    </row>
    <row r="25" spans="1:8" x14ac:dyDescent="0.2">
      <c r="A25" t="s">
        <v>43</v>
      </c>
      <c r="B25">
        <v>3</v>
      </c>
      <c r="C25">
        <v>50</v>
      </c>
      <c r="D25">
        <v>3.71</v>
      </c>
      <c r="E25">
        <f t="shared" si="0"/>
        <v>40.431266846361183</v>
      </c>
      <c r="F25">
        <v>1.0429999999999999</v>
      </c>
      <c r="G25">
        <v>0.98</v>
      </c>
      <c r="H25" s="6">
        <f t="shared" si="1"/>
        <v>41.326415094339616</v>
      </c>
    </row>
    <row r="26" spans="1:8" x14ac:dyDescent="0.2">
      <c r="A26" t="s">
        <v>13</v>
      </c>
      <c r="B26">
        <v>3</v>
      </c>
      <c r="C26">
        <v>0.25</v>
      </c>
      <c r="D26">
        <v>51.96</v>
      </c>
      <c r="E26">
        <f t="shared" si="0"/>
        <v>1.4434180138568129E-2</v>
      </c>
      <c r="F26">
        <v>0.94499999999999995</v>
      </c>
      <c r="G26">
        <v>0.97</v>
      </c>
      <c r="H26" s="6">
        <f t="shared" si="1"/>
        <v>1.3231091224018474E-2</v>
      </c>
    </row>
    <row r="27" spans="1:8" x14ac:dyDescent="0.2">
      <c r="A27" t="s">
        <v>14</v>
      </c>
      <c r="B27">
        <v>3</v>
      </c>
      <c r="C27">
        <v>0.25</v>
      </c>
      <c r="D27">
        <v>6.06</v>
      </c>
      <c r="E27">
        <f t="shared" si="0"/>
        <v>0.12376237623762378</v>
      </c>
      <c r="F27">
        <v>0.83</v>
      </c>
      <c r="G27">
        <v>0.95</v>
      </c>
      <c r="H27" s="6">
        <f t="shared" si="1"/>
        <v>9.758663366336634E-2</v>
      </c>
    </row>
    <row r="28" spans="1:8" x14ac:dyDescent="0.2">
      <c r="A28" t="s">
        <v>15</v>
      </c>
      <c r="B28">
        <v>3</v>
      </c>
      <c r="C28">
        <v>0.25</v>
      </c>
      <c r="D28">
        <v>17.28</v>
      </c>
      <c r="E28">
        <f t="shared" si="0"/>
        <v>4.3402777777777776E-2</v>
      </c>
      <c r="F28">
        <v>1.044</v>
      </c>
      <c r="G28">
        <v>0.99</v>
      </c>
      <c r="H28" s="6">
        <f t="shared" si="1"/>
        <v>4.4859375E-2</v>
      </c>
    </row>
    <row r="29" spans="1:8" x14ac:dyDescent="0.2">
      <c r="A29" t="s">
        <v>16</v>
      </c>
      <c r="B29">
        <v>3</v>
      </c>
      <c r="C29">
        <v>10</v>
      </c>
      <c r="D29">
        <v>7.01</v>
      </c>
      <c r="E29">
        <f t="shared" si="0"/>
        <v>4.2796005706134093</v>
      </c>
      <c r="F29">
        <v>0.84599999999999997</v>
      </c>
      <c r="G29">
        <v>0.97</v>
      </c>
      <c r="H29" s="6">
        <f t="shared" si="1"/>
        <v>3.5119258202567756</v>
      </c>
    </row>
    <row r="30" spans="1:8" x14ac:dyDescent="0.2">
      <c r="A30" t="s">
        <v>17</v>
      </c>
      <c r="B30">
        <v>3</v>
      </c>
      <c r="C30">
        <v>0.25</v>
      </c>
      <c r="D30">
        <v>5.12</v>
      </c>
      <c r="E30">
        <f t="shared" si="0"/>
        <v>0.146484375</v>
      </c>
      <c r="F30">
        <v>0.86099999999999999</v>
      </c>
      <c r="G30">
        <v>0.97</v>
      </c>
      <c r="H30" s="6">
        <f t="shared" si="1"/>
        <v>0.12233935546875001</v>
      </c>
    </row>
    <row r="31" spans="1:8" x14ac:dyDescent="0.2">
      <c r="A31" t="s">
        <v>18</v>
      </c>
      <c r="B31">
        <v>3</v>
      </c>
      <c r="C31">
        <v>0.25</v>
      </c>
      <c r="D31">
        <v>7.88</v>
      </c>
      <c r="E31">
        <f t="shared" si="0"/>
        <v>9.5177664974619297E-2</v>
      </c>
      <c r="F31">
        <v>0.94299999999999995</v>
      </c>
      <c r="G31">
        <v>0.9</v>
      </c>
      <c r="H31" s="6">
        <f t="shared" si="1"/>
        <v>8.0777284263959401E-2</v>
      </c>
    </row>
    <row r="32" spans="1:8" x14ac:dyDescent="0.2">
      <c r="A32" t="s">
        <v>44</v>
      </c>
      <c r="B32">
        <v>3</v>
      </c>
      <c r="C32">
        <v>0.25</v>
      </c>
      <c r="D32">
        <v>3.43</v>
      </c>
      <c r="E32">
        <f t="shared" si="0"/>
        <v>0.21865889212827988</v>
      </c>
      <c r="F32">
        <v>1.0349999999999999</v>
      </c>
      <c r="G32">
        <v>0.95</v>
      </c>
      <c r="H32" s="6">
        <f t="shared" si="1"/>
        <v>0.21499635568513117</v>
      </c>
    </row>
    <row r="33" spans="1:8" x14ac:dyDescent="0.2">
      <c r="A33" t="s">
        <v>19</v>
      </c>
      <c r="B33">
        <v>3</v>
      </c>
      <c r="C33">
        <v>0.25</v>
      </c>
      <c r="D33">
        <v>128.86000000000001</v>
      </c>
      <c r="E33">
        <f t="shared" si="0"/>
        <v>5.8202700605308076E-3</v>
      </c>
      <c r="G33">
        <v>0.99</v>
      </c>
      <c r="H33" s="6"/>
    </row>
    <row r="34" spans="1:8" x14ac:dyDescent="0.2">
      <c r="A34" t="s">
        <v>45</v>
      </c>
      <c r="B34">
        <v>3</v>
      </c>
      <c r="C34">
        <v>25</v>
      </c>
      <c r="D34">
        <v>4.92</v>
      </c>
      <c r="E34">
        <f t="shared" si="0"/>
        <v>15.24390243902439</v>
      </c>
      <c r="F34">
        <v>0.86899999999999999</v>
      </c>
      <c r="G34">
        <v>0.995</v>
      </c>
      <c r="H34" s="6">
        <f t="shared" si="1"/>
        <v>13.180716463414633</v>
      </c>
    </row>
    <row r="35" spans="1:8" x14ac:dyDescent="0.2">
      <c r="A35" t="s">
        <v>46</v>
      </c>
      <c r="B35">
        <v>3</v>
      </c>
      <c r="C35">
        <v>0.25</v>
      </c>
      <c r="D35">
        <v>1.86</v>
      </c>
      <c r="E35">
        <f t="shared" si="0"/>
        <v>0.40322580645161288</v>
      </c>
      <c r="F35">
        <v>0.86899999999999999</v>
      </c>
      <c r="G35">
        <v>0.97</v>
      </c>
      <c r="H35" s="6">
        <f t="shared" si="1"/>
        <v>0.33989112903225804</v>
      </c>
    </row>
    <row r="36" spans="1:8" x14ac:dyDescent="0.2">
      <c r="A36" t="s">
        <v>20</v>
      </c>
      <c r="B36">
        <v>3</v>
      </c>
      <c r="C36">
        <v>25</v>
      </c>
      <c r="D36">
        <v>7.19</v>
      </c>
      <c r="E36">
        <f t="shared" si="0"/>
        <v>10.431154381084839</v>
      </c>
      <c r="F36">
        <v>0.879</v>
      </c>
      <c r="G36">
        <v>0.98</v>
      </c>
      <c r="H36" s="6">
        <f t="shared" si="1"/>
        <v>8.9856050069541027</v>
      </c>
    </row>
    <row r="37" spans="1:8" x14ac:dyDescent="0.2">
      <c r="A37" t="s">
        <v>21</v>
      </c>
      <c r="B37">
        <v>3</v>
      </c>
      <c r="C37">
        <v>0.25</v>
      </c>
      <c r="D37">
        <v>4.46</v>
      </c>
      <c r="E37">
        <f t="shared" si="0"/>
        <v>0.16816143497757849</v>
      </c>
      <c r="F37">
        <v>0.86899999999999999</v>
      </c>
      <c r="G37">
        <v>0.97</v>
      </c>
      <c r="H37" s="6">
        <f t="shared" si="1"/>
        <v>0.14174831838565022</v>
      </c>
    </row>
    <row r="38" spans="1:8" x14ac:dyDescent="0.2">
      <c r="A38" t="s">
        <v>22</v>
      </c>
      <c r="B38">
        <v>3</v>
      </c>
      <c r="C38">
        <v>0.25</v>
      </c>
      <c r="D38">
        <v>5.22</v>
      </c>
      <c r="E38">
        <f t="shared" si="0"/>
        <v>0.14367816091954025</v>
      </c>
      <c r="F38">
        <v>0.97499999999999998</v>
      </c>
      <c r="G38">
        <v>0.97</v>
      </c>
      <c r="H38" s="6">
        <f t="shared" si="1"/>
        <v>0.13588362068965518</v>
      </c>
    </row>
    <row r="39" spans="1:8" x14ac:dyDescent="0.2">
      <c r="A39" t="s">
        <v>23</v>
      </c>
      <c r="B39">
        <v>3</v>
      </c>
      <c r="C39">
        <v>0.25</v>
      </c>
      <c r="D39">
        <v>299.83</v>
      </c>
      <c r="E39">
        <f t="shared" si="0"/>
        <v>2.5014174698996098E-3</v>
      </c>
      <c r="F39">
        <v>0.94499999999999995</v>
      </c>
      <c r="G39">
        <v>0.95</v>
      </c>
      <c r="H39" s="6">
        <f t="shared" si="1"/>
        <v>2.2456475336023749E-3</v>
      </c>
    </row>
    <row r="40" spans="1:8" x14ac:dyDescent="0.2">
      <c r="A40" t="s">
        <v>47</v>
      </c>
      <c r="B40">
        <v>3</v>
      </c>
      <c r="C40">
        <v>100</v>
      </c>
      <c r="D40">
        <v>12.08</v>
      </c>
      <c r="E40">
        <f t="shared" si="0"/>
        <v>24.834437086092716</v>
      </c>
      <c r="F40">
        <v>0.91</v>
      </c>
      <c r="G40">
        <v>0.99</v>
      </c>
      <c r="H40" s="6">
        <f t="shared" si="1"/>
        <v>22.373344370860927</v>
      </c>
    </row>
    <row r="41" spans="1:8" x14ac:dyDescent="0.2">
      <c r="A41" t="s">
        <v>24</v>
      </c>
      <c r="B41">
        <v>3</v>
      </c>
      <c r="C41">
        <v>0.25</v>
      </c>
      <c r="D41">
        <v>6.4</v>
      </c>
      <c r="E41">
        <f t="shared" si="0"/>
        <v>0.1171875</v>
      </c>
      <c r="F41">
        <v>1.125</v>
      </c>
      <c r="G41">
        <v>0.98</v>
      </c>
      <c r="H41" s="6">
        <f t="shared" si="1"/>
        <v>0.12919921875000001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1095-811B-42E7-8712-A2D7F82080CD}">
  <dimension ref="A1:H41"/>
  <sheetViews>
    <sheetView topLeftCell="A13" workbookViewId="0">
      <selection activeCell="E36" sqref="E36"/>
    </sheetView>
  </sheetViews>
  <sheetFormatPr baseColWidth="10" defaultColWidth="8.83203125" defaultRowHeight="15" x14ac:dyDescent="0.2"/>
  <cols>
    <col min="1" max="1" width="28.83203125" bestFit="1" customWidth="1"/>
    <col min="2" max="2" width="9.83203125" bestFit="1" customWidth="1"/>
    <col min="3" max="3" width="13.6640625" bestFit="1" customWidth="1"/>
  </cols>
  <sheetData>
    <row r="1" spans="1:8" x14ac:dyDescent="0.2">
      <c r="A1" t="s">
        <v>25</v>
      </c>
      <c r="B1" t="s">
        <v>49</v>
      </c>
      <c r="C1" t="s">
        <v>51</v>
      </c>
      <c r="D1" t="s">
        <v>50</v>
      </c>
      <c r="E1" t="s">
        <v>52</v>
      </c>
      <c r="F1" t="s">
        <v>53</v>
      </c>
      <c r="G1" t="s">
        <v>54</v>
      </c>
      <c r="H1" t="s">
        <v>56</v>
      </c>
    </row>
    <row r="2" spans="1:8" x14ac:dyDescent="0.2">
      <c r="A2" t="s">
        <v>0</v>
      </c>
      <c r="B2">
        <v>10</v>
      </c>
      <c r="C2">
        <v>100</v>
      </c>
      <c r="D2">
        <v>9.59</v>
      </c>
      <c r="E2">
        <f>(B2*C2)/D2</f>
        <v>104.27528675703859</v>
      </c>
      <c r="F2">
        <v>0.85799999999999998</v>
      </c>
      <c r="G2">
        <v>0.98</v>
      </c>
      <c r="H2" s="6">
        <f>E2*F2*G2</f>
        <v>87.678832116788314</v>
      </c>
    </row>
    <row r="3" spans="1:8" x14ac:dyDescent="0.2">
      <c r="A3" t="s">
        <v>33</v>
      </c>
      <c r="B3">
        <v>10</v>
      </c>
      <c r="C3">
        <v>0.25</v>
      </c>
      <c r="D3">
        <v>3.8</v>
      </c>
      <c r="E3">
        <f t="shared" ref="E3:E41" si="0">(B3*C3)/D3</f>
        <v>0.65789473684210531</v>
      </c>
      <c r="H3" s="6"/>
    </row>
    <row r="4" spans="1:8" x14ac:dyDescent="0.2">
      <c r="A4" t="s">
        <v>1</v>
      </c>
      <c r="B4">
        <v>10</v>
      </c>
      <c r="C4">
        <v>0.25</v>
      </c>
      <c r="D4">
        <v>3.9</v>
      </c>
      <c r="E4">
        <f t="shared" si="0"/>
        <v>0.64102564102564108</v>
      </c>
      <c r="F4">
        <v>0.81499999999999995</v>
      </c>
      <c r="G4">
        <v>0.98</v>
      </c>
      <c r="H4" s="6">
        <f t="shared" ref="H4:H41" si="1">E4*F4*G4</f>
        <v>0.51198717948717953</v>
      </c>
    </row>
    <row r="5" spans="1:8" x14ac:dyDescent="0.2">
      <c r="A5" t="s">
        <v>2</v>
      </c>
      <c r="B5">
        <v>10</v>
      </c>
      <c r="C5">
        <v>0.25</v>
      </c>
      <c r="D5">
        <v>8.41</v>
      </c>
      <c r="E5">
        <f t="shared" si="0"/>
        <v>0.29726516052318669</v>
      </c>
      <c r="F5">
        <v>0.83699999999999997</v>
      </c>
      <c r="G5">
        <v>0.85</v>
      </c>
      <c r="H5" s="6">
        <f t="shared" si="1"/>
        <v>0.21148929845422115</v>
      </c>
    </row>
    <row r="6" spans="1:8" x14ac:dyDescent="0.2">
      <c r="A6" t="s">
        <v>34</v>
      </c>
      <c r="B6">
        <v>10</v>
      </c>
      <c r="C6">
        <v>0.25</v>
      </c>
      <c r="D6">
        <v>493.31</v>
      </c>
      <c r="E6">
        <f t="shared" si="0"/>
        <v>5.0678072611542438E-3</v>
      </c>
      <c r="H6" s="6"/>
    </row>
    <row r="7" spans="1:8" x14ac:dyDescent="0.2">
      <c r="A7" t="s">
        <v>3</v>
      </c>
      <c r="B7">
        <v>10</v>
      </c>
      <c r="C7">
        <v>0.25</v>
      </c>
      <c r="D7">
        <v>21.16</v>
      </c>
      <c r="E7">
        <f t="shared" si="0"/>
        <v>0.11814744801512288</v>
      </c>
      <c r="F7">
        <v>0.82099999999999995</v>
      </c>
      <c r="G7">
        <v>0.95</v>
      </c>
      <c r="H7" s="6">
        <f t="shared" si="1"/>
        <v>9.214910207939507E-2</v>
      </c>
    </row>
    <row r="8" spans="1:8" x14ac:dyDescent="0.2">
      <c r="A8" t="s">
        <v>35</v>
      </c>
      <c r="B8">
        <v>10</v>
      </c>
      <c r="C8">
        <v>0.25</v>
      </c>
      <c r="D8">
        <v>51.04</v>
      </c>
      <c r="E8">
        <f t="shared" si="0"/>
        <v>4.8981191222570532E-2</v>
      </c>
      <c r="F8">
        <v>0.88400000000000001</v>
      </c>
      <c r="G8">
        <v>0.99</v>
      </c>
      <c r="H8" s="6">
        <f t="shared" si="1"/>
        <v>4.2866379310344822E-2</v>
      </c>
    </row>
    <row r="9" spans="1:8" x14ac:dyDescent="0.2">
      <c r="A9" t="s">
        <v>36</v>
      </c>
      <c r="B9">
        <v>10</v>
      </c>
      <c r="C9">
        <v>10</v>
      </c>
      <c r="D9">
        <v>1.9</v>
      </c>
      <c r="E9">
        <f t="shared" si="0"/>
        <v>52.631578947368425</v>
      </c>
      <c r="F9">
        <v>0.84199999999999997</v>
      </c>
      <c r="G9">
        <v>0.9</v>
      </c>
      <c r="H9" s="6">
        <f t="shared" si="1"/>
        <v>39.88421052631579</v>
      </c>
    </row>
    <row r="10" spans="1:8" x14ac:dyDescent="0.2">
      <c r="A10" t="s">
        <v>37</v>
      </c>
      <c r="B10">
        <v>10</v>
      </c>
      <c r="C10">
        <v>0.25</v>
      </c>
      <c r="D10">
        <v>1460.37</v>
      </c>
      <c r="E10">
        <f t="shared" si="0"/>
        <v>1.7118949307367312E-3</v>
      </c>
      <c r="H10" s="6"/>
    </row>
    <row r="11" spans="1:8" x14ac:dyDescent="0.2">
      <c r="A11" t="s">
        <v>38</v>
      </c>
      <c r="B11">
        <v>10</v>
      </c>
      <c r="C11">
        <v>0.25</v>
      </c>
      <c r="D11">
        <v>3.26</v>
      </c>
      <c r="E11">
        <f t="shared" si="0"/>
        <v>0.76687116564417179</v>
      </c>
      <c r="F11">
        <v>0.92100000000000004</v>
      </c>
      <c r="G11">
        <v>0.99</v>
      </c>
      <c r="H11" s="6">
        <f t="shared" si="1"/>
        <v>0.69922546012269948</v>
      </c>
    </row>
    <row r="12" spans="1:8" x14ac:dyDescent="0.2">
      <c r="A12" t="s">
        <v>4</v>
      </c>
      <c r="B12">
        <v>10</v>
      </c>
      <c r="C12">
        <v>0.25</v>
      </c>
      <c r="D12">
        <v>17</v>
      </c>
      <c r="E12">
        <f t="shared" si="0"/>
        <v>0.14705882352941177</v>
      </c>
      <c r="F12">
        <v>0.81799999999999995</v>
      </c>
      <c r="G12">
        <v>0.9</v>
      </c>
      <c r="H12" s="6">
        <f t="shared" si="1"/>
        <v>0.10826470588235293</v>
      </c>
    </row>
    <row r="13" spans="1:8" x14ac:dyDescent="0.2">
      <c r="A13" t="s">
        <v>5</v>
      </c>
      <c r="B13">
        <v>10</v>
      </c>
      <c r="C13">
        <v>1</v>
      </c>
      <c r="D13">
        <v>3.78</v>
      </c>
      <c r="E13">
        <f t="shared" si="0"/>
        <v>2.6455026455026456</v>
      </c>
      <c r="F13">
        <v>0.81799999999999995</v>
      </c>
      <c r="G13">
        <v>0.9</v>
      </c>
      <c r="H13" s="6">
        <f t="shared" si="1"/>
        <v>1.9476190476190474</v>
      </c>
    </row>
    <row r="14" spans="1:8" x14ac:dyDescent="0.2">
      <c r="A14" t="s">
        <v>6</v>
      </c>
      <c r="B14">
        <v>10</v>
      </c>
      <c r="C14">
        <v>0.25</v>
      </c>
      <c r="D14">
        <v>4.3</v>
      </c>
      <c r="E14">
        <f t="shared" si="0"/>
        <v>0.58139534883720934</v>
      </c>
      <c r="F14">
        <v>0.86</v>
      </c>
      <c r="G14">
        <v>0.995</v>
      </c>
      <c r="H14" s="6">
        <f t="shared" si="1"/>
        <v>0.4975</v>
      </c>
    </row>
    <row r="15" spans="1:8" x14ac:dyDescent="0.2">
      <c r="A15" t="s">
        <v>39</v>
      </c>
      <c r="B15">
        <v>10</v>
      </c>
      <c r="C15">
        <v>0.25</v>
      </c>
      <c r="D15">
        <v>6.55</v>
      </c>
      <c r="E15">
        <f t="shared" si="0"/>
        <v>0.38167938931297712</v>
      </c>
      <c r="H15" s="6"/>
    </row>
    <row r="16" spans="1:8" x14ac:dyDescent="0.2">
      <c r="A16" t="s">
        <v>7</v>
      </c>
      <c r="B16">
        <v>10</v>
      </c>
      <c r="C16">
        <v>2.5</v>
      </c>
      <c r="D16">
        <v>2.3199999999999998</v>
      </c>
      <c r="E16">
        <f t="shared" si="0"/>
        <v>10.775862068965518</v>
      </c>
      <c r="F16">
        <v>0.86099999999999999</v>
      </c>
      <c r="G16">
        <v>0.94</v>
      </c>
      <c r="H16" s="6">
        <f t="shared" si="1"/>
        <v>8.7213362068965523</v>
      </c>
    </row>
    <row r="17" spans="1:8" x14ac:dyDescent="0.2">
      <c r="A17" t="s">
        <v>40</v>
      </c>
      <c r="B17">
        <v>10</v>
      </c>
      <c r="C17">
        <v>0.25</v>
      </c>
      <c r="D17">
        <v>3.61</v>
      </c>
      <c r="E17">
        <f t="shared" si="0"/>
        <v>0.69252077562326875</v>
      </c>
      <c r="H17" s="6"/>
    </row>
    <row r="18" spans="1:8" x14ac:dyDescent="0.2">
      <c r="A18" t="s">
        <v>41</v>
      </c>
      <c r="B18">
        <v>10</v>
      </c>
      <c r="C18">
        <v>2.5</v>
      </c>
      <c r="D18">
        <v>8.49</v>
      </c>
      <c r="E18">
        <f t="shared" si="0"/>
        <v>2.944640753828033</v>
      </c>
      <c r="F18">
        <v>0.81899999999999995</v>
      </c>
      <c r="G18">
        <v>0.98</v>
      </c>
      <c r="H18" s="6">
        <f t="shared" si="1"/>
        <v>2.3634275618374554</v>
      </c>
    </row>
    <row r="19" spans="1:8" x14ac:dyDescent="0.2">
      <c r="A19" t="s">
        <v>8</v>
      </c>
      <c r="B19">
        <v>10</v>
      </c>
      <c r="C19">
        <v>0.25</v>
      </c>
      <c r="D19">
        <v>3.94</v>
      </c>
      <c r="E19">
        <f t="shared" si="0"/>
        <v>0.63451776649746194</v>
      </c>
      <c r="F19">
        <v>0.82</v>
      </c>
      <c r="G19">
        <v>0.98</v>
      </c>
      <c r="H19" s="6">
        <f t="shared" si="1"/>
        <v>0.50989847715736036</v>
      </c>
    </row>
    <row r="20" spans="1:8" x14ac:dyDescent="0.2">
      <c r="A20" t="s">
        <v>9</v>
      </c>
      <c r="B20">
        <v>10</v>
      </c>
      <c r="C20">
        <v>10</v>
      </c>
      <c r="D20">
        <v>135.55000000000001</v>
      </c>
      <c r="E20">
        <f t="shared" si="0"/>
        <v>0.73773515308004423</v>
      </c>
      <c r="F20">
        <v>0.85799999999999998</v>
      </c>
      <c r="G20">
        <v>0.99</v>
      </c>
      <c r="H20" s="6">
        <f>E20*F20*G20</f>
        <v>0.62664699372925114</v>
      </c>
    </row>
    <row r="21" spans="1:8" x14ac:dyDescent="0.2">
      <c r="A21" t="s">
        <v>42</v>
      </c>
      <c r="B21">
        <v>10</v>
      </c>
      <c r="C21">
        <v>0.25</v>
      </c>
      <c r="D21">
        <v>3.28</v>
      </c>
      <c r="E21">
        <f t="shared" si="0"/>
        <v>0.76219512195121952</v>
      </c>
      <c r="H21" s="6"/>
    </row>
    <row r="22" spans="1:8" x14ac:dyDescent="0.2">
      <c r="A22" t="s">
        <v>10</v>
      </c>
      <c r="B22">
        <v>10</v>
      </c>
      <c r="C22">
        <v>0.25</v>
      </c>
      <c r="D22">
        <v>4.8</v>
      </c>
      <c r="E22">
        <f t="shared" si="0"/>
        <v>0.52083333333333337</v>
      </c>
      <c r="F22">
        <v>0.877</v>
      </c>
      <c r="G22">
        <v>0.99</v>
      </c>
      <c r="H22" s="6">
        <f t="shared" si="1"/>
        <v>0.45220312499999998</v>
      </c>
    </row>
    <row r="23" spans="1:8" x14ac:dyDescent="0.2">
      <c r="A23" t="s">
        <v>11</v>
      </c>
      <c r="B23">
        <v>10</v>
      </c>
      <c r="C23">
        <v>0.25</v>
      </c>
      <c r="D23">
        <v>24.34</v>
      </c>
      <c r="E23">
        <f t="shared" si="0"/>
        <v>0.10271158586688578</v>
      </c>
      <c r="F23">
        <v>0.82599999999999996</v>
      </c>
      <c r="G23">
        <v>0.95</v>
      </c>
      <c r="H23" s="6">
        <f t="shared" si="1"/>
        <v>8.059778142974526E-2</v>
      </c>
    </row>
    <row r="24" spans="1:8" x14ac:dyDescent="0.2">
      <c r="A24" t="s">
        <v>12</v>
      </c>
      <c r="B24">
        <v>10</v>
      </c>
      <c r="C24">
        <v>0.25</v>
      </c>
      <c r="D24">
        <v>5.29</v>
      </c>
      <c r="E24">
        <f t="shared" si="0"/>
        <v>0.47258979206049151</v>
      </c>
      <c r="F24">
        <v>0.94499999999999995</v>
      </c>
      <c r="G24">
        <v>0.97</v>
      </c>
      <c r="H24" s="6">
        <f t="shared" si="1"/>
        <v>0.43319943289224949</v>
      </c>
    </row>
    <row r="25" spans="1:8" x14ac:dyDescent="0.2">
      <c r="A25" t="s">
        <v>43</v>
      </c>
      <c r="B25">
        <v>10</v>
      </c>
      <c r="C25">
        <v>50</v>
      </c>
      <c r="D25">
        <v>3.71</v>
      </c>
      <c r="E25">
        <f t="shared" si="0"/>
        <v>134.77088948787062</v>
      </c>
      <c r="F25">
        <v>1.0429999999999999</v>
      </c>
      <c r="G25">
        <v>0.98</v>
      </c>
      <c r="H25" s="6">
        <f t="shared" si="1"/>
        <v>137.75471698113208</v>
      </c>
    </row>
    <row r="26" spans="1:8" x14ac:dyDescent="0.2">
      <c r="A26" t="s">
        <v>13</v>
      </c>
      <c r="B26">
        <v>10</v>
      </c>
      <c r="C26">
        <v>0.25</v>
      </c>
      <c r="D26">
        <v>51.96</v>
      </c>
      <c r="E26">
        <f t="shared" si="0"/>
        <v>4.8113933795227097E-2</v>
      </c>
      <c r="F26">
        <v>0.94499999999999995</v>
      </c>
      <c r="G26">
        <v>0.97</v>
      </c>
      <c r="H26" s="6">
        <f t="shared" si="1"/>
        <v>4.4103637413394917E-2</v>
      </c>
    </row>
    <row r="27" spans="1:8" x14ac:dyDescent="0.2">
      <c r="A27" t="s">
        <v>14</v>
      </c>
      <c r="B27">
        <v>10</v>
      </c>
      <c r="C27">
        <v>0.25</v>
      </c>
      <c r="D27">
        <v>6.06</v>
      </c>
      <c r="E27">
        <f t="shared" si="0"/>
        <v>0.41254125412541259</v>
      </c>
      <c r="F27">
        <v>0.83</v>
      </c>
      <c r="G27">
        <v>0.95</v>
      </c>
      <c r="H27" s="6">
        <f t="shared" si="1"/>
        <v>0.32528877887788776</v>
      </c>
    </row>
    <row r="28" spans="1:8" x14ac:dyDescent="0.2">
      <c r="A28" t="s">
        <v>15</v>
      </c>
      <c r="B28">
        <v>10</v>
      </c>
      <c r="C28">
        <v>0.25</v>
      </c>
      <c r="D28">
        <v>17.28</v>
      </c>
      <c r="E28">
        <f t="shared" si="0"/>
        <v>0.14467592592592593</v>
      </c>
      <c r="F28">
        <v>1.044</v>
      </c>
      <c r="G28">
        <v>0.99</v>
      </c>
      <c r="H28" s="6">
        <f t="shared" si="1"/>
        <v>0.14953125</v>
      </c>
    </row>
    <row r="29" spans="1:8" x14ac:dyDescent="0.2">
      <c r="A29" t="s">
        <v>16</v>
      </c>
      <c r="B29">
        <v>10</v>
      </c>
      <c r="C29">
        <v>10</v>
      </c>
      <c r="D29">
        <v>7.01</v>
      </c>
      <c r="E29">
        <f t="shared" si="0"/>
        <v>14.265335235378032</v>
      </c>
      <c r="F29">
        <v>0.84599999999999997</v>
      </c>
      <c r="G29">
        <v>0.97</v>
      </c>
      <c r="H29" s="6">
        <f t="shared" si="1"/>
        <v>11.706419400855919</v>
      </c>
    </row>
    <row r="30" spans="1:8" x14ac:dyDescent="0.2">
      <c r="A30" t="s">
        <v>17</v>
      </c>
      <c r="B30">
        <v>10</v>
      </c>
      <c r="C30">
        <v>0.25</v>
      </c>
      <c r="D30">
        <v>5.12</v>
      </c>
      <c r="E30">
        <f t="shared" si="0"/>
        <v>0.48828125</v>
      </c>
      <c r="F30">
        <v>0.86099999999999999</v>
      </c>
      <c r="G30">
        <v>0.97</v>
      </c>
      <c r="H30" s="6">
        <f t="shared" si="1"/>
        <v>0.40779785156249998</v>
      </c>
    </row>
    <row r="31" spans="1:8" x14ac:dyDescent="0.2">
      <c r="A31" t="s">
        <v>18</v>
      </c>
      <c r="B31">
        <v>10</v>
      </c>
      <c r="C31">
        <v>0.25</v>
      </c>
      <c r="D31">
        <v>7.88</v>
      </c>
      <c r="E31">
        <f t="shared" si="0"/>
        <v>0.31725888324873097</v>
      </c>
      <c r="F31">
        <v>0.94299999999999995</v>
      </c>
      <c r="G31">
        <v>0.9</v>
      </c>
      <c r="H31" s="6">
        <f t="shared" si="1"/>
        <v>0.26925761421319799</v>
      </c>
    </row>
    <row r="32" spans="1:8" x14ac:dyDescent="0.2">
      <c r="A32" t="s">
        <v>44</v>
      </c>
      <c r="B32">
        <v>10</v>
      </c>
      <c r="C32">
        <v>0.25</v>
      </c>
      <c r="D32">
        <v>3.43</v>
      </c>
      <c r="E32">
        <f t="shared" si="0"/>
        <v>0.7288629737609329</v>
      </c>
      <c r="F32">
        <v>1.0349999999999999</v>
      </c>
      <c r="G32">
        <v>0.95</v>
      </c>
      <c r="H32" s="6">
        <f t="shared" si="1"/>
        <v>0.71665451895043719</v>
      </c>
    </row>
    <row r="33" spans="1:8" x14ac:dyDescent="0.2">
      <c r="A33" t="s">
        <v>19</v>
      </c>
      <c r="B33">
        <v>10</v>
      </c>
      <c r="C33">
        <v>0.25</v>
      </c>
      <c r="D33">
        <v>128.86000000000001</v>
      </c>
      <c r="E33">
        <f t="shared" si="0"/>
        <v>1.940090020176936E-2</v>
      </c>
      <c r="G33">
        <v>0.99</v>
      </c>
      <c r="H33" s="6"/>
    </row>
    <row r="34" spans="1:8" x14ac:dyDescent="0.2">
      <c r="A34" t="s">
        <v>45</v>
      </c>
      <c r="B34">
        <v>10</v>
      </c>
      <c r="C34">
        <v>25</v>
      </c>
      <c r="D34">
        <v>4.92</v>
      </c>
      <c r="E34">
        <f t="shared" si="0"/>
        <v>50.8130081300813</v>
      </c>
      <c r="F34">
        <v>0.86899999999999999</v>
      </c>
      <c r="G34">
        <v>0.995</v>
      </c>
      <c r="H34" s="6">
        <f t="shared" si="1"/>
        <v>43.935721544715449</v>
      </c>
    </row>
    <row r="35" spans="1:8" x14ac:dyDescent="0.2">
      <c r="A35" t="s">
        <v>46</v>
      </c>
      <c r="B35">
        <v>10</v>
      </c>
      <c r="C35">
        <v>0.25</v>
      </c>
      <c r="D35">
        <v>1.86</v>
      </c>
      <c r="E35">
        <f t="shared" si="0"/>
        <v>1.3440860215053763</v>
      </c>
      <c r="F35">
        <v>0.86899999999999999</v>
      </c>
      <c r="G35">
        <v>0.97</v>
      </c>
      <c r="H35" s="6">
        <f t="shared" si="1"/>
        <v>1.1329704301075267</v>
      </c>
    </row>
    <row r="36" spans="1:8" x14ac:dyDescent="0.2">
      <c r="A36" t="s">
        <v>20</v>
      </c>
      <c r="B36">
        <v>10</v>
      </c>
      <c r="C36">
        <v>25</v>
      </c>
      <c r="D36">
        <v>7.19</v>
      </c>
      <c r="E36">
        <f t="shared" si="0"/>
        <v>34.770514603616128</v>
      </c>
      <c r="F36">
        <v>0.879</v>
      </c>
      <c r="G36">
        <v>0.98</v>
      </c>
      <c r="H36" s="6">
        <f t="shared" si="1"/>
        <v>29.952016689847007</v>
      </c>
    </row>
    <row r="37" spans="1:8" x14ac:dyDescent="0.2">
      <c r="A37" t="s">
        <v>21</v>
      </c>
      <c r="B37">
        <v>10</v>
      </c>
      <c r="C37">
        <v>0.25</v>
      </c>
      <c r="D37">
        <v>4.46</v>
      </c>
      <c r="E37">
        <f t="shared" si="0"/>
        <v>0.5605381165919282</v>
      </c>
      <c r="F37">
        <v>0.86899999999999999</v>
      </c>
      <c r="G37">
        <v>0.97</v>
      </c>
      <c r="H37" s="6">
        <f t="shared" si="1"/>
        <v>0.47249439461883402</v>
      </c>
    </row>
    <row r="38" spans="1:8" x14ac:dyDescent="0.2">
      <c r="A38" t="s">
        <v>22</v>
      </c>
      <c r="B38">
        <v>10</v>
      </c>
      <c r="C38">
        <v>0.25</v>
      </c>
      <c r="D38">
        <v>5.22</v>
      </c>
      <c r="E38">
        <f t="shared" si="0"/>
        <v>0.47892720306513414</v>
      </c>
      <c r="F38">
        <v>0.97499999999999998</v>
      </c>
      <c r="G38">
        <v>0.97</v>
      </c>
      <c r="H38" s="6">
        <f t="shared" si="1"/>
        <v>0.45294540229885061</v>
      </c>
    </row>
    <row r="39" spans="1:8" x14ac:dyDescent="0.2">
      <c r="A39" t="s">
        <v>23</v>
      </c>
      <c r="B39">
        <v>10</v>
      </c>
      <c r="C39">
        <v>0.25</v>
      </c>
      <c r="D39">
        <v>299.83</v>
      </c>
      <c r="E39">
        <f t="shared" si="0"/>
        <v>8.3380582329986991E-3</v>
      </c>
      <c r="F39">
        <v>0.94499999999999995</v>
      </c>
      <c r="G39">
        <v>0.95</v>
      </c>
      <c r="H39" s="6">
        <f t="shared" si="1"/>
        <v>7.4854917786745818E-3</v>
      </c>
    </row>
    <row r="40" spans="1:8" x14ac:dyDescent="0.2">
      <c r="A40" t="s">
        <v>47</v>
      </c>
      <c r="B40">
        <v>10</v>
      </c>
      <c r="C40">
        <v>100</v>
      </c>
      <c r="D40">
        <v>12.08</v>
      </c>
      <c r="E40">
        <f t="shared" si="0"/>
        <v>82.78145695364239</v>
      </c>
      <c r="F40">
        <v>0.91</v>
      </c>
      <c r="G40">
        <v>0.99</v>
      </c>
      <c r="H40" s="6">
        <f t="shared" si="1"/>
        <v>74.577814569536429</v>
      </c>
    </row>
    <row r="41" spans="1:8" x14ac:dyDescent="0.2">
      <c r="A41" t="s">
        <v>24</v>
      </c>
      <c r="B41">
        <v>10</v>
      </c>
      <c r="C41">
        <v>0.25</v>
      </c>
      <c r="D41">
        <v>6.4</v>
      </c>
      <c r="E41">
        <f t="shared" si="0"/>
        <v>0.390625</v>
      </c>
      <c r="F41">
        <v>1.125</v>
      </c>
      <c r="G41">
        <v>0.98</v>
      </c>
      <c r="H41" s="6">
        <f t="shared" si="1"/>
        <v>0.4306640625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7C96-4E8E-4391-8520-AA709B43D7F6}">
  <dimension ref="A1:AA125"/>
  <sheetViews>
    <sheetView topLeftCell="A58" workbookViewId="0">
      <selection activeCell="K67" sqref="K67:K112"/>
    </sheetView>
  </sheetViews>
  <sheetFormatPr baseColWidth="10" defaultColWidth="8.83203125" defaultRowHeight="15" x14ac:dyDescent="0.2"/>
  <cols>
    <col min="2" max="2" width="20.5" bestFit="1" customWidth="1"/>
    <col min="3" max="3" width="11" bestFit="1" customWidth="1"/>
    <col min="5" max="5" width="10.33203125" bestFit="1" customWidth="1"/>
    <col min="6" max="6" width="10.6640625" customWidth="1"/>
    <col min="7" max="7" width="11.6640625" bestFit="1" customWidth="1"/>
    <col min="8" max="8" width="10.33203125" bestFit="1" customWidth="1"/>
    <col min="9" max="9" width="11.5" customWidth="1"/>
    <col min="10" max="10" width="10.6640625" customWidth="1"/>
    <col min="12" max="12" width="9.83203125" customWidth="1"/>
    <col min="16" max="16" width="18" customWidth="1"/>
    <col min="18" max="18" width="9.1640625" style="16" customWidth="1"/>
    <col min="20" max="20" width="12.33203125" customWidth="1"/>
    <col min="21" max="21" width="13.5" customWidth="1"/>
    <col min="22" max="22" width="12.6640625" customWidth="1"/>
    <col min="23" max="23" width="11.83203125" customWidth="1"/>
    <col min="24" max="24" width="10.1640625" customWidth="1"/>
    <col min="26" max="27" width="9.1640625" style="16"/>
  </cols>
  <sheetData>
    <row r="1" spans="1:27" ht="64" x14ac:dyDescent="0.2">
      <c r="A1" s="7" t="s">
        <v>127</v>
      </c>
      <c r="B1" s="7">
        <f>((31.11276*0.6596246^2)+(17.61902*0.6596246)-0.1097424)</f>
        <v>25.049502016725402</v>
      </c>
      <c r="C1" s="7" t="s">
        <v>136</v>
      </c>
      <c r="D1" t="s">
        <v>142</v>
      </c>
      <c r="E1" t="s">
        <v>137</v>
      </c>
      <c r="F1" s="7" t="s">
        <v>138</v>
      </c>
      <c r="G1" s="7" t="s">
        <v>139</v>
      </c>
      <c r="H1" s="7" t="s">
        <v>9</v>
      </c>
      <c r="I1" s="7" t="s">
        <v>140</v>
      </c>
      <c r="J1" s="7" t="s">
        <v>13</v>
      </c>
      <c r="K1" s="7" t="s">
        <v>17</v>
      </c>
      <c r="L1" s="7" t="s">
        <v>18</v>
      </c>
      <c r="M1" s="7" t="s">
        <v>45</v>
      </c>
      <c r="N1" s="7" t="s">
        <v>46</v>
      </c>
      <c r="P1" s="7"/>
      <c r="Q1" s="7" t="s">
        <v>136</v>
      </c>
      <c r="R1" s="16" t="s">
        <v>142</v>
      </c>
      <c r="S1" t="s">
        <v>137</v>
      </c>
      <c r="T1" s="7" t="s">
        <v>138</v>
      </c>
      <c r="U1" s="7" t="s">
        <v>139</v>
      </c>
      <c r="V1" s="7" t="s">
        <v>9</v>
      </c>
      <c r="W1" s="7" t="s">
        <v>13</v>
      </c>
      <c r="X1" s="7" t="s">
        <v>17</v>
      </c>
      <c r="Y1" s="7" t="s">
        <v>18</v>
      </c>
      <c r="Z1" s="15" t="s">
        <v>45</v>
      </c>
      <c r="AA1" s="15" t="s">
        <v>46</v>
      </c>
    </row>
    <row r="2" spans="1:27" x14ac:dyDescent="0.2">
      <c r="B2" t="s">
        <v>57</v>
      </c>
      <c r="C2" s="9">
        <v>2291985</v>
      </c>
      <c r="D2" s="9">
        <v>39559</v>
      </c>
      <c r="E2" s="9">
        <v>874241</v>
      </c>
      <c r="F2" s="9">
        <v>1612290</v>
      </c>
      <c r="G2" s="9">
        <v>1881139</v>
      </c>
      <c r="H2" s="9">
        <v>1315469</v>
      </c>
      <c r="I2" s="9">
        <v>14517101</v>
      </c>
      <c r="J2" s="9">
        <v>2435444</v>
      </c>
      <c r="K2" s="9">
        <v>4343773</v>
      </c>
      <c r="L2" s="9">
        <v>50146</v>
      </c>
      <c r="M2" t="s">
        <v>107</v>
      </c>
      <c r="N2" t="s">
        <v>107</v>
      </c>
      <c r="P2" t="s">
        <v>57</v>
      </c>
      <c r="Q2" s="7">
        <v>122.29</v>
      </c>
      <c r="R2" s="17">
        <f>(((D2/$C$2) -0.0004926787)/0.01074682)*$Q$2</f>
        <v>190.79508621690738</v>
      </c>
      <c r="S2" s="12">
        <f>(((E2/C2) + 0.01185955)/1.10448)*Q2</f>
        <v>43.546164605264764</v>
      </c>
      <c r="T2" s="19">
        <f>(((F2/$C$2) +0.4168072)/29.77885)*$Q$2</f>
        <v>4.6004425152822916</v>
      </c>
      <c r="U2" s="19">
        <f>((-$G$58+(SQRT($G$59-(4*$G$60*($G$61-(G2/C2))))))/(2*$G$60))*Q2</f>
        <v>41.304078723167017</v>
      </c>
      <c r="V2" s="19">
        <f>(((H2/$C$2) +0.006935779)/3.963934)*$Q$2</f>
        <v>17.920500036223466</v>
      </c>
      <c r="W2" s="25">
        <v>1566.2865421541364</v>
      </c>
      <c r="X2" s="19">
        <v>395.80879172884562</v>
      </c>
      <c r="Y2" s="19">
        <f>(((L2/$C$2) +0.1542554)/6.883922)*$Q$2</f>
        <v>3.1289514385842265</v>
      </c>
      <c r="Z2" s="17" t="e">
        <f>(((M2/$C$2) +0.1542554)/6.883922)*$Q$2</f>
        <v>#VALUE!</v>
      </c>
      <c r="AA2" s="16" t="e">
        <f>(-$N$58+(SQRT($N$59-(4*$N$60*($N$61-(N2/C2))))))/(2*$N$60)*$Q$2</f>
        <v>#VALUE!</v>
      </c>
    </row>
    <row r="3" spans="1:27" x14ac:dyDescent="0.2">
      <c r="B3" t="s">
        <v>58</v>
      </c>
      <c r="C3" s="9">
        <v>2766087</v>
      </c>
      <c r="D3" t="s">
        <v>107</v>
      </c>
      <c r="E3" s="9">
        <v>716730</v>
      </c>
      <c r="F3" s="9">
        <v>20515739</v>
      </c>
      <c r="G3" s="9">
        <v>1925027</v>
      </c>
      <c r="H3" s="9">
        <v>2761214</v>
      </c>
      <c r="I3" s="9">
        <v>350777</v>
      </c>
      <c r="J3" s="9">
        <v>250868</v>
      </c>
      <c r="K3" s="9">
        <v>92196</v>
      </c>
      <c r="L3" s="9">
        <v>2984460</v>
      </c>
      <c r="M3" s="9">
        <v>15677</v>
      </c>
      <c r="N3" s="9">
        <v>210914</v>
      </c>
      <c r="P3" t="s">
        <v>58</v>
      </c>
      <c r="Q3" s="7">
        <v>122.29</v>
      </c>
      <c r="R3" s="17" t="e">
        <f t="shared" ref="R3:R51" si="0">(((D3/$C$2) -0.0004926787)/0.01074682)*$Q$2</f>
        <v>#VALUE!</v>
      </c>
      <c r="S3" s="12">
        <f t="shared" ref="S3:S51" si="1">(((E3/C3) + 0.01185955)/1.10448)*Q3</f>
        <v>30.002601126486713</v>
      </c>
      <c r="T3" s="19">
        <f t="shared" ref="T3:T51" si="2">(((F3/$C$2) +0.4168072)/29.77885)*$Q$2</f>
        <v>38.47021674686092</v>
      </c>
      <c r="U3" s="19">
        <f t="shared" ref="U3:U51" si="3">((-$G$58+(SQRT($G$59-(4*$G$60*($G$61-(G3/C3))))))/(2*$G$60))*Q3</f>
        <v>36.708447870140979</v>
      </c>
      <c r="V3" s="19">
        <f>(((H3/$C$2) +0.006935779)/3.963934)*$Q$2</f>
        <v>37.380572724754046</v>
      </c>
      <c r="W3" s="25">
        <v>38.852685100003278</v>
      </c>
      <c r="X3" s="19">
        <v>-0.33386407770485277</v>
      </c>
      <c r="Y3" s="19">
        <f t="shared" ref="Y3:Y51" si="4">(((L3/$C$2) +0.1542554)/6.883922)*$Q$2</f>
        <v>25.872059709012426</v>
      </c>
      <c r="Z3" s="16">
        <f t="shared" ref="Z3:Z51" si="5">(-$M$58+(SQRT($M$59-(4*$M$60*($M$61-(M3/C3))))))/(2*$M$60)*$Q$2</f>
        <v>22.519490768318168</v>
      </c>
      <c r="AA3" s="16">
        <f t="shared" ref="AA3:AA51" si="6">(-$N$58+(SQRT($N$59-(4*$N$60*($N$61-(N3/C3))))))/(2*$N$60)*$Q$2</f>
        <v>27.60638047768904</v>
      </c>
    </row>
    <row r="4" spans="1:27" x14ac:dyDescent="0.2">
      <c r="B4" t="s">
        <v>59</v>
      </c>
      <c r="C4" s="9">
        <v>1970242</v>
      </c>
      <c r="D4" s="9">
        <v>5283</v>
      </c>
      <c r="E4" s="9">
        <v>651699</v>
      </c>
      <c r="F4" s="9">
        <v>126928</v>
      </c>
      <c r="G4" s="9">
        <v>47783</v>
      </c>
      <c r="H4" s="9">
        <v>497255</v>
      </c>
      <c r="I4" s="9">
        <v>5044493</v>
      </c>
      <c r="J4" s="9">
        <v>1078474</v>
      </c>
      <c r="K4" s="9">
        <v>101525</v>
      </c>
      <c r="L4" s="9">
        <v>63412</v>
      </c>
      <c r="M4" t="s">
        <v>107</v>
      </c>
      <c r="N4" s="9">
        <v>1371</v>
      </c>
      <c r="P4" t="s">
        <v>59</v>
      </c>
      <c r="Q4" s="7">
        <v>122.29</v>
      </c>
      <c r="R4" s="17">
        <f t="shared" si="0"/>
        <v>20.622604194866515</v>
      </c>
      <c r="S4" s="12">
        <f t="shared" si="1"/>
        <v>37.936671680004707</v>
      </c>
      <c r="T4" s="19">
        <f t="shared" si="2"/>
        <v>1.9390829087805312</v>
      </c>
      <c r="U4" s="19">
        <f t="shared" si="3"/>
        <v>3.9938313425442251</v>
      </c>
      <c r="V4" s="19">
        <f t="shared" ref="V4:V51" si="7">(((H4/$C$2) +0.006935779)/3.963934)*$Q$2</f>
        <v>6.9071443512490323</v>
      </c>
      <c r="W4" s="25">
        <v>653.79219472488603</v>
      </c>
      <c r="X4" s="19">
        <v>3.5381283003424984</v>
      </c>
      <c r="Y4" s="19">
        <f t="shared" si="4"/>
        <v>3.2317727706964345</v>
      </c>
      <c r="Z4" s="16" t="e">
        <f t="shared" si="5"/>
        <v>#VALUE!</v>
      </c>
      <c r="AA4" s="16">
        <f t="shared" si="6"/>
        <v>1.2254836981167019</v>
      </c>
    </row>
    <row r="5" spans="1:27" x14ac:dyDescent="0.2">
      <c r="B5" t="s">
        <v>60</v>
      </c>
      <c r="C5" s="9">
        <v>1741482</v>
      </c>
      <c r="D5" s="9">
        <v>19838</v>
      </c>
      <c r="E5" s="9">
        <v>435329</v>
      </c>
      <c r="F5" s="9">
        <v>808013</v>
      </c>
      <c r="G5" s="9">
        <v>766425</v>
      </c>
      <c r="H5" s="9">
        <v>91402</v>
      </c>
      <c r="I5" s="9">
        <v>3453740</v>
      </c>
      <c r="J5" s="9">
        <v>4020732</v>
      </c>
      <c r="K5" s="9">
        <v>1546621</v>
      </c>
      <c r="L5" s="9">
        <v>45984</v>
      </c>
      <c r="M5" t="s">
        <v>107</v>
      </c>
      <c r="N5" t="s">
        <v>107</v>
      </c>
      <c r="P5" t="s">
        <v>60</v>
      </c>
      <c r="Q5" s="7">
        <v>122.29</v>
      </c>
      <c r="R5" s="17">
        <f t="shared" si="0"/>
        <v>92.884842374082424</v>
      </c>
      <c r="S5" s="12">
        <f t="shared" si="1"/>
        <v>28.990918952644567</v>
      </c>
      <c r="T5" s="19">
        <f t="shared" si="2"/>
        <v>3.1593996447642518</v>
      </c>
      <c r="U5" s="19">
        <f t="shared" si="3"/>
        <v>26.260122087486316</v>
      </c>
      <c r="V5" s="19">
        <f t="shared" si="7"/>
        <v>1.4442661252422317</v>
      </c>
      <c r="W5" s="25">
        <v>905.7697761556816</v>
      </c>
      <c r="X5" s="19">
        <v>181.53323875993414</v>
      </c>
      <c r="Y5" s="19">
        <f t="shared" si="4"/>
        <v>3.0966928539128102</v>
      </c>
      <c r="Z5" s="16" t="e">
        <f t="shared" si="5"/>
        <v>#VALUE!</v>
      </c>
      <c r="AA5" s="16" t="e">
        <f t="shared" si="6"/>
        <v>#VALUE!</v>
      </c>
    </row>
    <row r="6" spans="1:27" x14ac:dyDescent="0.2">
      <c r="B6" t="s">
        <v>61</v>
      </c>
      <c r="C6" s="9">
        <v>1756971</v>
      </c>
      <c r="D6" s="9">
        <v>31079</v>
      </c>
      <c r="E6" s="9">
        <v>559466</v>
      </c>
      <c r="F6" s="9">
        <v>83676</v>
      </c>
      <c r="G6" s="9">
        <v>35421</v>
      </c>
      <c r="H6" s="9">
        <v>197442</v>
      </c>
      <c r="I6" s="9">
        <v>6019549</v>
      </c>
      <c r="J6" s="9">
        <v>2481486</v>
      </c>
      <c r="K6" s="9">
        <v>101108</v>
      </c>
      <c r="L6" s="9">
        <v>53829</v>
      </c>
      <c r="M6" t="s">
        <v>107</v>
      </c>
      <c r="N6" t="s">
        <v>107</v>
      </c>
      <c r="P6" t="s">
        <v>61</v>
      </c>
      <c r="Q6" s="7">
        <v>122.29</v>
      </c>
      <c r="R6" s="17">
        <f t="shared" si="0"/>
        <v>148.69383030761497</v>
      </c>
      <c r="S6" s="12">
        <f t="shared" si="1"/>
        <v>36.569853936152484</v>
      </c>
      <c r="T6" s="19">
        <f t="shared" si="2"/>
        <v>1.8615872372200537</v>
      </c>
      <c r="U6" s="19">
        <f t="shared" si="3"/>
        <v>3.7149282089068221</v>
      </c>
      <c r="V6" s="19">
        <f t="shared" si="7"/>
        <v>2.8715898288633976</v>
      </c>
      <c r="W6" s="25">
        <v>1022.0341751968513</v>
      </c>
      <c r="X6" s="19">
        <v>4.8184609714613167</v>
      </c>
      <c r="Y6" s="19">
        <f t="shared" si="4"/>
        <v>3.1574974182442044</v>
      </c>
      <c r="Z6" s="16" t="e">
        <f t="shared" si="5"/>
        <v>#VALUE!</v>
      </c>
      <c r="AA6" s="16" t="e">
        <f t="shared" si="6"/>
        <v>#VALUE!</v>
      </c>
    </row>
    <row r="7" spans="1:27" x14ac:dyDescent="0.2">
      <c r="B7" t="s">
        <v>62</v>
      </c>
      <c r="C7" s="9">
        <v>687014</v>
      </c>
      <c r="D7" s="9">
        <v>21542</v>
      </c>
      <c r="E7" s="9">
        <v>42242</v>
      </c>
      <c r="F7" s="9">
        <v>273352</v>
      </c>
      <c r="G7" s="9">
        <v>194403</v>
      </c>
      <c r="H7" s="9">
        <v>178778</v>
      </c>
      <c r="I7" s="9">
        <v>1462538</v>
      </c>
      <c r="J7" s="9">
        <v>604784</v>
      </c>
      <c r="K7" s="9">
        <v>504709</v>
      </c>
      <c r="L7" s="9">
        <v>48128</v>
      </c>
      <c r="M7" t="s">
        <v>107</v>
      </c>
      <c r="N7" t="s">
        <v>107</v>
      </c>
      <c r="P7" t="s">
        <v>62</v>
      </c>
      <c r="Q7" s="7">
        <v>122.29</v>
      </c>
      <c r="R7" s="17">
        <f t="shared" si="0"/>
        <v>101.34481172189308</v>
      </c>
      <c r="S7" s="12">
        <f t="shared" si="1"/>
        <v>8.1209918612854448</v>
      </c>
      <c r="T7" s="19">
        <f t="shared" si="2"/>
        <v>2.2014343887715464</v>
      </c>
      <c r="U7" s="19">
        <f t="shared" si="3"/>
        <v>18.890584589404099</v>
      </c>
      <c r="V7" s="19">
        <f t="shared" si="7"/>
        <v>2.6203679351969944</v>
      </c>
      <c r="W7" s="25">
        <v>632.81723559908869</v>
      </c>
      <c r="X7" s="19">
        <v>148.88117161228524</v>
      </c>
      <c r="Y7" s="19">
        <f t="shared" si="4"/>
        <v>3.1133104429410459</v>
      </c>
      <c r="Z7" s="16" t="e">
        <f t="shared" si="5"/>
        <v>#VALUE!</v>
      </c>
      <c r="AA7" s="16" t="e">
        <f t="shared" si="6"/>
        <v>#VALUE!</v>
      </c>
    </row>
    <row r="8" spans="1:27" x14ac:dyDescent="0.2">
      <c r="B8" t="s">
        <v>63</v>
      </c>
      <c r="C8" s="9">
        <v>3620153</v>
      </c>
      <c r="D8" s="9">
        <v>19997</v>
      </c>
      <c r="E8" s="9">
        <v>883586</v>
      </c>
      <c r="F8" s="9">
        <v>278339</v>
      </c>
      <c r="G8" s="9">
        <v>94327</v>
      </c>
      <c r="H8" s="9">
        <v>3421504</v>
      </c>
      <c r="I8" s="9">
        <v>415442</v>
      </c>
      <c r="J8" s="9">
        <v>128898</v>
      </c>
      <c r="K8" s="9">
        <v>332086</v>
      </c>
      <c r="L8" s="9">
        <v>20259</v>
      </c>
      <c r="M8" t="s">
        <v>107</v>
      </c>
      <c r="N8" s="9">
        <v>2061</v>
      </c>
      <c r="P8" t="s">
        <v>63</v>
      </c>
      <c r="Q8" s="7">
        <v>122.29</v>
      </c>
      <c r="R8" s="17">
        <f t="shared" si="0"/>
        <v>93.674240922381657</v>
      </c>
      <c r="S8" s="12">
        <f t="shared" si="1"/>
        <v>28.337443924694963</v>
      </c>
      <c r="T8" s="19">
        <f t="shared" si="2"/>
        <v>2.2103697192550409</v>
      </c>
      <c r="U8" s="19">
        <f t="shared" si="3"/>
        <v>4.1161734622269757</v>
      </c>
      <c r="V8" s="19">
        <f t="shared" si="7"/>
        <v>46.26823368537287</v>
      </c>
      <c r="W8" s="25">
        <v>24.566768210707636</v>
      </c>
      <c r="X8" s="19">
        <v>12.092039785717063</v>
      </c>
      <c r="Y8" s="19">
        <f t="shared" si="4"/>
        <v>2.897305037797437</v>
      </c>
      <c r="Z8" s="16" t="e">
        <f t="shared" si="5"/>
        <v>#VALUE!</v>
      </c>
      <c r="AA8" s="16">
        <f t="shared" si="6"/>
        <v>1.1663711163245378</v>
      </c>
    </row>
    <row r="9" spans="1:27" x14ac:dyDescent="0.2">
      <c r="B9" t="s">
        <v>64</v>
      </c>
      <c r="C9" s="9">
        <v>3310418</v>
      </c>
      <c r="D9" s="9">
        <v>15119</v>
      </c>
      <c r="E9" s="9">
        <v>516760</v>
      </c>
      <c r="F9" s="9">
        <v>253530</v>
      </c>
      <c r="G9" s="9">
        <v>82686</v>
      </c>
      <c r="H9" s="9">
        <v>2551060</v>
      </c>
      <c r="I9" s="9">
        <v>352918</v>
      </c>
      <c r="J9" s="9">
        <v>114119</v>
      </c>
      <c r="K9" s="9">
        <v>121597</v>
      </c>
      <c r="L9" s="9">
        <v>16000</v>
      </c>
      <c r="M9" t="s">
        <v>107</v>
      </c>
      <c r="N9" t="s">
        <v>107</v>
      </c>
      <c r="P9" t="s">
        <v>64</v>
      </c>
      <c r="Q9" s="7">
        <v>122.29</v>
      </c>
      <c r="R9" s="17">
        <f t="shared" si="0"/>
        <v>69.456089233050491</v>
      </c>
      <c r="S9" s="12">
        <f t="shared" si="1"/>
        <v>18.596907056231675</v>
      </c>
      <c r="T9" s="19">
        <f t="shared" si="2"/>
        <v>2.1659188241347249</v>
      </c>
      <c r="U9" s="19">
        <f t="shared" si="3"/>
        <v>4.0430603065545316</v>
      </c>
      <c r="V9" s="19">
        <f t="shared" si="7"/>
        <v>34.551849737100305</v>
      </c>
      <c r="W9" s="25">
        <v>22.591696866512567</v>
      </c>
      <c r="X9" s="19">
        <v>0.38970535352975916</v>
      </c>
      <c r="Y9" s="19">
        <f t="shared" si="4"/>
        <v>2.8642946312343516</v>
      </c>
      <c r="Z9" s="16" t="e">
        <f t="shared" si="5"/>
        <v>#VALUE!</v>
      </c>
      <c r="AA9" s="16" t="e">
        <f t="shared" si="6"/>
        <v>#VALUE!</v>
      </c>
    </row>
    <row r="10" spans="1:27" x14ac:dyDescent="0.2">
      <c r="B10" t="s">
        <v>65</v>
      </c>
      <c r="C10" s="9">
        <v>3243435</v>
      </c>
      <c r="D10" s="9">
        <v>10501</v>
      </c>
      <c r="E10" s="9">
        <v>809361</v>
      </c>
      <c r="F10" s="9">
        <v>132181</v>
      </c>
      <c r="G10" s="9">
        <v>28466</v>
      </c>
      <c r="H10" s="9">
        <v>2369034</v>
      </c>
      <c r="I10" s="9">
        <v>5261697</v>
      </c>
      <c r="J10" s="9">
        <v>1549985</v>
      </c>
      <c r="K10" s="9">
        <v>71354</v>
      </c>
      <c r="L10" s="9">
        <v>28771</v>
      </c>
      <c r="M10" t="s">
        <v>107</v>
      </c>
      <c r="N10" t="s">
        <v>107</v>
      </c>
      <c r="P10" t="s">
        <v>65</v>
      </c>
      <c r="Q10" s="7">
        <v>122.29</v>
      </c>
      <c r="R10" s="17">
        <f t="shared" si="0"/>
        <v>46.528777937164605</v>
      </c>
      <c r="S10" s="12">
        <f t="shared" si="1"/>
        <v>28.94242849307572</v>
      </c>
      <c r="T10" s="19">
        <f t="shared" si="2"/>
        <v>1.9484948380024676</v>
      </c>
      <c r="U10" s="19">
        <f t="shared" si="3"/>
        <v>2.9289161701173252</v>
      </c>
      <c r="V10" s="19">
        <f t="shared" si="7"/>
        <v>32.101736341444457</v>
      </c>
      <c r="W10" s="25">
        <v>439.41371183538706</v>
      </c>
      <c r="X10" s="19">
        <v>-2.7447838414284251</v>
      </c>
      <c r="Y10" s="19">
        <f t="shared" si="4"/>
        <v>2.9632793464767007</v>
      </c>
      <c r="Z10" s="16" t="e">
        <f t="shared" si="5"/>
        <v>#VALUE!</v>
      </c>
      <c r="AA10" s="16" t="e">
        <f t="shared" si="6"/>
        <v>#VALUE!</v>
      </c>
    </row>
    <row r="11" spans="1:27" x14ac:dyDescent="0.2">
      <c r="B11" t="s">
        <v>66</v>
      </c>
      <c r="C11" s="9">
        <v>3254331</v>
      </c>
      <c r="D11" s="9">
        <v>8288</v>
      </c>
      <c r="E11" s="9">
        <v>707423</v>
      </c>
      <c r="F11" s="9">
        <v>149450</v>
      </c>
      <c r="G11" s="9">
        <v>29290</v>
      </c>
      <c r="H11" s="9">
        <v>5771926</v>
      </c>
      <c r="I11" s="9">
        <v>1417549</v>
      </c>
      <c r="J11" s="9">
        <v>369990</v>
      </c>
      <c r="K11" s="9">
        <v>92603</v>
      </c>
      <c r="L11" s="9">
        <v>41141</v>
      </c>
      <c r="M11" t="s">
        <v>107</v>
      </c>
      <c r="N11" t="s">
        <v>107</v>
      </c>
      <c r="P11" t="s">
        <v>66</v>
      </c>
      <c r="Q11" s="7">
        <v>122.29</v>
      </c>
      <c r="R11" s="17">
        <f t="shared" si="0"/>
        <v>35.541740280647609</v>
      </c>
      <c r="S11" s="12">
        <f t="shared" si="1"/>
        <v>25.381694617111592</v>
      </c>
      <c r="T11" s="19">
        <f t="shared" si="2"/>
        <v>1.9794361297849952</v>
      </c>
      <c r="U11" s="19">
        <f t="shared" si="3"/>
        <v>2.9445173233630033</v>
      </c>
      <c r="V11" s="19">
        <f t="shared" si="7"/>
        <v>77.905474670969525</v>
      </c>
      <c r="W11" s="25">
        <v>109.44255765820469</v>
      </c>
      <c r="X11" s="19">
        <v>-1.3712104714243425</v>
      </c>
      <c r="Y11" s="19">
        <f t="shared" si="4"/>
        <v>3.0591560145174075</v>
      </c>
      <c r="Z11" s="16" t="e">
        <f t="shared" si="5"/>
        <v>#VALUE!</v>
      </c>
      <c r="AA11" s="16" t="e">
        <f t="shared" si="6"/>
        <v>#VALUE!</v>
      </c>
    </row>
    <row r="12" spans="1:27" x14ac:dyDescent="0.2">
      <c r="B12" t="s">
        <v>67</v>
      </c>
      <c r="C12" s="9">
        <v>2371016</v>
      </c>
      <c r="D12" s="9">
        <v>39375</v>
      </c>
      <c r="E12" s="9">
        <v>515030</v>
      </c>
      <c r="F12" s="9">
        <v>58817</v>
      </c>
      <c r="G12" s="9">
        <v>12218</v>
      </c>
      <c r="H12" s="9">
        <v>206413</v>
      </c>
      <c r="I12" s="9">
        <v>1531268</v>
      </c>
      <c r="J12" s="9">
        <v>425660</v>
      </c>
      <c r="K12" s="9">
        <v>43500</v>
      </c>
      <c r="L12" s="9">
        <v>26941</v>
      </c>
      <c r="M12" t="s">
        <v>107</v>
      </c>
      <c r="N12" t="s">
        <v>107</v>
      </c>
      <c r="P12" t="s">
        <v>67</v>
      </c>
      <c r="Q12" s="7">
        <v>122.29</v>
      </c>
      <c r="R12" s="17">
        <f t="shared" si="0"/>
        <v>189.88156840000767</v>
      </c>
      <c r="S12" s="12">
        <f t="shared" si="1"/>
        <v>25.363999428481925</v>
      </c>
      <c r="T12" s="19">
        <f t="shared" si="2"/>
        <v>1.8170467558707077</v>
      </c>
      <c r="U12" s="19">
        <f t="shared" si="3"/>
        <v>2.6754998658068456</v>
      </c>
      <c r="V12" s="19">
        <f t="shared" si="7"/>
        <v>2.9923416295535663</v>
      </c>
      <c r="W12" s="25">
        <v>168.18174343646126</v>
      </c>
      <c r="X12" s="19">
        <v>-3.5220073714336952</v>
      </c>
      <c r="Y12" s="19">
        <f t="shared" si="4"/>
        <v>2.9490954901699511</v>
      </c>
      <c r="Z12" s="16" t="e">
        <f t="shared" si="5"/>
        <v>#VALUE!</v>
      </c>
      <c r="AA12" s="16" t="e">
        <f t="shared" si="6"/>
        <v>#VALUE!</v>
      </c>
    </row>
    <row r="13" spans="1:27" x14ac:dyDescent="0.2">
      <c r="B13" t="s">
        <v>68</v>
      </c>
      <c r="C13" s="9">
        <v>1984116</v>
      </c>
      <c r="D13" s="9">
        <v>7667</v>
      </c>
      <c r="E13" s="9">
        <v>298646</v>
      </c>
      <c r="F13" s="9">
        <v>491154</v>
      </c>
      <c r="G13" s="9">
        <v>382686</v>
      </c>
      <c r="H13" s="9">
        <v>186469</v>
      </c>
      <c r="I13" s="9">
        <v>9524326</v>
      </c>
      <c r="J13" s="9">
        <v>9262910</v>
      </c>
      <c r="K13" s="9">
        <v>478049</v>
      </c>
      <c r="L13" s="9">
        <v>80276</v>
      </c>
      <c r="M13" t="s">
        <v>107</v>
      </c>
      <c r="N13" t="s">
        <v>107</v>
      </c>
      <c r="P13" t="s">
        <v>68</v>
      </c>
      <c r="Q13" s="7">
        <v>122.29</v>
      </c>
      <c r="R13" s="17">
        <f t="shared" si="0"/>
        <v>32.458617648610989</v>
      </c>
      <c r="S13" s="12">
        <f t="shared" si="1"/>
        <v>17.978778807622746</v>
      </c>
      <c r="T13" s="19">
        <f t="shared" si="2"/>
        <v>2.5916755858772325</v>
      </c>
      <c r="U13" s="19">
        <f t="shared" si="3"/>
        <v>14.192997337546815</v>
      </c>
      <c r="V13" s="19">
        <f t="shared" si="7"/>
        <v>2.7238906304492616</v>
      </c>
      <c r="W13" s="25">
        <v>2007.2168858263822</v>
      </c>
      <c r="X13" s="19">
        <v>43.837878687858122</v>
      </c>
      <c r="Y13" s="19">
        <f t="shared" si="4"/>
        <v>3.3624812694707651</v>
      </c>
      <c r="Z13" s="16" t="e">
        <f t="shared" si="5"/>
        <v>#VALUE!</v>
      </c>
      <c r="AA13" s="16" t="e">
        <f t="shared" si="6"/>
        <v>#VALUE!</v>
      </c>
    </row>
    <row r="14" spans="1:27" x14ac:dyDescent="0.2">
      <c r="B14" t="s">
        <v>69</v>
      </c>
      <c r="C14" s="9">
        <v>2614352</v>
      </c>
      <c r="D14" s="9">
        <v>45836</v>
      </c>
      <c r="E14" s="9">
        <v>957161</v>
      </c>
      <c r="F14" s="9">
        <v>110280</v>
      </c>
      <c r="G14" s="9">
        <v>3340</v>
      </c>
      <c r="H14" s="9">
        <v>176566</v>
      </c>
      <c r="I14" s="9">
        <v>564920</v>
      </c>
      <c r="J14" s="9">
        <v>150535</v>
      </c>
      <c r="K14" s="9">
        <v>7483</v>
      </c>
      <c r="L14" s="9">
        <v>23721</v>
      </c>
      <c r="M14" t="s">
        <v>107</v>
      </c>
      <c r="N14" t="s">
        <v>107</v>
      </c>
      <c r="P14" t="s">
        <v>69</v>
      </c>
      <c r="Q14" s="7">
        <v>122.29</v>
      </c>
      <c r="R14" s="17">
        <f t="shared" si="0"/>
        <v>221.958952177123</v>
      </c>
      <c r="S14" s="12">
        <f t="shared" si="1"/>
        <v>41.850336232520938</v>
      </c>
      <c r="T14" s="19">
        <f t="shared" si="2"/>
        <v>1.9092542779625612</v>
      </c>
      <c r="U14" s="19">
        <f t="shared" si="3"/>
        <v>2.4026709481511479</v>
      </c>
      <c r="V14" s="19">
        <f t="shared" si="7"/>
        <v>2.5905938873621204</v>
      </c>
      <c r="W14" s="25">
        <v>50.800930353808674</v>
      </c>
      <c r="X14" s="19">
        <v>-6.8165367759167426</v>
      </c>
      <c r="Y14" s="19">
        <f t="shared" si="4"/>
        <v>2.9241381036629934</v>
      </c>
      <c r="Z14" s="16" t="e">
        <f t="shared" si="5"/>
        <v>#VALUE!</v>
      </c>
      <c r="AA14" s="16" t="e">
        <f t="shared" si="6"/>
        <v>#VALUE!</v>
      </c>
    </row>
    <row r="15" spans="1:27" x14ac:dyDescent="0.2">
      <c r="B15" t="s">
        <v>70</v>
      </c>
      <c r="C15" s="9">
        <v>2536828</v>
      </c>
      <c r="D15" s="9">
        <v>20387</v>
      </c>
      <c r="E15" s="9">
        <v>712944</v>
      </c>
      <c r="F15" s="9">
        <v>66020</v>
      </c>
      <c r="G15" s="9">
        <v>5891</v>
      </c>
      <c r="H15" s="9">
        <v>244733</v>
      </c>
      <c r="I15" s="9">
        <v>2193799</v>
      </c>
      <c r="J15" s="9">
        <v>788153</v>
      </c>
      <c r="K15" s="9">
        <v>18332</v>
      </c>
      <c r="L15" s="9">
        <v>45760</v>
      </c>
      <c r="M15" t="s">
        <v>107</v>
      </c>
      <c r="N15" t="s">
        <v>107</v>
      </c>
      <c r="P15" t="s">
        <v>70</v>
      </c>
      <c r="Q15" s="7">
        <v>122.29</v>
      </c>
      <c r="R15" s="17">
        <f t="shared" si="0"/>
        <v>95.61050151254959</v>
      </c>
      <c r="S15" s="12">
        <f t="shared" si="1"/>
        <v>32.430093737749452</v>
      </c>
      <c r="T15" s="19">
        <f t="shared" si="2"/>
        <v>1.8299525480248304</v>
      </c>
      <c r="U15" s="19">
        <f t="shared" si="3"/>
        <v>2.476394559910732</v>
      </c>
      <c r="V15" s="19">
        <f t="shared" si="7"/>
        <v>3.5081379736007481</v>
      </c>
      <c r="W15" s="25">
        <v>242.67336022143789</v>
      </c>
      <c r="X15" s="19">
        <v>-5.8880112268868254</v>
      </c>
      <c r="Y15" s="19">
        <f t="shared" si="4"/>
        <v>3.0949566878949351</v>
      </c>
      <c r="Z15" s="16" t="e">
        <f t="shared" si="5"/>
        <v>#VALUE!</v>
      </c>
      <c r="AA15" s="16" t="e">
        <f t="shared" si="6"/>
        <v>#VALUE!</v>
      </c>
    </row>
    <row r="16" spans="1:27" x14ac:dyDescent="0.2">
      <c r="B16" t="s">
        <v>71</v>
      </c>
      <c r="C16" s="9">
        <v>806477</v>
      </c>
      <c r="D16" s="9">
        <v>12674</v>
      </c>
      <c r="E16" s="9">
        <v>46541</v>
      </c>
      <c r="F16" s="9">
        <v>88167</v>
      </c>
      <c r="G16" s="9">
        <v>28350</v>
      </c>
      <c r="H16" s="9">
        <v>126637</v>
      </c>
      <c r="I16" s="9">
        <v>804515</v>
      </c>
      <c r="J16" s="9">
        <v>242800</v>
      </c>
      <c r="K16" s="9">
        <v>51589</v>
      </c>
      <c r="L16" s="9">
        <v>51427</v>
      </c>
      <c r="M16" t="s">
        <v>107</v>
      </c>
      <c r="N16" t="s">
        <v>107</v>
      </c>
      <c r="P16" t="s">
        <v>71</v>
      </c>
      <c r="Q16" s="7">
        <v>122.29</v>
      </c>
      <c r="R16" s="17">
        <f t="shared" si="0"/>
        <v>57.317224763920791</v>
      </c>
      <c r="S16" s="12">
        <f t="shared" si="1"/>
        <v>7.7027568007534617</v>
      </c>
      <c r="T16" s="19">
        <f t="shared" si="2"/>
        <v>1.8696338723115664</v>
      </c>
      <c r="U16" s="19">
        <f t="shared" si="3"/>
        <v>4.727778185565974</v>
      </c>
      <c r="V16" s="19">
        <f t="shared" si="7"/>
        <v>1.9185376331363451</v>
      </c>
      <c r="W16" s="25">
        <v>268.87866364605139</v>
      </c>
      <c r="X16" s="19">
        <v>6.1847545269062154</v>
      </c>
      <c r="Y16" s="19">
        <f t="shared" si="4"/>
        <v>3.1388801379989517</v>
      </c>
      <c r="Z16" s="16" t="e">
        <f t="shared" si="5"/>
        <v>#VALUE!</v>
      </c>
      <c r="AA16" s="16" t="e">
        <f t="shared" si="6"/>
        <v>#VALUE!</v>
      </c>
    </row>
    <row r="17" spans="2:27" x14ac:dyDescent="0.2">
      <c r="B17" t="s">
        <v>72</v>
      </c>
      <c r="C17" s="9">
        <v>2800212</v>
      </c>
      <c r="D17" s="9">
        <v>19578</v>
      </c>
      <c r="E17" s="9">
        <v>721328</v>
      </c>
      <c r="F17" s="9">
        <v>204489</v>
      </c>
      <c r="G17" s="9">
        <v>58401</v>
      </c>
      <c r="H17" s="9">
        <v>2976730</v>
      </c>
      <c r="I17" s="9">
        <v>10246609</v>
      </c>
      <c r="J17" s="9">
        <v>2028326</v>
      </c>
      <c r="K17" s="9">
        <v>168514</v>
      </c>
      <c r="L17" s="9">
        <v>35284</v>
      </c>
      <c r="M17" t="s">
        <v>107</v>
      </c>
      <c r="N17" t="s">
        <v>107</v>
      </c>
      <c r="P17" t="s">
        <v>72</v>
      </c>
      <c r="Q17" s="7">
        <v>122.29</v>
      </c>
      <c r="R17" s="17">
        <f t="shared" si="0"/>
        <v>91.594001980637145</v>
      </c>
      <c r="S17" s="12">
        <f t="shared" si="1"/>
        <v>29.834781659423804</v>
      </c>
      <c r="T17" s="19">
        <f t="shared" si="2"/>
        <v>2.0780508589771052</v>
      </c>
      <c r="U17" s="19">
        <f t="shared" si="3"/>
        <v>3.7624750168247538</v>
      </c>
      <c r="V17" s="19">
        <f t="shared" si="7"/>
        <v>40.281469511906245</v>
      </c>
      <c r="W17" s="25">
        <v>925.24967191693781</v>
      </c>
      <c r="X17" s="19">
        <v>5.3785138334966796</v>
      </c>
      <c r="Y17" s="19">
        <f t="shared" si="4"/>
        <v>3.0137599235946571</v>
      </c>
      <c r="Z17" s="16" t="e">
        <f t="shared" si="5"/>
        <v>#VALUE!</v>
      </c>
      <c r="AA17" s="16" t="e">
        <f t="shared" si="6"/>
        <v>#VALUE!</v>
      </c>
    </row>
    <row r="18" spans="2:27" x14ac:dyDescent="0.2">
      <c r="B18" t="s">
        <v>73</v>
      </c>
      <c r="C18" s="9">
        <v>3709226</v>
      </c>
      <c r="D18" s="9">
        <v>21107</v>
      </c>
      <c r="E18" s="9">
        <v>978983</v>
      </c>
      <c r="F18" s="9">
        <v>236893</v>
      </c>
      <c r="G18" s="9">
        <v>78667</v>
      </c>
      <c r="H18" s="9">
        <v>2789348</v>
      </c>
      <c r="I18" s="9">
        <v>443547</v>
      </c>
      <c r="J18" s="9">
        <v>284819</v>
      </c>
      <c r="K18" s="9">
        <v>315205</v>
      </c>
      <c r="L18" s="9">
        <v>15835</v>
      </c>
      <c r="M18" t="s">
        <v>107</v>
      </c>
      <c r="N18" t="s">
        <v>107</v>
      </c>
      <c r="P18" t="s">
        <v>73</v>
      </c>
      <c r="Q18" s="7">
        <v>122.29</v>
      </c>
      <c r="R18" s="17">
        <f t="shared" si="0"/>
        <v>99.185136448244236</v>
      </c>
      <c r="S18" s="12">
        <f t="shared" si="1"/>
        <v>30.536120395224398</v>
      </c>
      <c r="T18" s="19">
        <f t="shared" si="2"/>
        <v>2.1361099022871417</v>
      </c>
      <c r="U18" s="19">
        <f t="shared" si="3"/>
        <v>3.786549998763499</v>
      </c>
      <c r="V18" s="19">
        <f t="shared" si="7"/>
        <v>37.759263078183672</v>
      </c>
      <c r="W18" s="25">
        <v>34.354475386279759</v>
      </c>
      <c r="X18" s="19">
        <v>10.655030880962249</v>
      </c>
      <c r="Y18" s="19">
        <f t="shared" si="4"/>
        <v>2.8630157589443987</v>
      </c>
      <c r="Z18" s="16" t="e">
        <f t="shared" si="5"/>
        <v>#VALUE!</v>
      </c>
      <c r="AA18" s="16" t="e">
        <f t="shared" si="6"/>
        <v>#VALUE!</v>
      </c>
    </row>
    <row r="19" spans="2:27" x14ac:dyDescent="0.2">
      <c r="B19" t="s">
        <v>74</v>
      </c>
      <c r="C19" s="9">
        <v>2578029</v>
      </c>
      <c r="D19" s="9">
        <v>47246</v>
      </c>
      <c r="E19" s="9">
        <v>370106</v>
      </c>
      <c r="F19" s="9">
        <v>1053433</v>
      </c>
      <c r="G19" s="9">
        <v>799223</v>
      </c>
      <c r="H19" s="9">
        <v>1185671</v>
      </c>
      <c r="I19" s="9">
        <v>9598343</v>
      </c>
      <c r="J19" s="9">
        <v>2197668</v>
      </c>
      <c r="K19" s="9">
        <v>6185453</v>
      </c>
      <c r="L19" s="9">
        <v>26516</v>
      </c>
      <c r="M19" t="s">
        <v>107</v>
      </c>
      <c r="N19" t="s">
        <v>107</v>
      </c>
      <c r="P19" t="s">
        <v>74</v>
      </c>
      <c r="Q19" s="7">
        <v>122.29</v>
      </c>
      <c r="R19" s="17">
        <f t="shared" si="0"/>
        <v>228.9592789261917</v>
      </c>
      <c r="S19" s="12">
        <f t="shared" si="1"/>
        <v>17.208508933920402</v>
      </c>
      <c r="T19" s="19">
        <f t="shared" si="2"/>
        <v>3.5991246913371833</v>
      </c>
      <c r="U19" s="19">
        <f t="shared" si="3"/>
        <v>20.226141639465851</v>
      </c>
      <c r="V19" s="19">
        <f t="shared" si="7"/>
        <v>16.173387983388494</v>
      </c>
      <c r="W19" s="25">
        <v>966.10485679217095</v>
      </c>
      <c r="X19" s="19">
        <v>503.06284109690495</v>
      </c>
      <c r="Y19" s="19">
        <f t="shared" si="4"/>
        <v>2.9458014251806786</v>
      </c>
      <c r="Z19" s="16" t="e">
        <f t="shared" si="5"/>
        <v>#VALUE!</v>
      </c>
      <c r="AA19" s="16" t="e">
        <f t="shared" si="6"/>
        <v>#VALUE!</v>
      </c>
    </row>
    <row r="20" spans="2:27" x14ac:dyDescent="0.2">
      <c r="B20" t="s">
        <v>75</v>
      </c>
      <c r="C20" s="9">
        <v>1358980</v>
      </c>
      <c r="D20" t="s">
        <v>107</v>
      </c>
      <c r="E20" s="9">
        <v>370031</v>
      </c>
      <c r="F20" s="9">
        <v>19643</v>
      </c>
      <c r="G20" t="s">
        <v>107</v>
      </c>
      <c r="H20" s="9">
        <v>165284</v>
      </c>
      <c r="I20" s="9">
        <v>324890</v>
      </c>
      <c r="J20" s="9">
        <v>111871</v>
      </c>
      <c r="K20" s="9">
        <v>6876</v>
      </c>
      <c r="L20" s="9">
        <v>12542</v>
      </c>
      <c r="M20" t="s">
        <v>107</v>
      </c>
      <c r="N20" t="s">
        <v>107</v>
      </c>
      <c r="P20" t="s">
        <v>75</v>
      </c>
      <c r="Q20" s="7">
        <v>122.29</v>
      </c>
      <c r="R20" s="17" t="e">
        <f t="shared" si="0"/>
        <v>#VALUE!</v>
      </c>
      <c r="S20" s="12">
        <f t="shared" si="1"/>
        <v>31.46108464377555</v>
      </c>
      <c r="T20" s="19">
        <f t="shared" si="2"/>
        <v>1.7468577371499512</v>
      </c>
      <c r="U20" s="19" t="e">
        <f t="shared" si="3"/>
        <v>#VALUE!</v>
      </c>
      <c r="V20" s="19">
        <f t="shared" si="7"/>
        <v>2.4387354752133654</v>
      </c>
      <c r="W20" s="25">
        <v>60.955071434990515</v>
      </c>
      <c r="X20" s="19">
        <v>-6.3490048700480308</v>
      </c>
      <c r="Y20" s="19">
        <f t="shared" si="4"/>
        <v>2.8374925683334009</v>
      </c>
      <c r="Z20" s="16" t="e">
        <f t="shared" si="5"/>
        <v>#VALUE!</v>
      </c>
      <c r="AA20" s="16" t="e">
        <f t="shared" si="6"/>
        <v>#VALUE!</v>
      </c>
    </row>
    <row r="21" spans="2:27" x14ac:dyDescent="0.2">
      <c r="B21" t="s">
        <v>76</v>
      </c>
      <c r="C21" s="9">
        <v>2572775</v>
      </c>
      <c r="D21" s="9">
        <v>13434</v>
      </c>
      <c r="E21" s="9">
        <v>643685</v>
      </c>
      <c r="F21" s="9">
        <v>64166</v>
      </c>
      <c r="G21" s="9">
        <v>4533</v>
      </c>
      <c r="H21" s="9">
        <v>164120</v>
      </c>
      <c r="I21" s="9">
        <v>1325899</v>
      </c>
      <c r="J21" s="9">
        <v>384172</v>
      </c>
      <c r="K21" s="9">
        <v>22052</v>
      </c>
      <c r="L21" s="9">
        <v>27549</v>
      </c>
      <c r="M21" t="s">
        <v>107</v>
      </c>
      <c r="N21" t="s">
        <v>107</v>
      </c>
      <c r="P21" t="s">
        <v>76</v>
      </c>
      <c r="Q21" s="7">
        <v>122.29</v>
      </c>
      <c r="R21" s="17">
        <f t="shared" si="0"/>
        <v>61.090450529376241</v>
      </c>
      <c r="S21" s="12">
        <f t="shared" si="1"/>
        <v>29.014698888582526</v>
      </c>
      <c r="T21" s="19">
        <f t="shared" si="2"/>
        <v>1.8266306906523821</v>
      </c>
      <c r="U21" s="19">
        <f t="shared" si="3"/>
        <v>2.4368702467664347</v>
      </c>
      <c r="V21" s="19">
        <f t="shared" si="7"/>
        <v>2.4230677574557733</v>
      </c>
      <c r="W21" s="25">
        <v>133.99565478702212</v>
      </c>
      <c r="X21" s="19">
        <v>-5.6018532435690664</v>
      </c>
      <c r="Y21" s="19">
        <f t="shared" si="4"/>
        <v>2.9538079407898987</v>
      </c>
      <c r="Z21" s="16" t="e">
        <f t="shared" si="5"/>
        <v>#VALUE!</v>
      </c>
      <c r="AA21" s="16" t="e">
        <f t="shared" si="6"/>
        <v>#VALUE!</v>
      </c>
    </row>
    <row r="22" spans="2:27" x14ac:dyDescent="0.2">
      <c r="B22" t="s">
        <v>77</v>
      </c>
      <c r="C22" s="9">
        <v>2264957</v>
      </c>
      <c r="D22" s="9">
        <v>37527</v>
      </c>
      <c r="E22" s="9">
        <v>370835</v>
      </c>
      <c r="F22" s="9">
        <v>521813</v>
      </c>
      <c r="G22" s="9">
        <v>276988</v>
      </c>
      <c r="H22" s="9">
        <v>91014</v>
      </c>
      <c r="I22" s="9">
        <v>6817351</v>
      </c>
      <c r="J22" s="9">
        <v>5204237</v>
      </c>
      <c r="K22" s="9">
        <v>962327</v>
      </c>
      <c r="L22" s="9">
        <v>40351</v>
      </c>
      <c r="M22" t="s">
        <v>107</v>
      </c>
      <c r="N22" t="s">
        <v>107</v>
      </c>
      <c r="P22" t="s">
        <v>77</v>
      </c>
      <c r="Q22" s="7">
        <v>122.29</v>
      </c>
      <c r="R22" s="17">
        <f t="shared" si="0"/>
        <v>180.70667206505809</v>
      </c>
      <c r="S22" s="12">
        <f t="shared" si="1"/>
        <v>19.441275532908733</v>
      </c>
      <c r="T22" s="19">
        <f t="shared" si="2"/>
        <v>2.6466080697941075</v>
      </c>
      <c r="U22" s="19">
        <f t="shared" si="3"/>
        <v>10.190264123715391</v>
      </c>
      <c r="V22" s="19">
        <f t="shared" si="7"/>
        <v>1.4390435526563679</v>
      </c>
      <c r="W22" s="25">
        <v>1121.8606668301877</v>
      </c>
      <c r="X22" s="19">
        <v>82.973723140242043</v>
      </c>
      <c r="Y22" s="19">
        <f t="shared" si="4"/>
        <v>3.0530329290079359</v>
      </c>
      <c r="Z22" s="16" t="e">
        <f t="shared" si="5"/>
        <v>#VALUE!</v>
      </c>
      <c r="AA22" s="16" t="e">
        <f t="shared" si="6"/>
        <v>#VALUE!</v>
      </c>
    </row>
    <row r="23" spans="2:27" x14ac:dyDescent="0.2">
      <c r="B23" t="s">
        <v>78</v>
      </c>
      <c r="C23" s="9">
        <v>3044929</v>
      </c>
      <c r="D23" s="9">
        <v>28208</v>
      </c>
      <c r="E23" s="9">
        <v>579386</v>
      </c>
      <c r="F23" s="9">
        <v>532332</v>
      </c>
      <c r="G23" s="9">
        <v>230248</v>
      </c>
      <c r="H23" s="9">
        <v>72600</v>
      </c>
      <c r="I23" s="9">
        <v>4333836</v>
      </c>
      <c r="J23" s="9">
        <v>3993581</v>
      </c>
      <c r="K23" s="9">
        <v>1305236</v>
      </c>
      <c r="L23" s="9">
        <v>27119</v>
      </c>
      <c r="M23" t="s">
        <v>107</v>
      </c>
      <c r="N23" t="s">
        <v>107</v>
      </c>
      <c r="P23" t="s">
        <v>78</v>
      </c>
      <c r="Q23" s="7">
        <v>122.29</v>
      </c>
      <c r="R23" s="17">
        <f t="shared" si="0"/>
        <v>134.43997350153259</v>
      </c>
      <c r="S23" s="12">
        <f t="shared" si="1"/>
        <v>22.38113996138053</v>
      </c>
      <c r="T23" s="19">
        <f t="shared" si="2"/>
        <v>2.6654552206575279</v>
      </c>
      <c r="U23" s="19">
        <f t="shared" si="3"/>
        <v>7.3472277230695981</v>
      </c>
      <c r="V23" s="19">
        <f t="shared" si="7"/>
        <v>1.1911867186458043</v>
      </c>
      <c r="W23" s="25">
        <v>574.45695239387999</v>
      </c>
      <c r="X23" s="19">
        <v>83.778495250942626</v>
      </c>
      <c r="Y23" s="19">
        <f t="shared" si="4"/>
        <v>2.9504751220948697</v>
      </c>
      <c r="Z23" s="16" t="e">
        <f t="shared" si="5"/>
        <v>#VALUE!</v>
      </c>
      <c r="AA23" s="16" t="e">
        <f t="shared" si="6"/>
        <v>#VALUE!</v>
      </c>
    </row>
    <row r="24" spans="2:27" x14ac:dyDescent="0.2">
      <c r="B24" t="s">
        <v>79</v>
      </c>
      <c r="C24" s="9">
        <v>2547015</v>
      </c>
      <c r="D24" s="9">
        <v>9200</v>
      </c>
      <c r="E24" s="9">
        <v>646499</v>
      </c>
      <c r="F24" s="9">
        <v>411175</v>
      </c>
      <c r="G24" s="9">
        <v>221146</v>
      </c>
      <c r="H24" s="9">
        <v>89397</v>
      </c>
      <c r="I24" s="9">
        <v>4060109</v>
      </c>
      <c r="J24" s="9">
        <v>5251331</v>
      </c>
      <c r="K24" s="9">
        <v>1124442</v>
      </c>
      <c r="L24" s="9">
        <v>52688</v>
      </c>
      <c r="M24" t="s">
        <v>107</v>
      </c>
      <c r="N24" t="s">
        <v>107</v>
      </c>
      <c r="P24" t="s">
        <v>79</v>
      </c>
      <c r="Q24" s="7">
        <v>122.29</v>
      </c>
      <c r="R24" s="17">
        <f t="shared" si="0"/>
        <v>40.069611199194156</v>
      </c>
      <c r="S24" s="12">
        <f t="shared" si="1"/>
        <v>29.417195153938955</v>
      </c>
      <c r="T24" s="19">
        <f t="shared" si="2"/>
        <v>2.4483752456447472</v>
      </c>
      <c r="U24" s="19">
        <f t="shared" si="3"/>
        <v>8.0461608950880841</v>
      </c>
      <c r="V24" s="19">
        <f t="shared" si="7"/>
        <v>1.4172783468023937</v>
      </c>
      <c r="W24" s="25">
        <v>770.40948154537682</v>
      </c>
      <c r="X24" s="19">
        <v>86.505198262747371</v>
      </c>
      <c r="Y24" s="19">
        <f t="shared" si="4"/>
        <v>3.1486538225906515</v>
      </c>
      <c r="Z24" s="16" t="e">
        <f t="shared" si="5"/>
        <v>#VALUE!</v>
      </c>
      <c r="AA24" s="16" t="e">
        <f t="shared" si="6"/>
        <v>#VALUE!</v>
      </c>
    </row>
    <row r="25" spans="2:27" x14ac:dyDescent="0.2">
      <c r="B25" t="s">
        <v>80</v>
      </c>
      <c r="C25" s="9">
        <v>3047079</v>
      </c>
      <c r="D25" s="9">
        <v>12999</v>
      </c>
      <c r="E25" s="9">
        <v>970520</v>
      </c>
      <c r="F25" s="9">
        <v>281779</v>
      </c>
      <c r="G25" s="9">
        <v>19728</v>
      </c>
      <c r="H25" s="9">
        <v>291216</v>
      </c>
      <c r="I25" s="9">
        <v>5156237</v>
      </c>
      <c r="J25" s="9">
        <v>1443239</v>
      </c>
      <c r="K25" s="9">
        <v>54085</v>
      </c>
      <c r="L25" s="9">
        <v>49327</v>
      </c>
      <c r="M25" t="s">
        <v>107</v>
      </c>
      <c r="N25" t="s">
        <v>107</v>
      </c>
      <c r="P25" t="s">
        <v>80</v>
      </c>
      <c r="Q25" s="7">
        <v>122.29</v>
      </c>
      <c r="R25" s="17">
        <f t="shared" si="0"/>
        <v>58.930775255727397</v>
      </c>
      <c r="S25" s="12">
        <f t="shared" si="1"/>
        <v>36.578920661892226</v>
      </c>
      <c r="T25" s="19">
        <f t="shared" si="2"/>
        <v>2.2165332518123337</v>
      </c>
      <c r="U25" s="19">
        <f t="shared" si="3"/>
        <v>2.7680964019881551</v>
      </c>
      <c r="V25" s="19">
        <f t="shared" si="7"/>
        <v>4.1338102455304213</v>
      </c>
      <c r="W25" s="25">
        <v>453.39082033171172</v>
      </c>
      <c r="X25" s="19">
        <v>-3.648981714353809</v>
      </c>
      <c r="Y25" s="19">
        <f t="shared" si="4"/>
        <v>3.12260358158137</v>
      </c>
      <c r="Z25" s="16" t="e">
        <f t="shared" si="5"/>
        <v>#VALUE!</v>
      </c>
      <c r="AA25" s="16" t="e">
        <f t="shared" si="6"/>
        <v>#VALUE!</v>
      </c>
    </row>
    <row r="26" spans="2:27" x14ac:dyDescent="0.2">
      <c r="B26" t="s">
        <v>81</v>
      </c>
      <c r="C26" s="9">
        <v>1620102</v>
      </c>
      <c r="D26" s="9">
        <v>28634</v>
      </c>
      <c r="E26" s="9">
        <v>474738</v>
      </c>
      <c r="F26" s="9">
        <v>1217500</v>
      </c>
      <c r="G26" s="9">
        <v>1926906</v>
      </c>
      <c r="H26" s="9">
        <v>1683269</v>
      </c>
      <c r="I26" s="9">
        <v>35259884</v>
      </c>
      <c r="J26" s="9">
        <v>9951760</v>
      </c>
      <c r="K26" s="9">
        <v>7062979</v>
      </c>
      <c r="L26" s="9">
        <v>114944</v>
      </c>
      <c r="M26" t="s">
        <v>107</v>
      </c>
      <c r="N26" s="9">
        <v>1436</v>
      </c>
      <c r="P26" t="s">
        <v>81</v>
      </c>
      <c r="Q26" s="7">
        <v>122.29</v>
      </c>
      <c r="R26" s="17">
        <f t="shared" si="0"/>
        <v>136.55496583848526</v>
      </c>
      <c r="S26" s="12">
        <f t="shared" si="1"/>
        <v>33.757882581696457</v>
      </c>
      <c r="T26" s="19">
        <f t="shared" si="2"/>
        <v>3.8930875681038728</v>
      </c>
      <c r="U26" s="19">
        <f t="shared" si="3"/>
        <v>53.532188610315643</v>
      </c>
      <c r="V26" s="19">
        <f t="shared" si="7"/>
        <v>22.871175801895518</v>
      </c>
      <c r="W26" s="25">
        <v>5930.1627948720961</v>
      </c>
      <c r="X26" s="19">
        <v>920.14661438311839</v>
      </c>
      <c r="Y26" s="19">
        <f t="shared" si="4"/>
        <v>3.6311839637015817</v>
      </c>
      <c r="Z26" s="16" t="e">
        <f t="shared" si="5"/>
        <v>#VALUE!</v>
      </c>
      <c r="AA26" s="16">
        <f t="shared" si="6"/>
        <v>1.3143113384619671</v>
      </c>
    </row>
    <row r="27" spans="2:27" x14ac:dyDescent="0.2">
      <c r="B27" t="s">
        <v>82</v>
      </c>
      <c r="C27" s="9">
        <v>2693229</v>
      </c>
      <c r="D27" t="s">
        <v>107</v>
      </c>
      <c r="E27" s="9">
        <v>703159</v>
      </c>
      <c r="F27" s="9">
        <v>19554553</v>
      </c>
      <c r="G27" s="9">
        <v>1314488</v>
      </c>
      <c r="H27" s="9">
        <v>2114711</v>
      </c>
      <c r="I27" s="9">
        <v>334958</v>
      </c>
      <c r="J27" s="9">
        <v>241016</v>
      </c>
      <c r="K27" s="9">
        <v>29502</v>
      </c>
      <c r="L27" s="9">
        <v>2756390</v>
      </c>
      <c r="M27" s="9">
        <v>13404</v>
      </c>
      <c r="N27" s="9">
        <v>130611</v>
      </c>
      <c r="P27" t="s">
        <v>82</v>
      </c>
      <c r="Q27" s="7">
        <v>122.29</v>
      </c>
      <c r="R27" s="17" t="e">
        <f t="shared" si="0"/>
        <v>#VALUE!</v>
      </c>
      <c r="S27" s="12">
        <f t="shared" si="1"/>
        <v>30.220797767985005</v>
      </c>
      <c r="T27" s="19">
        <f t="shared" si="2"/>
        <v>36.748036164124187</v>
      </c>
      <c r="U27" s="19">
        <f t="shared" si="3"/>
        <v>28.345777930207188</v>
      </c>
      <c r="V27" s="19">
        <f t="shared" si="7"/>
        <v>28.678488074035496</v>
      </c>
      <c r="W27" s="25">
        <v>38.076599383435671</v>
      </c>
      <c r="X27" s="19">
        <v>-5.0948644237163929</v>
      </c>
      <c r="Y27" s="19">
        <f t="shared" si="4"/>
        <v>24.104348174651566</v>
      </c>
      <c r="Z27" s="16">
        <f t="shared" si="5"/>
        <v>20.82214046938612</v>
      </c>
      <c r="AA27" s="16">
        <f t="shared" si="6"/>
        <v>19.345467673091218</v>
      </c>
    </row>
    <row r="28" spans="2:27" x14ac:dyDescent="0.2">
      <c r="B28" t="s">
        <v>83</v>
      </c>
      <c r="C28" s="9">
        <v>2455797</v>
      </c>
      <c r="D28" s="9">
        <v>10504</v>
      </c>
      <c r="E28" s="9">
        <v>332022</v>
      </c>
      <c r="F28" s="9">
        <v>65437</v>
      </c>
      <c r="G28" t="s">
        <v>107</v>
      </c>
      <c r="H28" s="9">
        <v>263014</v>
      </c>
      <c r="I28" s="9">
        <v>2714043</v>
      </c>
      <c r="J28" s="9">
        <v>785704</v>
      </c>
      <c r="K28" s="9">
        <v>30263</v>
      </c>
      <c r="L28" s="9">
        <v>31082</v>
      </c>
      <c r="M28" t="s">
        <v>107</v>
      </c>
      <c r="N28" t="s">
        <v>107</v>
      </c>
      <c r="P28" t="s">
        <v>83</v>
      </c>
      <c r="Q28" s="7">
        <v>122.29</v>
      </c>
      <c r="R28" s="17">
        <f t="shared" si="0"/>
        <v>46.543672249396671</v>
      </c>
      <c r="S28" s="12">
        <f t="shared" si="1"/>
        <v>16.282617165171384</v>
      </c>
      <c r="T28" s="19">
        <f t="shared" si="2"/>
        <v>1.8289079725943354</v>
      </c>
      <c r="U28" s="19" t="e">
        <f t="shared" si="3"/>
        <v>#VALUE!</v>
      </c>
      <c r="V28" s="19">
        <f t="shared" si="7"/>
        <v>3.7542045958744041</v>
      </c>
      <c r="W28" s="25">
        <v>295.78642789961702</v>
      </c>
      <c r="X28" s="19">
        <v>-4.8035985180319196</v>
      </c>
      <c r="Y28" s="19">
        <f t="shared" si="4"/>
        <v>2.9811913092771918</v>
      </c>
      <c r="Z28" s="16" t="e">
        <f t="shared" si="5"/>
        <v>#VALUE!</v>
      </c>
      <c r="AA28" s="16" t="e">
        <f t="shared" si="6"/>
        <v>#VALUE!</v>
      </c>
    </row>
    <row r="29" spans="2:27" x14ac:dyDescent="0.2">
      <c r="B29" t="s">
        <v>84</v>
      </c>
      <c r="C29" s="9">
        <v>3647182</v>
      </c>
      <c r="D29" s="9">
        <v>19213</v>
      </c>
      <c r="E29" s="9">
        <v>633518</v>
      </c>
      <c r="F29" s="9">
        <v>197729</v>
      </c>
      <c r="G29" s="9">
        <v>3669</v>
      </c>
      <c r="H29" s="9">
        <v>222197</v>
      </c>
      <c r="I29" s="9">
        <v>3429996</v>
      </c>
      <c r="J29" s="9">
        <v>953063</v>
      </c>
      <c r="K29" s="9">
        <v>9754</v>
      </c>
      <c r="L29" s="9">
        <v>40009</v>
      </c>
      <c r="M29" t="s">
        <v>107</v>
      </c>
      <c r="N29" t="s">
        <v>107</v>
      </c>
      <c r="P29" t="s">
        <v>84</v>
      </c>
      <c r="Q29" s="7">
        <v>122.29</v>
      </c>
      <c r="R29" s="17">
        <f t="shared" si="0"/>
        <v>89.781860659069736</v>
      </c>
      <c r="S29" s="12">
        <f t="shared" si="1"/>
        <v>20.545560576189253</v>
      </c>
      <c r="T29" s="19">
        <f t="shared" si="2"/>
        <v>2.0659388008121913</v>
      </c>
      <c r="U29" s="19">
        <f t="shared" si="3"/>
        <v>2.3834820309196836</v>
      </c>
      <c r="V29" s="19">
        <f t="shared" si="7"/>
        <v>3.204798035984691</v>
      </c>
      <c r="W29" s="25">
        <v>248.26934283521513</v>
      </c>
      <c r="X29" s="19">
        <v>-6.8565120115994658</v>
      </c>
      <c r="Y29" s="19">
        <f t="shared" si="4"/>
        <v>3.0503821755342155</v>
      </c>
      <c r="Z29" s="16" t="e">
        <f t="shared" si="5"/>
        <v>#VALUE!</v>
      </c>
      <c r="AA29" s="16" t="e">
        <f t="shared" si="6"/>
        <v>#VALUE!</v>
      </c>
    </row>
    <row r="30" spans="2:27" x14ac:dyDescent="0.2">
      <c r="B30" t="s">
        <v>85</v>
      </c>
      <c r="C30" s="9">
        <v>1302589</v>
      </c>
      <c r="D30" s="9">
        <v>35820</v>
      </c>
      <c r="E30" s="9">
        <v>251398</v>
      </c>
      <c r="F30" s="9">
        <v>809984</v>
      </c>
      <c r="G30" s="9">
        <v>660425</v>
      </c>
      <c r="H30" s="9">
        <v>126764</v>
      </c>
      <c r="I30" s="9">
        <v>4400497</v>
      </c>
      <c r="J30" s="9">
        <v>3683337</v>
      </c>
      <c r="K30" s="9">
        <v>2697381</v>
      </c>
      <c r="L30" s="9">
        <v>49226</v>
      </c>
      <c r="M30" t="s">
        <v>107</v>
      </c>
      <c r="N30" t="s">
        <v>107</v>
      </c>
      <c r="P30" t="s">
        <v>85</v>
      </c>
      <c r="Q30" s="7">
        <v>122.29</v>
      </c>
      <c r="R30" s="17">
        <f t="shared" si="0"/>
        <v>172.23180840501539</v>
      </c>
      <c r="S30" s="12">
        <f t="shared" si="1"/>
        <v>22.682273041566088</v>
      </c>
      <c r="T30" s="19">
        <f t="shared" si="2"/>
        <v>3.1629311339126316</v>
      </c>
      <c r="U30" s="19">
        <f t="shared" si="3"/>
        <v>29.151161642265151</v>
      </c>
      <c r="V30" s="19">
        <f t="shared" si="7"/>
        <v>1.9202470834415124</v>
      </c>
      <c r="W30" s="25">
        <v>1312.9945551970532</v>
      </c>
      <c r="X30" s="19">
        <v>433.16689675127026</v>
      </c>
      <c r="Y30" s="19">
        <f t="shared" si="4"/>
        <v>3.121820756725096</v>
      </c>
      <c r="Z30" s="16" t="e">
        <f t="shared" si="5"/>
        <v>#VALUE!</v>
      </c>
      <c r="AA30" s="16" t="e">
        <f t="shared" si="6"/>
        <v>#VALUE!</v>
      </c>
    </row>
    <row r="31" spans="2:27" x14ac:dyDescent="0.2">
      <c r="B31" t="s">
        <v>86</v>
      </c>
      <c r="C31" s="9">
        <v>1578818</v>
      </c>
      <c r="D31" s="9">
        <v>15324</v>
      </c>
      <c r="E31" s="9">
        <v>298001</v>
      </c>
      <c r="F31" s="9">
        <v>163260</v>
      </c>
      <c r="G31" s="9">
        <v>57605</v>
      </c>
      <c r="H31" s="9">
        <v>327695</v>
      </c>
      <c r="I31" s="9">
        <v>13397196</v>
      </c>
      <c r="J31" s="9">
        <v>3644501</v>
      </c>
      <c r="K31" s="9">
        <v>117529</v>
      </c>
      <c r="L31" s="9">
        <v>65173</v>
      </c>
      <c r="M31" t="s">
        <v>107</v>
      </c>
      <c r="N31" t="s">
        <v>107</v>
      </c>
      <c r="P31" t="s">
        <v>86</v>
      </c>
      <c r="Q31" s="7">
        <v>122.29</v>
      </c>
      <c r="R31" s="17">
        <f t="shared" si="0"/>
        <v>70.473867235574659</v>
      </c>
      <c r="S31" s="12">
        <f t="shared" si="1"/>
        <v>22.211785050096015</v>
      </c>
      <c r="T31" s="19">
        <f t="shared" si="2"/>
        <v>2.0041798462431983</v>
      </c>
      <c r="U31" s="19">
        <f t="shared" si="3"/>
        <v>4.8166737021997212</v>
      </c>
      <c r="V31" s="19">
        <f t="shared" si="7"/>
        <v>4.6248262902719963</v>
      </c>
      <c r="W31" s="25">
        <v>2289.1615216425171</v>
      </c>
      <c r="X31" s="19">
        <v>8.4130069241403671</v>
      </c>
      <c r="Y31" s="19">
        <f t="shared" si="4"/>
        <v>3.2454218258637488</v>
      </c>
      <c r="Z31" s="16" t="e">
        <f t="shared" si="5"/>
        <v>#VALUE!</v>
      </c>
      <c r="AA31" s="16" t="e">
        <f t="shared" si="6"/>
        <v>#VALUE!</v>
      </c>
    </row>
    <row r="32" spans="2:27" x14ac:dyDescent="0.2">
      <c r="B32" t="s">
        <v>87</v>
      </c>
      <c r="C32" s="9">
        <v>798747</v>
      </c>
      <c r="D32" s="9">
        <v>18551</v>
      </c>
      <c r="E32" s="9">
        <v>46979</v>
      </c>
      <c r="F32" s="9">
        <v>105692</v>
      </c>
      <c r="G32" s="9">
        <v>16278</v>
      </c>
      <c r="H32" s="9">
        <v>117800</v>
      </c>
      <c r="I32" s="9">
        <v>953830</v>
      </c>
      <c r="J32" s="9">
        <v>538416</v>
      </c>
      <c r="K32" s="9">
        <v>33592</v>
      </c>
      <c r="L32" s="9">
        <v>42461</v>
      </c>
      <c r="M32" t="s">
        <v>107</v>
      </c>
      <c r="N32" t="s">
        <v>107</v>
      </c>
      <c r="P32" t="s">
        <v>87</v>
      </c>
      <c r="Q32" s="7">
        <v>122.29</v>
      </c>
      <c r="R32" s="17">
        <f t="shared" si="0"/>
        <v>86.495182426528274</v>
      </c>
      <c r="S32" s="12">
        <f t="shared" si="1"/>
        <v>7.8253088833215605</v>
      </c>
      <c r="T32" s="19">
        <f t="shared" si="2"/>
        <v>1.9010338455867297</v>
      </c>
      <c r="U32" s="19">
        <f t="shared" si="3"/>
        <v>3.7299129500985284</v>
      </c>
      <c r="V32" s="19">
        <f t="shared" si="7"/>
        <v>1.799589504421707</v>
      </c>
      <c r="W32" s="25">
        <v>390.07098317207408</v>
      </c>
      <c r="X32" s="19">
        <v>1.5225255332760688</v>
      </c>
      <c r="Y32" s="19">
        <f t="shared" si="4"/>
        <v>3.0693869928370296</v>
      </c>
      <c r="Z32" s="16" t="e">
        <f t="shared" si="5"/>
        <v>#VALUE!</v>
      </c>
      <c r="AA32" s="16" t="e">
        <f t="shared" si="6"/>
        <v>#VALUE!</v>
      </c>
    </row>
    <row r="33" spans="1:27" x14ac:dyDescent="0.2">
      <c r="B33" t="s">
        <v>88</v>
      </c>
      <c r="C33" s="9">
        <v>2989634</v>
      </c>
      <c r="D33" s="9">
        <v>28017</v>
      </c>
      <c r="E33" s="9">
        <v>421740</v>
      </c>
      <c r="F33" s="9">
        <v>343154</v>
      </c>
      <c r="G33" s="9">
        <v>196571</v>
      </c>
      <c r="H33" s="9">
        <v>2568562</v>
      </c>
      <c r="I33" s="9">
        <v>19938167</v>
      </c>
      <c r="J33" s="9">
        <v>4593398</v>
      </c>
      <c r="K33" s="9">
        <v>789188</v>
      </c>
      <c r="L33" s="9">
        <v>42548</v>
      </c>
      <c r="M33" t="s">
        <v>107</v>
      </c>
      <c r="N33" t="s">
        <v>107</v>
      </c>
      <c r="P33" t="s">
        <v>88</v>
      </c>
      <c r="Q33" s="7">
        <v>122.29</v>
      </c>
      <c r="R33" s="17">
        <f t="shared" si="0"/>
        <v>133.49170228942472</v>
      </c>
      <c r="S33" s="12">
        <f t="shared" si="1"/>
        <v>16.932349157002967</v>
      </c>
      <c r="T33" s="19">
        <f t="shared" si="2"/>
        <v>2.3265003479471789</v>
      </c>
      <c r="U33" s="19">
        <f t="shared" si="3"/>
        <v>6.7228691995923251</v>
      </c>
      <c r="V33" s="19">
        <f t="shared" si="7"/>
        <v>34.787430833486368</v>
      </c>
      <c r="W33" s="25">
        <v>1738.4343007246925</v>
      </c>
      <c r="X33" s="19">
        <v>48.73931649983939</v>
      </c>
      <c r="Y33" s="19">
        <f t="shared" si="4"/>
        <v>3.0700613073171863</v>
      </c>
      <c r="Z33" s="16" t="e">
        <f t="shared" si="5"/>
        <v>#VALUE!</v>
      </c>
      <c r="AA33" s="16" t="e">
        <f t="shared" si="6"/>
        <v>#VALUE!</v>
      </c>
    </row>
    <row r="34" spans="1:27" x14ac:dyDescent="0.2">
      <c r="B34" t="s">
        <v>89</v>
      </c>
      <c r="C34" s="9">
        <v>3627336</v>
      </c>
      <c r="D34" s="9">
        <v>42777</v>
      </c>
      <c r="E34" s="9">
        <v>848250</v>
      </c>
      <c r="F34" s="9">
        <v>224668</v>
      </c>
      <c r="G34" s="9">
        <v>98242</v>
      </c>
      <c r="H34" s="9">
        <v>1848792</v>
      </c>
      <c r="I34" s="9">
        <v>168986</v>
      </c>
      <c r="J34" s="9">
        <v>50239</v>
      </c>
      <c r="K34" s="9">
        <v>372879</v>
      </c>
      <c r="L34" s="9">
        <v>13145</v>
      </c>
      <c r="M34" t="s">
        <v>107</v>
      </c>
      <c r="N34" t="s">
        <v>107</v>
      </c>
      <c r="P34" t="s">
        <v>89</v>
      </c>
      <c r="Q34" s="7">
        <v>122.29</v>
      </c>
      <c r="R34" s="17">
        <f t="shared" si="0"/>
        <v>206.7717184711648</v>
      </c>
      <c r="S34" s="12">
        <f t="shared" si="1"/>
        <v>27.205323582360158</v>
      </c>
      <c r="T34" s="19">
        <f t="shared" si="2"/>
        <v>2.1142060692892031</v>
      </c>
      <c r="U34" s="19">
        <f t="shared" si="3"/>
        <v>4.1857192872141962</v>
      </c>
      <c r="V34" s="19">
        <f t="shared" si="7"/>
        <v>25.099154879550053</v>
      </c>
      <c r="W34" s="25">
        <v>5.4333863163583525</v>
      </c>
      <c r="X34" s="19">
        <v>14.446155032995552</v>
      </c>
      <c r="Y34" s="19">
        <f t="shared" si="4"/>
        <v>2.8421662652475916</v>
      </c>
      <c r="Z34" s="16" t="e">
        <f t="shared" si="5"/>
        <v>#VALUE!</v>
      </c>
      <c r="AA34" s="16" t="e">
        <f t="shared" si="6"/>
        <v>#VALUE!</v>
      </c>
    </row>
    <row r="35" spans="1:27" x14ac:dyDescent="0.2">
      <c r="B35" t="s">
        <v>90</v>
      </c>
      <c r="C35" s="9">
        <v>1760796</v>
      </c>
      <c r="D35" s="9">
        <v>59340</v>
      </c>
      <c r="E35" s="9">
        <v>563787</v>
      </c>
      <c r="F35" s="9">
        <v>2298510</v>
      </c>
      <c r="G35" s="9">
        <v>4767954</v>
      </c>
      <c r="H35" s="9">
        <v>1929605</v>
      </c>
      <c r="I35" s="9">
        <v>20361552</v>
      </c>
      <c r="J35" s="9">
        <v>7889093</v>
      </c>
      <c r="K35" s="9">
        <v>15669132</v>
      </c>
      <c r="L35" s="9">
        <v>94718</v>
      </c>
      <c r="M35" t="s">
        <v>107</v>
      </c>
      <c r="N35" s="9">
        <v>1189</v>
      </c>
      <c r="P35" t="s">
        <v>90</v>
      </c>
      <c r="Q35" s="7">
        <v>122.29</v>
      </c>
      <c r="R35" s="17">
        <f t="shared" si="0"/>
        <v>289.00321630437361</v>
      </c>
      <c r="S35" s="12">
        <f t="shared" si="1"/>
        <v>36.764976937904109</v>
      </c>
      <c r="T35" s="19">
        <f t="shared" si="2"/>
        <v>5.8299597569874368</v>
      </c>
      <c r="U35" s="19">
        <f t="shared" si="3"/>
        <v>92.271034477476903</v>
      </c>
      <c r="V35" s="19">
        <f t="shared" si="7"/>
        <v>26.186917143419695</v>
      </c>
      <c r="W35" s="25">
        <v>3406.2439288942483</v>
      </c>
      <c r="X35" s="19">
        <v>1885.9555709161132</v>
      </c>
      <c r="Y35" s="19">
        <f t="shared" si="4"/>
        <v>3.4744174731768185</v>
      </c>
      <c r="Z35" s="16" t="e">
        <f t="shared" si="5"/>
        <v>#VALUE!</v>
      </c>
      <c r="AA35" s="16">
        <f t="shared" si="6"/>
        <v>1.2158709178439373</v>
      </c>
    </row>
    <row r="36" spans="1:27" x14ac:dyDescent="0.2">
      <c r="B36" t="s">
        <v>91</v>
      </c>
      <c r="C36" s="9">
        <v>2330233</v>
      </c>
      <c r="D36" s="9">
        <v>9470</v>
      </c>
      <c r="E36" s="9">
        <v>673742</v>
      </c>
      <c r="F36" s="9">
        <v>87877</v>
      </c>
      <c r="G36" s="9">
        <v>16029</v>
      </c>
      <c r="H36" s="9">
        <v>666118</v>
      </c>
      <c r="I36" s="9">
        <v>2698301</v>
      </c>
      <c r="J36" s="9">
        <v>525214</v>
      </c>
      <c r="K36" s="9">
        <v>94358</v>
      </c>
      <c r="L36" s="9">
        <v>58851</v>
      </c>
      <c r="M36" t="s">
        <v>107</v>
      </c>
      <c r="N36" t="s">
        <v>107</v>
      </c>
      <c r="P36" t="s">
        <v>91</v>
      </c>
      <c r="Q36" s="7">
        <v>122.29</v>
      </c>
      <c r="R36" s="17">
        <f t="shared" si="0"/>
        <v>41.410099300079636</v>
      </c>
      <c r="S36" s="12">
        <f t="shared" si="1"/>
        <v>33.326183363803743</v>
      </c>
      <c r="T36" s="19">
        <f t="shared" si="2"/>
        <v>1.8691142721831895</v>
      </c>
      <c r="U36" s="19">
        <f t="shared" si="3"/>
        <v>2.7963874214089022</v>
      </c>
      <c r="V36" s="19">
        <f t="shared" si="7"/>
        <v>9.1800806259055854</v>
      </c>
      <c r="W36" s="25">
        <v>286.90308471664025</v>
      </c>
      <c r="X36" s="19">
        <v>1.1899885986198202</v>
      </c>
      <c r="Y36" s="19">
        <f t="shared" si="4"/>
        <v>3.1964216403056773</v>
      </c>
      <c r="Z36" s="16" t="e">
        <f t="shared" si="5"/>
        <v>#VALUE!</v>
      </c>
      <c r="AA36" s="16" t="e">
        <f t="shared" si="6"/>
        <v>#VALUE!</v>
      </c>
    </row>
    <row r="37" spans="1:27" x14ac:dyDescent="0.2">
      <c r="B37" t="s">
        <v>92</v>
      </c>
      <c r="C37" s="9">
        <v>3463312</v>
      </c>
      <c r="D37" s="9">
        <v>9298</v>
      </c>
      <c r="E37" s="9">
        <v>898562</v>
      </c>
      <c r="F37" s="9">
        <v>86446</v>
      </c>
      <c r="G37" s="9">
        <v>8907</v>
      </c>
      <c r="H37" s="9">
        <v>438454</v>
      </c>
      <c r="I37" s="9">
        <v>3023374</v>
      </c>
      <c r="J37" s="9">
        <v>824545</v>
      </c>
      <c r="K37" s="9">
        <v>24894</v>
      </c>
      <c r="L37" s="9">
        <v>77807</v>
      </c>
      <c r="M37" t="s">
        <v>107</v>
      </c>
      <c r="N37" t="s">
        <v>107</v>
      </c>
      <c r="P37" t="s">
        <v>92</v>
      </c>
      <c r="Q37" s="7">
        <v>122.29</v>
      </c>
      <c r="R37" s="17">
        <f t="shared" si="0"/>
        <v>40.556158732108152</v>
      </c>
      <c r="S37" s="12">
        <f t="shared" si="1"/>
        <v>30.040060656365192</v>
      </c>
      <c r="T37" s="19">
        <f t="shared" si="2"/>
        <v>1.8665503143083391</v>
      </c>
      <c r="U37" s="19">
        <f t="shared" si="3"/>
        <v>2.4939914116638788</v>
      </c>
      <c r="V37" s="19">
        <f t="shared" si="7"/>
        <v>6.1156688599568012</v>
      </c>
      <c r="W37" s="25">
        <v>228.96846614614333</v>
      </c>
      <c r="X37" s="19">
        <v>-5.8961878232608536</v>
      </c>
      <c r="Y37" s="19">
        <f t="shared" si="4"/>
        <v>3.3433446895683803</v>
      </c>
      <c r="Z37" s="16" t="e">
        <f t="shared" si="5"/>
        <v>#VALUE!</v>
      </c>
      <c r="AA37" s="16" t="e">
        <f t="shared" si="6"/>
        <v>#VALUE!</v>
      </c>
    </row>
    <row r="38" spans="1:27" x14ac:dyDescent="0.2">
      <c r="B38" t="s">
        <v>93</v>
      </c>
      <c r="C38" s="9">
        <v>3396116</v>
      </c>
      <c r="D38" s="9">
        <v>20969</v>
      </c>
      <c r="E38" s="9">
        <v>787812</v>
      </c>
      <c r="F38" s="9">
        <v>318078</v>
      </c>
      <c r="G38" s="9">
        <v>14421</v>
      </c>
      <c r="H38" s="9">
        <v>320006</v>
      </c>
      <c r="I38" s="9">
        <v>3973018</v>
      </c>
      <c r="J38" s="9">
        <v>1111291</v>
      </c>
      <c r="K38" s="9">
        <v>49600</v>
      </c>
      <c r="L38" s="9">
        <v>49729</v>
      </c>
      <c r="M38" t="s">
        <v>107</v>
      </c>
      <c r="N38" t="s">
        <v>107</v>
      </c>
      <c r="P38" t="s">
        <v>93</v>
      </c>
      <c r="Q38" s="7">
        <v>122.29</v>
      </c>
      <c r="R38" s="17">
        <f t="shared" si="0"/>
        <v>98.49999808556943</v>
      </c>
      <c r="S38" s="12">
        <f t="shared" si="1"/>
        <v>26.997731759974371</v>
      </c>
      <c r="T38" s="19">
        <f t="shared" si="2"/>
        <v>2.2815710623638408</v>
      </c>
      <c r="U38" s="19">
        <f t="shared" si="3"/>
        <v>2.6118330985983627</v>
      </c>
      <c r="V38" s="19">
        <f t="shared" si="7"/>
        <v>4.5213305154969756</v>
      </c>
      <c r="W38" s="25">
        <v>311.10536406758331</v>
      </c>
      <c r="X38" s="19">
        <v>-4.3181022837026619</v>
      </c>
      <c r="Y38" s="19">
        <f t="shared" si="4"/>
        <v>3.1257193795241642</v>
      </c>
      <c r="Z38" s="16" t="e">
        <f t="shared" si="5"/>
        <v>#VALUE!</v>
      </c>
      <c r="AA38" s="16" t="e">
        <f t="shared" si="6"/>
        <v>#VALUE!</v>
      </c>
    </row>
    <row r="39" spans="1:27" x14ac:dyDescent="0.2">
      <c r="B39" t="s">
        <v>94</v>
      </c>
      <c r="C39" s="9">
        <v>3064394</v>
      </c>
      <c r="D39" s="9">
        <v>20378</v>
      </c>
      <c r="E39" s="9">
        <v>735530</v>
      </c>
      <c r="F39" s="9">
        <v>271096</v>
      </c>
      <c r="G39" s="9">
        <v>5740</v>
      </c>
      <c r="H39" s="9">
        <v>344672</v>
      </c>
      <c r="I39" s="9">
        <v>3397890</v>
      </c>
      <c r="J39" s="9">
        <v>940976</v>
      </c>
      <c r="K39" s="9">
        <v>10168</v>
      </c>
      <c r="L39" s="9">
        <v>58697</v>
      </c>
      <c r="M39" t="s">
        <v>107</v>
      </c>
      <c r="N39" t="s">
        <v>107</v>
      </c>
      <c r="P39" t="s">
        <v>94</v>
      </c>
      <c r="Q39" s="7">
        <v>122.29</v>
      </c>
      <c r="R39" s="17">
        <f t="shared" si="0"/>
        <v>95.565818575853413</v>
      </c>
      <c r="S39" s="12">
        <f t="shared" si="1"/>
        <v>27.889065383339243</v>
      </c>
      <c r="T39" s="19">
        <f t="shared" si="2"/>
        <v>2.1973922581176932</v>
      </c>
      <c r="U39" s="19">
        <f t="shared" si="3"/>
        <v>2.44471899501093</v>
      </c>
      <c r="V39" s="19">
        <f t="shared" si="7"/>
        <v>4.8533407613807897</v>
      </c>
      <c r="W39" s="25">
        <v>293.82913009116834</v>
      </c>
      <c r="X39" s="19">
        <v>-6.7195508121636323</v>
      </c>
      <c r="Y39" s="19">
        <f t="shared" si="4"/>
        <v>3.1952280261683885</v>
      </c>
      <c r="Z39" s="16" t="e">
        <f t="shared" si="5"/>
        <v>#VALUE!</v>
      </c>
      <c r="AA39" s="16" t="e">
        <f t="shared" si="6"/>
        <v>#VALUE!</v>
      </c>
    </row>
    <row r="40" spans="1:27" x14ac:dyDescent="0.2">
      <c r="A40" t="s">
        <v>128</v>
      </c>
      <c r="B40" t="s">
        <v>95</v>
      </c>
      <c r="C40" s="9">
        <v>1054702</v>
      </c>
      <c r="D40" t="s">
        <v>107</v>
      </c>
      <c r="E40" s="9">
        <v>91582</v>
      </c>
      <c r="F40" s="9">
        <v>342176</v>
      </c>
      <c r="G40" s="9">
        <v>159511</v>
      </c>
      <c r="H40" s="9">
        <v>6095801</v>
      </c>
      <c r="I40" s="9">
        <v>8690397</v>
      </c>
      <c r="J40" s="9">
        <v>1955692</v>
      </c>
      <c r="K40" s="9">
        <v>155549</v>
      </c>
      <c r="L40" s="9">
        <v>80156</v>
      </c>
      <c r="M40" t="s">
        <v>107</v>
      </c>
      <c r="N40" t="s">
        <v>107</v>
      </c>
      <c r="P40" t="s">
        <v>95</v>
      </c>
      <c r="Q40" s="7">
        <v>122.29</v>
      </c>
      <c r="R40" s="17" t="e">
        <f t="shared" si="0"/>
        <v>#VALUE!</v>
      </c>
      <c r="S40" s="12">
        <f t="shared" si="1"/>
        <v>10.927317010704359</v>
      </c>
      <c r="T40" s="19">
        <f t="shared" si="2"/>
        <v>2.3247480413073434</v>
      </c>
      <c r="U40" s="19">
        <f t="shared" si="3"/>
        <v>11.871062444315951</v>
      </c>
      <c r="V40" s="19">
        <f t="shared" si="7"/>
        <v>82.264909455110455</v>
      </c>
      <c r="W40" s="25">
        <v>2140.2193186200784</v>
      </c>
      <c r="X40" s="19">
        <v>23.953503978556494</v>
      </c>
      <c r="Y40" s="19">
        <f t="shared" si="4"/>
        <v>3.3615511805326177</v>
      </c>
      <c r="Z40" s="16" t="e">
        <f t="shared" si="5"/>
        <v>#VALUE!</v>
      </c>
      <c r="AA40" s="16" t="e">
        <f t="shared" si="6"/>
        <v>#VALUE!</v>
      </c>
    </row>
    <row r="41" spans="1:27" x14ac:dyDescent="0.2">
      <c r="B41" t="s">
        <v>96</v>
      </c>
      <c r="C41" s="9">
        <v>3708408</v>
      </c>
      <c r="D41" s="9">
        <v>5276</v>
      </c>
      <c r="E41" s="9">
        <v>698801</v>
      </c>
      <c r="F41" s="9">
        <v>117239</v>
      </c>
      <c r="G41" s="9">
        <v>9998</v>
      </c>
      <c r="H41" s="9">
        <v>1170215</v>
      </c>
      <c r="I41" s="9">
        <v>78191</v>
      </c>
      <c r="J41" s="9">
        <v>22863</v>
      </c>
      <c r="K41" s="9">
        <v>92786</v>
      </c>
      <c r="L41" s="9">
        <v>8190</v>
      </c>
      <c r="M41" t="s">
        <v>107</v>
      </c>
      <c r="N41" t="s">
        <v>107</v>
      </c>
      <c r="P41" t="s">
        <v>96</v>
      </c>
      <c r="Q41" s="7">
        <v>122.29</v>
      </c>
      <c r="R41" s="17">
        <f t="shared" si="0"/>
        <v>20.587850799658376</v>
      </c>
      <c r="S41" s="12">
        <f t="shared" si="1"/>
        <v>22.177183762762297</v>
      </c>
      <c r="T41" s="19">
        <f t="shared" si="2"/>
        <v>1.9217228893190157</v>
      </c>
      <c r="U41" s="19">
        <f t="shared" si="3"/>
        <v>2.5027452033098765</v>
      </c>
      <c r="V41" s="19">
        <f t="shared" si="7"/>
        <v>15.965346535225834</v>
      </c>
      <c r="W41" s="25">
        <v>-1.6276663445923483</v>
      </c>
      <c r="X41" s="19">
        <v>-2.1020340344933013</v>
      </c>
      <c r="Y41" s="19">
        <f t="shared" si="4"/>
        <v>2.8037613428432508</v>
      </c>
      <c r="Z41" s="16" t="e">
        <f t="shared" si="5"/>
        <v>#VALUE!</v>
      </c>
      <c r="AA41" s="16" t="e">
        <f t="shared" si="6"/>
        <v>#VALUE!</v>
      </c>
    </row>
    <row r="42" spans="1:27" x14ac:dyDescent="0.2">
      <c r="B42" t="s">
        <v>97</v>
      </c>
      <c r="C42" s="9">
        <v>3157900</v>
      </c>
      <c r="D42" s="9">
        <v>20551</v>
      </c>
      <c r="E42" s="9">
        <v>1050563</v>
      </c>
      <c r="F42" s="9">
        <v>1261247</v>
      </c>
      <c r="G42" s="9">
        <v>1004046</v>
      </c>
      <c r="H42" s="9">
        <v>1180429</v>
      </c>
      <c r="I42" s="9">
        <v>13224914</v>
      </c>
      <c r="J42" s="9">
        <v>3017140</v>
      </c>
      <c r="K42" s="9">
        <v>5055638</v>
      </c>
      <c r="L42" s="9">
        <v>58118</v>
      </c>
      <c r="M42" t="s">
        <v>107</v>
      </c>
      <c r="N42" t="s">
        <v>107</v>
      </c>
      <c r="P42" t="s">
        <v>97</v>
      </c>
      <c r="Q42" s="7">
        <v>122.29</v>
      </c>
      <c r="R42" s="17">
        <f t="shared" si="0"/>
        <v>96.424723914568943</v>
      </c>
      <c r="S42" s="12">
        <f t="shared" si="1"/>
        <v>38.147783421218648</v>
      </c>
      <c r="T42" s="19">
        <f t="shared" si="2"/>
        <v>3.9714701433317514</v>
      </c>
      <c r="U42" s="19">
        <f t="shared" si="3"/>
        <v>20.612123317668821</v>
      </c>
      <c r="V42" s="19">
        <f t="shared" si="7"/>
        <v>16.102829412524841</v>
      </c>
      <c r="W42" s="25">
        <v>1086.8954314508765</v>
      </c>
      <c r="X42" s="19">
        <v>333.20199257114712</v>
      </c>
      <c r="Y42" s="19">
        <f t="shared" si="4"/>
        <v>3.1907403470418267</v>
      </c>
      <c r="Z42" s="16" t="e">
        <f t="shared" si="5"/>
        <v>#VALUE!</v>
      </c>
      <c r="AA42" s="16" t="e">
        <f t="shared" si="6"/>
        <v>#VALUE!</v>
      </c>
    </row>
    <row r="43" spans="1:27" x14ac:dyDescent="0.2">
      <c r="B43" t="s">
        <v>98</v>
      </c>
      <c r="C43" s="9">
        <v>2819253</v>
      </c>
      <c r="D43" s="9">
        <v>8799</v>
      </c>
      <c r="E43" s="9">
        <v>733050</v>
      </c>
      <c r="F43" s="9">
        <v>22984684</v>
      </c>
      <c r="G43" s="9">
        <v>4289887</v>
      </c>
      <c r="H43" s="9">
        <v>3695519</v>
      </c>
      <c r="I43" s="9">
        <v>386578</v>
      </c>
      <c r="J43" s="9">
        <v>281816</v>
      </c>
      <c r="K43" s="9">
        <v>289852</v>
      </c>
      <c r="L43" s="9">
        <v>3490354</v>
      </c>
      <c r="M43" s="9">
        <v>29883</v>
      </c>
      <c r="N43" s="9">
        <v>344822</v>
      </c>
      <c r="P43" t="s">
        <v>98</v>
      </c>
      <c r="Q43" s="7">
        <v>122.29</v>
      </c>
      <c r="R43" s="17">
        <f t="shared" si="0"/>
        <v>38.078738130841998</v>
      </c>
      <c r="S43" s="12">
        <f t="shared" si="1"/>
        <v>30.102512031792497</v>
      </c>
      <c r="T43" s="19">
        <f t="shared" si="2"/>
        <v>42.893886191531301</v>
      </c>
      <c r="U43" s="19">
        <f t="shared" si="3"/>
        <v>63.290218134786222</v>
      </c>
      <c r="V43" s="19">
        <f t="shared" si="7"/>
        <v>49.956540971753043</v>
      </c>
      <c r="W43" s="25">
        <v>43.017436262032014</v>
      </c>
      <c r="X43" s="19">
        <v>14.449283257023319</v>
      </c>
      <c r="Y43" s="19">
        <f t="shared" si="4"/>
        <v>29.793113152972417</v>
      </c>
      <c r="Z43" s="16">
        <f t="shared" si="5"/>
        <v>32.776156288672908</v>
      </c>
      <c r="AA43" s="16">
        <f t="shared" si="6"/>
        <v>39.392197802202041</v>
      </c>
    </row>
    <row r="44" spans="1:27" x14ac:dyDescent="0.2">
      <c r="B44" t="s">
        <v>99</v>
      </c>
      <c r="C44" s="9">
        <v>1909836</v>
      </c>
      <c r="D44" s="9">
        <v>7988</v>
      </c>
      <c r="E44" s="9">
        <v>347843</v>
      </c>
      <c r="F44" s="9">
        <v>156280</v>
      </c>
      <c r="G44" s="9">
        <v>70686</v>
      </c>
      <c r="H44" s="9">
        <v>300041</v>
      </c>
      <c r="I44" s="9">
        <v>16709789</v>
      </c>
      <c r="J44" s="9">
        <v>5825012</v>
      </c>
      <c r="K44" s="9">
        <v>159423</v>
      </c>
      <c r="L44" s="9">
        <v>61853</v>
      </c>
      <c r="M44" t="s">
        <v>107</v>
      </c>
      <c r="N44" t="s">
        <v>107</v>
      </c>
      <c r="P44" t="s">
        <v>99</v>
      </c>
      <c r="Q44" s="7">
        <v>122.29</v>
      </c>
      <c r="R44" s="17">
        <f t="shared" si="0"/>
        <v>34.052309057441505</v>
      </c>
      <c r="S44" s="12">
        <f t="shared" si="1"/>
        <v>21.479134661304744</v>
      </c>
      <c r="T44" s="19">
        <f t="shared" si="2"/>
        <v>1.9916736086705511</v>
      </c>
      <c r="U44" s="19">
        <f t="shared" si="3"/>
        <v>4.8516534468083403</v>
      </c>
      <c r="V44" s="19">
        <f t="shared" si="7"/>
        <v>4.2525968513815808</v>
      </c>
      <c r="W44" s="25">
        <v>2503.0719718698806</v>
      </c>
      <c r="X44" s="19">
        <v>10.335043984839425</v>
      </c>
      <c r="Y44" s="19">
        <f t="shared" si="4"/>
        <v>3.2196893652416678</v>
      </c>
      <c r="Z44" s="16" t="e">
        <f t="shared" si="5"/>
        <v>#VALUE!</v>
      </c>
      <c r="AA44" s="16" t="e">
        <f t="shared" si="6"/>
        <v>#VALUE!</v>
      </c>
    </row>
    <row r="45" spans="1:27" x14ac:dyDescent="0.2">
      <c r="B45" t="s">
        <v>100</v>
      </c>
      <c r="C45" s="9">
        <v>1445613</v>
      </c>
      <c r="D45" s="9">
        <v>9773</v>
      </c>
      <c r="E45" s="9">
        <v>164395</v>
      </c>
      <c r="F45" s="9">
        <v>347906</v>
      </c>
      <c r="G45" s="9">
        <v>243610</v>
      </c>
      <c r="H45" s="9">
        <v>139717</v>
      </c>
      <c r="I45" s="9">
        <v>6179344</v>
      </c>
      <c r="J45" s="9">
        <v>8068120</v>
      </c>
      <c r="K45" s="9">
        <v>1362779</v>
      </c>
      <c r="L45" s="9">
        <v>77728</v>
      </c>
      <c r="M45" t="s">
        <v>107</v>
      </c>
      <c r="N45" t="s">
        <v>107</v>
      </c>
      <c r="P45" t="s">
        <v>100</v>
      </c>
      <c r="Q45" s="7">
        <v>122.29</v>
      </c>
      <c r="R45" s="17">
        <f t="shared" si="0"/>
        <v>42.914424835517806</v>
      </c>
      <c r="S45" s="12">
        <f t="shared" si="1"/>
        <v>13.904383812943985</v>
      </c>
      <c r="T45" s="19">
        <f t="shared" si="2"/>
        <v>2.3350146231542297</v>
      </c>
      <c r="U45" s="19">
        <f t="shared" si="3"/>
        <v>12.847648957242281</v>
      </c>
      <c r="V45" s="19">
        <f t="shared" si="7"/>
        <v>2.0945975543299027</v>
      </c>
      <c r="W45" s="25">
        <v>2089.5224888547978</v>
      </c>
      <c r="X45" s="19">
        <v>193.14888096282971</v>
      </c>
      <c r="Y45" s="19">
        <f t="shared" si="4"/>
        <v>3.3427323810174325</v>
      </c>
      <c r="Z45" s="16" t="e">
        <f t="shared" si="5"/>
        <v>#VALUE!</v>
      </c>
      <c r="AA45" s="16" t="e">
        <f t="shared" si="6"/>
        <v>#VALUE!</v>
      </c>
    </row>
    <row r="46" spans="1:27" x14ac:dyDescent="0.2">
      <c r="B46" t="s">
        <v>101</v>
      </c>
      <c r="C46" s="9">
        <v>1071786</v>
      </c>
      <c r="D46" t="s">
        <v>107</v>
      </c>
      <c r="E46" s="9">
        <v>167009</v>
      </c>
      <c r="F46" s="9">
        <v>92410</v>
      </c>
      <c r="G46" s="9">
        <v>39431</v>
      </c>
      <c r="H46" s="9">
        <v>206891</v>
      </c>
      <c r="I46" s="9">
        <v>13161625</v>
      </c>
      <c r="J46" s="9">
        <v>4006566</v>
      </c>
      <c r="K46" s="9">
        <v>243436</v>
      </c>
      <c r="L46" s="9">
        <v>55007</v>
      </c>
      <c r="M46" t="s">
        <v>107</v>
      </c>
      <c r="N46" t="s">
        <v>107</v>
      </c>
      <c r="P46" t="s">
        <v>101</v>
      </c>
      <c r="Q46" s="7">
        <v>122.29</v>
      </c>
      <c r="R46" s="17" t="e">
        <f t="shared" si="0"/>
        <v>#VALUE!</v>
      </c>
      <c r="S46" s="12">
        <f t="shared" si="1"/>
        <v>18.566121000248437</v>
      </c>
      <c r="T46" s="19">
        <f t="shared" si="2"/>
        <v>1.8772361597070881</v>
      </c>
      <c r="U46" s="19">
        <f t="shared" si="3"/>
        <v>4.836905969139127</v>
      </c>
      <c r="V46" s="19">
        <f t="shared" si="7"/>
        <v>2.9987756236155327</v>
      </c>
      <c r="W46" s="25">
        <v>3400.7236655412034</v>
      </c>
      <c r="X46" s="19">
        <v>40.900247314375349</v>
      </c>
      <c r="Y46" s="19">
        <f t="shared" si="4"/>
        <v>3.1666277913203524</v>
      </c>
      <c r="Z46" s="16" t="e">
        <f t="shared" si="5"/>
        <v>#VALUE!</v>
      </c>
      <c r="AA46" s="16" t="e">
        <f t="shared" si="6"/>
        <v>#VALUE!</v>
      </c>
    </row>
    <row r="47" spans="1:27" x14ac:dyDescent="0.2">
      <c r="B47" t="s">
        <v>102</v>
      </c>
      <c r="C47" s="9">
        <v>1020023</v>
      </c>
      <c r="D47" s="9">
        <v>10830</v>
      </c>
      <c r="E47" s="9">
        <v>82359</v>
      </c>
      <c r="F47" s="9">
        <v>148697</v>
      </c>
      <c r="G47" s="9">
        <v>29273</v>
      </c>
      <c r="H47" s="9">
        <v>145816</v>
      </c>
      <c r="I47" s="9">
        <v>1909434</v>
      </c>
      <c r="J47" s="9">
        <v>1123457</v>
      </c>
      <c r="K47" s="9">
        <v>133159</v>
      </c>
      <c r="L47" s="9">
        <v>43786</v>
      </c>
      <c r="M47" t="s">
        <v>107</v>
      </c>
      <c r="N47" t="s">
        <v>107</v>
      </c>
      <c r="P47" t="s">
        <v>102</v>
      </c>
      <c r="Q47" s="7">
        <v>122.29</v>
      </c>
      <c r="R47" s="17">
        <f t="shared" si="0"/>
        <v>48.162187511947302</v>
      </c>
      <c r="S47" s="12">
        <f t="shared" si="1"/>
        <v>10.2530420361543</v>
      </c>
      <c r="T47" s="19">
        <f t="shared" si="2"/>
        <v>1.978086961175797</v>
      </c>
      <c r="U47" s="19">
        <f t="shared" si="3"/>
        <v>4.2947456054788509</v>
      </c>
      <c r="V47" s="19">
        <f t="shared" si="7"/>
        <v>2.1766915496937798</v>
      </c>
      <c r="W47" s="25">
        <v>625.20329846129255</v>
      </c>
      <c r="X47" s="19">
        <v>20.350020330163183</v>
      </c>
      <c r="Y47" s="19">
        <f t="shared" si="4"/>
        <v>3.0796567248624083</v>
      </c>
      <c r="Z47" s="16" t="e">
        <f t="shared" si="5"/>
        <v>#VALUE!</v>
      </c>
      <c r="AA47" s="16" t="e">
        <f t="shared" si="6"/>
        <v>#VALUE!</v>
      </c>
    </row>
    <row r="48" spans="1:27" x14ac:dyDescent="0.2">
      <c r="B48" t="s">
        <v>103</v>
      </c>
      <c r="C48" s="9">
        <v>4459377</v>
      </c>
      <c r="D48" s="9">
        <v>24971</v>
      </c>
      <c r="E48" s="9">
        <v>803950</v>
      </c>
      <c r="F48" s="9">
        <v>60596</v>
      </c>
      <c r="G48" t="s">
        <v>107</v>
      </c>
      <c r="H48" s="9">
        <v>2587226</v>
      </c>
      <c r="I48" s="9">
        <v>56633</v>
      </c>
      <c r="J48" s="9">
        <v>18867</v>
      </c>
      <c r="K48" s="9">
        <v>30582</v>
      </c>
      <c r="L48" s="9">
        <v>15794</v>
      </c>
      <c r="M48" t="s">
        <v>107</v>
      </c>
      <c r="N48" t="s">
        <v>107</v>
      </c>
      <c r="P48" t="s">
        <v>103</v>
      </c>
      <c r="Q48" s="7">
        <v>122.29</v>
      </c>
      <c r="R48" s="17">
        <f t="shared" si="0"/>
        <v>118.36901060313879</v>
      </c>
      <c r="S48" s="12">
        <f t="shared" si="1"/>
        <v>21.274369999924971</v>
      </c>
      <c r="T48" s="19">
        <f t="shared" si="2"/>
        <v>1.8202342338996098</v>
      </c>
      <c r="U48" s="19" t="e">
        <f t="shared" si="3"/>
        <v>#VALUE!</v>
      </c>
      <c r="V48" s="19">
        <f t="shared" si="7"/>
        <v>35.038652727152765</v>
      </c>
      <c r="W48" s="25">
        <v>-3.8232731717476476</v>
      </c>
      <c r="X48" s="19">
        <v>-5.9664024197560011</v>
      </c>
      <c r="Y48" s="19">
        <f t="shared" si="4"/>
        <v>2.8626979785571987</v>
      </c>
      <c r="Z48" s="16" t="e">
        <f t="shared" si="5"/>
        <v>#VALUE!</v>
      </c>
      <c r="AA48" s="16" t="e">
        <f t="shared" si="6"/>
        <v>#VALUE!</v>
      </c>
    </row>
    <row r="49" spans="1:27" x14ac:dyDescent="0.2">
      <c r="B49" t="s">
        <v>104</v>
      </c>
      <c r="C49" s="9">
        <v>2552833</v>
      </c>
      <c r="D49" s="9">
        <v>31533</v>
      </c>
      <c r="E49" s="9">
        <v>313074</v>
      </c>
      <c r="F49" s="9">
        <v>87445</v>
      </c>
      <c r="G49" s="9">
        <v>5584</v>
      </c>
      <c r="H49" s="9">
        <v>2679132</v>
      </c>
      <c r="I49" s="9">
        <v>82858</v>
      </c>
      <c r="J49" s="9">
        <v>23304</v>
      </c>
      <c r="K49" s="9">
        <v>32002</v>
      </c>
      <c r="L49" s="9">
        <v>20185</v>
      </c>
      <c r="M49" t="s">
        <v>107</v>
      </c>
      <c r="N49" t="s">
        <v>107</v>
      </c>
      <c r="P49" t="s">
        <v>104</v>
      </c>
      <c r="Q49" s="7">
        <v>122.29</v>
      </c>
      <c r="R49" s="17">
        <f t="shared" si="0"/>
        <v>150.94783622540024</v>
      </c>
      <c r="S49" s="12">
        <f t="shared" si="1"/>
        <v>14.891794705054613</v>
      </c>
      <c r="T49" s="19">
        <f t="shared" si="2"/>
        <v>1.8683402471643669</v>
      </c>
      <c r="U49" s="19">
        <f t="shared" si="3"/>
        <v>2.4668875949988762</v>
      </c>
      <c r="V49" s="19">
        <f t="shared" si="7"/>
        <v>36.27572941807135</v>
      </c>
      <c r="W49" s="25">
        <v>1.4225437619987154</v>
      </c>
      <c r="X49" s="19">
        <v>-4.7583240833540037</v>
      </c>
      <c r="Y49" s="19">
        <f t="shared" si="4"/>
        <v>2.8967314829522461</v>
      </c>
      <c r="Z49" s="16" t="e">
        <f t="shared" si="5"/>
        <v>#VALUE!</v>
      </c>
      <c r="AA49" s="16" t="e">
        <f t="shared" si="6"/>
        <v>#VALUE!</v>
      </c>
    </row>
    <row r="50" spans="1:27" x14ac:dyDescent="0.2">
      <c r="B50" t="s">
        <v>105</v>
      </c>
      <c r="C50" s="9">
        <v>2797128</v>
      </c>
      <c r="D50" s="9">
        <v>44287</v>
      </c>
      <c r="E50" s="9">
        <v>1350686</v>
      </c>
      <c r="F50" s="9">
        <v>1169686</v>
      </c>
      <c r="G50" s="9">
        <v>1231373</v>
      </c>
      <c r="H50" s="9">
        <v>4826387</v>
      </c>
      <c r="I50" s="9">
        <v>7824745</v>
      </c>
      <c r="J50" s="9">
        <v>1385621</v>
      </c>
      <c r="K50" s="9">
        <v>2197526</v>
      </c>
      <c r="L50" s="9">
        <v>58719</v>
      </c>
      <c r="M50" t="s">
        <v>107</v>
      </c>
      <c r="N50" t="s">
        <v>107</v>
      </c>
      <c r="P50" t="s">
        <v>105</v>
      </c>
      <c r="Q50" s="7">
        <v>122.29</v>
      </c>
      <c r="R50" s="17">
        <f t="shared" si="0"/>
        <v>214.26852229463552</v>
      </c>
      <c r="S50" s="12">
        <f t="shared" si="1"/>
        <v>54.778796967968745</v>
      </c>
      <c r="T50" s="19">
        <f t="shared" si="2"/>
        <v>3.8074180490066598</v>
      </c>
      <c r="U50" s="19">
        <f t="shared" si="3"/>
        <v>26.265792243086523</v>
      </c>
      <c r="V50" s="19">
        <f t="shared" si="7"/>
        <v>65.17829410327569</v>
      </c>
      <c r="W50" s="25">
        <v>693.16891368270933</v>
      </c>
      <c r="X50" s="19">
        <v>159.73118147264361</v>
      </c>
      <c r="Y50" s="19">
        <f t="shared" si="4"/>
        <v>3.1953985424737157</v>
      </c>
      <c r="Z50" s="16" t="e">
        <f t="shared" si="5"/>
        <v>#VALUE!</v>
      </c>
      <c r="AA50" s="16" t="e">
        <f t="shared" si="6"/>
        <v>#VALUE!</v>
      </c>
    </row>
    <row r="51" spans="1:27" x14ac:dyDescent="0.2">
      <c r="B51" t="s">
        <v>106</v>
      </c>
      <c r="C51" s="9">
        <v>2412962</v>
      </c>
      <c r="D51" t="s">
        <v>107</v>
      </c>
      <c r="E51" s="9">
        <v>488579</v>
      </c>
      <c r="F51" s="9">
        <v>11910310</v>
      </c>
      <c r="G51" s="9">
        <v>1855583</v>
      </c>
      <c r="H51" s="9">
        <v>4523741</v>
      </c>
      <c r="I51" s="9">
        <v>350588</v>
      </c>
      <c r="J51" s="9">
        <v>254788</v>
      </c>
      <c r="K51" s="9">
        <v>279556</v>
      </c>
      <c r="L51" s="9">
        <v>3580793</v>
      </c>
      <c r="M51" s="9">
        <v>24877</v>
      </c>
      <c r="N51" s="9">
        <v>349466</v>
      </c>
      <c r="P51" t="s">
        <v>106</v>
      </c>
      <c r="Q51" s="7">
        <v>122.29</v>
      </c>
      <c r="R51" s="17" t="e">
        <f t="shared" si="0"/>
        <v>#VALUE!</v>
      </c>
      <c r="S51" s="12">
        <f t="shared" si="1"/>
        <v>23.732170751383112</v>
      </c>
      <c r="T51" s="19">
        <f t="shared" si="2"/>
        <v>23.051658080879943</v>
      </c>
      <c r="U51" s="19">
        <f t="shared" si="3"/>
        <v>39.432257077197754</v>
      </c>
      <c r="V51" s="19">
        <f t="shared" si="7"/>
        <v>61.104606724870067</v>
      </c>
      <c r="W51" s="25">
        <v>45.954257843635176</v>
      </c>
      <c r="X51" s="19">
        <v>17.224669787412509</v>
      </c>
      <c r="Y51" s="19">
        <f t="shared" si="4"/>
        <v>30.494082431948438</v>
      </c>
      <c r="Z51" s="16">
        <f t="shared" si="5"/>
        <v>32.240341668733691</v>
      </c>
      <c r="AA51" s="16">
        <f t="shared" si="6"/>
        <v>44.543616493103556</v>
      </c>
    </row>
    <row r="52" spans="1:27" x14ac:dyDescent="0.2">
      <c r="B52" t="s">
        <v>109</v>
      </c>
      <c r="C52" s="9">
        <v>2440324</v>
      </c>
      <c r="D52" s="9">
        <v>22017</v>
      </c>
      <c r="E52" s="9">
        <v>566793</v>
      </c>
      <c r="F52" s="9">
        <v>1855926</v>
      </c>
      <c r="G52" s="9">
        <v>536864</v>
      </c>
      <c r="H52" s="9">
        <v>1379645</v>
      </c>
      <c r="I52" s="9">
        <v>5558565</v>
      </c>
      <c r="J52" s="9">
        <v>2130398</v>
      </c>
      <c r="K52" s="9">
        <v>1101484</v>
      </c>
      <c r="M52" s="9">
        <v>20960</v>
      </c>
      <c r="N52" s="9">
        <v>130234</v>
      </c>
      <c r="R52" s="17"/>
    </row>
    <row r="53" spans="1:27" x14ac:dyDescent="0.2">
      <c r="B53" t="s">
        <v>110</v>
      </c>
      <c r="C53">
        <v>36.793019000000001</v>
      </c>
      <c r="D53">
        <v>60.352404</v>
      </c>
      <c r="E53">
        <v>52.145561999999998</v>
      </c>
      <c r="F53">
        <v>279.46352999999999</v>
      </c>
      <c r="G53">
        <v>191.152772</v>
      </c>
      <c r="H53">
        <v>117.489563</v>
      </c>
      <c r="I53">
        <v>123.32035399999999</v>
      </c>
      <c r="J53">
        <v>119.871776</v>
      </c>
      <c r="K53">
        <v>238.990184</v>
      </c>
      <c r="M53">
        <v>36.952021000000002</v>
      </c>
      <c r="N53">
        <v>118.56319499999999</v>
      </c>
    </row>
    <row r="54" spans="1:27" x14ac:dyDescent="0.2">
      <c r="B54" t="s">
        <v>111</v>
      </c>
      <c r="C54" s="9">
        <v>4459377</v>
      </c>
      <c r="D54" s="9">
        <v>59340</v>
      </c>
      <c r="E54" s="9">
        <v>1350686</v>
      </c>
      <c r="F54" s="9">
        <v>22984684</v>
      </c>
      <c r="G54" s="9">
        <v>4767954</v>
      </c>
      <c r="H54" s="9">
        <v>6095801</v>
      </c>
      <c r="I54" s="9">
        <v>35259884</v>
      </c>
      <c r="J54" s="9">
        <v>9951760</v>
      </c>
      <c r="K54" s="9">
        <v>15669132</v>
      </c>
      <c r="M54" s="9">
        <v>29883</v>
      </c>
      <c r="N54" s="9">
        <v>349466</v>
      </c>
    </row>
    <row r="55" spans="1:27" x14ac:dyDescent="0.2">
      <c r="B55" t="s">
        <v>112</v>
      </c>
      <c r="C55" s="9">
        <v>687014</v>
      </c>
      <c r="D55" s="9">
        <v>5276</v>
      </c>
      <c r="E55" s="9">
        <v>42242</v>
      </c>
      <c r="F55" s="9">
        <v>19643</v>
      </c>
      <c r="G55" s="9">
        <v>3340</v>
      </c>
      <c r="H55" s="9">
        <v>72600</v>
      </c>
      <c r="I55" s="9">
        <v>56633</v>
      </c>
      <c r="J55" s="9">
        <v>18867</v>
      </c>
      <c r="K55" s="9">
        <v>6876</v>
      </c>
      <c r="M55" s="9">
        <v>13404</v>
      </c>
      <c r="N55" s="9">
        <v>1189</v>
      </c>
    </row>
    <row r="56" spans="1:27" x14ac:dyDescent="0.2">
      <c r="B56" t="s">
        <v>113</v>
      </c>
      <c r="C56" s="10">
        <v>897868.99076399999</v>
      </c>
      <c r="D56" s="10">
        <v>13287.775148000001</v>
      </c>
      <c r="E56" s="10">
        <v>295557.50874199998</v>
      </c>
      <c r="F56" s="10">
        <v>5186637.3818399999</v>
      </c>
      <c r="G56" s="10">
        <v>1026230.21331</v>
      </c>
      <c r="H56" s="10">
        <v>1620938.339719</v>
      </c>
      <c r="I56" s="10">
        <v>6854841.8267820003</v>
      </c>
      <c r="J56" s="10">
        <v>2553745.4554320001</v>
      </c>
      <c r="K56" s="10">
        <v>2632439.689369</v>
      </c>
      <c r="M56" s="10">
        <v>7745.2360140000001</v>
      </c>
      <c r="N56" s="10">
        <v>154409.294513</v>
      </c>
    </row>
    <row r="57" spans="1:27" ht="64" x14ac:dyDescent="0.2">
      <c r="D57" t="s">
        <v>147</v>
      </c>
      <c r="E57" s="7" t="s">
        <v>141</v>
      </c>
    </row>
    <row r="58" spans="1:27" ht="80" x14ac:dyDescent="0.2">
      <c r="A58" t="s">
        <v>143</v>
      </c>
      <c r="E58" t="s">
        <v>143</v>
      </c>
      <c r="F58">
        <v>17.619019999999999</v>
      </c>
      <c r="G58">
        <v>1.626824</v>
      </c>
      <c r="H58">
        <v>3.7655599999999998</v>
      </c>
      <c r="I58">
        <v>0.42160340000000002</v>
      </c>
      <c r="J58">
        <v>0.3251772</v>
      </c>
      <c r="K58" s="13">
        <v>9.6407900000000005E-2</v>
      </c>
      <c r="L58">
        <v>2.8228119999999999</v>
      </c>
      <c r="M58" s="13">
        <v>1.6964509999999999E-2</v>
      </c>
      <c r="N58">
        <v>0.25378109999999998</v>
      </c>
      <c r="P58" t="s">
        <v>119</v>
      </c>
      <c r="R58" s="18" t="s">
        <v>147</v>
      </c>
      <c r="S58" s="7" t="s">
        <v>183</v>
      </c>
      <c r="T58" s="7" t="s">
        <v>184</v>
      </c>
      <c r="U58" s="7" t="s">
        <v>185</v>
      </c>
      <c r="V58" s="7" t="s">
        <v>186</v>
      </c>
      <c r="W58" s="7" t="s">
        <v>187</v>
      </c>
      <c r="X58" s="7" t="s">
        <v>188</v>
      </c>
      <c r="Y58" s="7" t="s">
        <v>189</v>
      </c>
    </row>
    <row r="59" spans="1:27" x14ac:dyDescent="0.2">
      <c r="A59" t="s">
        <v>144</v>
      </c>
      <c r="E59" t="s">
        <v>144</v>
      </c>
      <c r="F59">
        <f t="shared" ref="F59:N59" si="8">F58^2</f>
        <v>310.42986576039999</v>
      </c>
      <c r="G59">
        <f t="shared" si="8"/>
        <v>2.646556326976</v>
      </c>
      <c r="H59">
        <f t="shared" si="8"/>
        <v>14.179442113599999</v>
      </c>
      <c r="I59">
        <f t="shared" si="8"/>
        <v>0.17774942689156001</v>
      </c>
      <c r="J59">
        <f t="shared" si="8"/>
        <v>0.10574021139984</v>
      </c>
      <c r="K59">
        <f t="shared" si="8"/>
        <v>9.2944831824100013E-3</v>
      </c>
      <c r="L59">
        <f t="shared" si="8"/>
        <v>7.9682675873439992</v>
      </c>
      <c r="M59">
        <f t="shared" si="8"/>
        <v>2.8779459954009993E-4</v>
      </c>
      <c r="N59">
        <f t="shared" si="8"/>
        <v>6.4404846717209988E-2</v>
      </c>
      <c r="P59" t="s">
        <v>120</v>
      </c>
      <c r="R59" s="16" t="s">
        <v>133</v>
      </c>
      <c r="S59" t="s">
        <v>133</v>
      </c>
      <c r="T59" t="s">
        <v>133</v>
      </c>
      <c r="U59" t="s">
        <v>174</v>
      </c>
      <c r="V59" t="s">
        <v>133</v>
      </c>
      <c r="W59" t="s">
        <v>133</v>
      </c>
      <c r="X59" t="s">
        <v>133</v>
      </c>
      <c r="Y59" t="s">
        <v>133</v>
      </c>
      <c r="Z59" s="16" t="s">
        <v>133</v>
      </c>
      <c r="AA59" s="16" t="s">
        <v>133</v>
      </c>
    </row>
    <row r="60" spans="1:27" x14ac:dyDescent="0.2">
      <c r="A60" t="s">
        <v>145</v>
      </c>
      <c r="E60" t="s">
        <v>145</v>
      </c>
      <c r="F60">
        <v>31.112760000000002</v>
      </c>
      <c r="G60">
        <v>2.655967</v>
      </c>
      <c r="H60">
        <v>-0.64985979999999999</v>
      </c>
      <c r="I60" s="13">
        <v>-2.244908E-2</v>
      </c>
      <c r="J60" s="13">
        <v>-1.0441829999999999E-2</v>
      </c>
      <c r="K60" s="13">
        <v>-5.6799340000000002E-3</v>
      </c>
      <c r="L60">
        <v>5.8824500000000004</v>
      </c>
      <c r="M60" s="13">
        <v>9.2532240000000002E-2</v>
      </c>
      <c r="N60">
        <v>0.40910760000000002</v>
      </c>
      <c r="P60" t="s">
        <v>48</v>
      </c>
      <c r="R60" s="16">
        <v>0.99799000000000004</v>
      </c>
      <c r="S60">
        <v>0.99906329999999999</v>
      </c>
      <c r="T60">
        <v>0.98649500000000001</v>
      </c>
      <c r="U60">
        <v>0.99296200000000001</v>
      </c>
      <c r="V60">
        <v>0.9985946</v>
      </c>
      <c r="W60">
        <v>0.99552280000000004</v>
      </c>
      <c r="X60">
        <v>0.99542580000000003</v>
      </c>
      <c r="Y60">
        <v>0.99206450000000002</v>
      </c>
      <c r="Z60" s="16">
        <v>0.99998089999999995</v>
      </c>
      <c r="AA60" s="16">
        <v>0.9999614</v>
      </c>
    </row>
    <row r="61" spans="1:27" x14ac:dyDescent="0.2">
      <c r="A61" t="s">
        <v>146</v>
      </c>
      <c r="E61" t="s">
        <v>146</v>
      </c>
      <c r="F61">
        <v>-0.1097424</v>
      </c>
      <c r="G61" s="5">
        <f>-0.03171042</f>
        <v>-3.1710420000000003E-2</v>
      </c>
      <c r="H61" s="14">
        <v>-1.9071470000000001E-3</v>
      </c>
      <c r="I61" s="13">
        <v>7.8737080000000001E-3</v>
      </c>
      <c r="J61" s="13">
        <v>5.460024E-3</v>
      </c>
      <c r="K61" s="13">
        <v>7.5521300000000002E-4</v>
      </c>
      <c r="L61" s="13">
        <v>-4.6759150000000001E-3</v>
      </c>
      <c r="M61" s="13">
        <v>-5.9423410000000005E-4</v>
      </c>
      <c r="N61" s="13">
        <v>-1.8884030000000001E-3</v>
      </c>
      <c r="P61" t="s">
        <v>110</v>
      </c>
      <c r="R61" s="16">
        <v>9.0359300000000005</v>
      </c>
      <c r="S61">
        <v>18.892230000000001</v>
      </c>
      <c r="T61">
        <v>36.011679999999998</v>
      </c>
      <c r="U61">
        <v>36.683630000000001</v>
      </c>
      <c r="V61">
        <v>12.839499999999999</v>
      </c>
      <c r="W61">
        <v>24.748699999999999</v>
      </c>
      <c r="X61">
        <v>30.815059999999999</v>
      </c>
      <c r="Y61">
        <v>51.404559999999996</v>
      </c>
      <c r="Z61" s="16">
        <v>120.0836</v>
      </c>
      <c r="AA61" s="16">
        <v>123.7475</v>
      </c>
    </row>
    <row r="62" spans="1:27" x14ac:dyDescent="0.2">
      <c r="E62" t="s">
        <v>183</v>
      </c>
      <c r="P62" t="s">
        <v>125</v>
      </c>
      <c r="R62" s="16">
        <v>10</v>
      </c>
      <c r="S62">
        <v>0.25</v>
      </c>
      <c r="T62">
        <v>0.25</v>
      </c>
      <c r="U62">
        <v>1</v>
      </c>
      <c r="V62">
        <v>0.25</v>
      </c>
      <c r="W62">
        <v>0.25</v>
      </c>
      <c r="X62">
        <v>0.25</v>
      </c>
      <c r="Y62">
        <v>0.25</v>
      </c>
      <c r="Z62" s="16">
        <v>2.5</v>
      </c>
      <c r="AA62" s="16">
        <v>0.25</v>
      </c>
    </row>
    <row r="63" spans="1:27" x14ac:dyDescent="0.2">
      <c r="P63" t="s">
        <v>126</v>
      </c>
      <c r="R63" s="16">
        <v>250</v>
      </c>
      <c r="S63">
        <v>500</v>
      </c>
      <c r="T63">
        <v>50</v>
      </c>
      <c r="U63">
        <v>100</v>
      </c>
      <c r="V63">
        <v>100</v>
      </c>
      <c r="W63">
        <v>500</v>
      </c>
      <c r="X63">
        <v>500</v>
      </c>
      <c r="Y63">
        <v>100</v>
      </c>
      <c r="Z63" s="16">
        <v>250</v>
      </c>
      <c r="AA63" s="16">
        <v>500</v>
      </c>
    </row>
    <row r="64" spans="1:27" x14ac:dyDescent="0.2">
      <c r="I64" s="13">
        <f>$I$59-I65</f>
        <v>-1.1361831052854321E-3</v>
      </c>
      <c r="K64" s="11"/>
    </row>
    <row r="65" spans="1:12" x14ac:dyDescent="0.2">
      <c r="G65">
        <f>(I50/C50)</f>
        <v>2.7974211405412981</v>
      </c>
      <c r="I65" s="13">
        <f>4*$I$60*($I$61-2)</f>
        <v>0.17888560999684544</v>
      </c>
    </row>
    <row r="66" spans="1:12" ht="64" x14ac:dyDescent="0.2">
      <c r="A66" s="7" t="s">
        <v>136</v>
      </c>
      <c r="B66" s="7" t="s">
        <v>140</v>
      </c>
      <c r="C66" s="7" t="s">
        <v>13</v>
      </c>
      <c r="D66" s="7" t="s">
        <v>209</v>
      </c>
      <c r="E66" s="7" t="s">
        <v>208</v>
      </c>
      <c r="F66" s="7" t="s">
        <v>17</v>
      </c>
      <c r="G66" s="7" t="s">
        <v>210</v>
      </c>
      <c r="H66" s="7" t="s">
        <v>211</v>
      </c>
      <c r="K66" s="11"/>
      <c r="L66" s="8"/>
    </row>
    <row r="67" spans="1:12" x14ac:dyDescent="0.2">
      <c r="A67" s="9">
        <v>2291985</v>
      </c>
      <c r="B67" s="9">
        <v>14517101</v>
      </c>
      <c r="C67" s="9">
        <v>2435444</v>
      </c>
      <c r="D67">
        <f>(B67+C67)/A67</f>
        <v>7.3964467481244425</v>
      </c>
      <c r="E67" s="25">
        <f>(D67-$B$120)/$B$119</f>
        <v>1566.2865421541364</v>
      </c>
      <c r="F67" s="9">
        <v>4343773</v>
      </c>
      <c r="G67">
        <f>F67/A67</f>
        <v>1.8952013211255745</v>
      </c>
      <c r="H67" s="25">
        <f>(G67-$B$120)/$B$119</f>
        <v>395.80879172884562</v>
      </c>
      <c r="J67" s="30" t="s">
        <v>366</v>
      </c>
      <c r="K67" t="s">
        <v>366</v>
      </c>
      <c r="L67" t="s">
        <v>366</v>
      </c>
    </row>
    <row r="68" spans="1:12" x14ac:dyDescent="0.2">
      <c r="A68" s="9">
        <v>2766087</v>
      </c>
      <c r="B68" s="9">
        <v>350777</v>
      </c>
      <c r="C68" s="9">
        <v>250868</v>
      </c>
      <c r="D68">
        <f t="shared" ref="D68:D116" si="9">(B68+C68)/A68</f>
        <v>0.21750761997001541</v>
      </c>
      <c r="E68" s="25">
        <f t="shared" ref="E68:E116" si="10">(D68-$B$120)/$B$119</f>
        <v>38.852685100003278</v>
      </c>
      <c r="F68" s="9">
        <v>92196</v>
      </c>
      <c r="G68">
        <f t="shared" ref="G68:G116" si="11">F68/A68</f>
        <v>3.3330838834787192E-2</v>
      </c>
      <c r="H68" s="25">
        <f t="shared" ref="H68:H116" si="12">(G68-$B$120)/$B$119</f>
        <v>-0.33386407770485277</v>
      </c>
      <c r="J68" s="31" t="s">
        <v>365</v>
      </c>
      <c r="K68" t="s">
        <v>365</v>
      </c>
      <c r="L68" t="s">
        <v>365</v>
      </c>
    </row>
    <row r="69" spans="1:12" x14ac:dyDescent="0.2">
      <c r="A69" s="9">
        <v>1970242</v>
      </c>
      <c r="B69" s="9">
        <v>5044493</v>
      </c>
      <c r="C69" s="9">
        <v>1078474</v>
      </c>
      <c r="D69">
        <f t="shared" si="9"/>
        <v>3.1077233152069645</v>
      </c>
      <c r="E69" s="25">
        <f t="shared" si="10"/>
        <v>653.79219472488603</v>
      </c>
      <c r="F69" s="9">
        <v>101525</v>
      </c>
      <c r="G69">
        <f t="shared" si="11"/>
        <v>5.1529203011609744E-2</v>
      </c>
      <c r="H69" s="25">
        <f t="shared" si="12"/>
        <v>3.5381283003424984</v>
      </c>
      <c r="J69" s="30" t="s">
        <v>364</v>
      </c>
      <c r="K69" t="s">
        <v>364</v>
      </c>
      <c r="L69" t="s">
        <v>364</v>
      </c>
    </row>
    <row r="70" spans="1:12" x14ac:dyDescent="0.2">
      <c r="A70" s="9">
        <v>1741482</v>
      </c>
      <c r="B70" s="9">
        <v>3453740</v>
      </c>
      <c r="C70" s="9">
        <v>4020732</v>
      </c>
      <c r="D70">
        <f t="shared" si="9"/>
        <v>4.2920179479317042</v>
      </c>
      <c r="E70" s="25">
        <f t="shared" si="10"/>
        <v>905.7697761556816</v>
      </c>
      <c r="F70" s="9">
        <v>1546621</v>
      </c>
      <c r="G70">
        <f t="shared" si="11"/>
        <v>0.88810622217169055</v>
      </c>
      <c r="H70" s="25">
        <f t="shared" si="12"/>
        <v>181.53323875993414</v>
      </c>
      <c r="J70" s="31" t="s">
        <v>321</v>
      </c>
      <c r="K70" t="s">
        <v>321</v>
      </c>
      <c r="L70" t="s">
        <v>321</v>
      </c>
    </row>
    <row r="71" spans="1:12" x14ac:dyDescent="0.2">
      <c r="A71" s="9">
        <v>1756971</v>
      </c>
      <c r="B71" s="9">
        <v>6019549</v>
      </c>
      <c r="C71" s="9">
        <v>2481486</v>
      </c>
      <c r="D71">
        <f t="shared" si="9"/>
        <v>4.8384606234252017</v>
      </c>
      <c r="E71" s="25">
        <f t="shared" si="10"/>
        <v>1022.0341751968513</v>
      </c>
      <c r="F71" s="9">
        <v>101108</v>
      </c>
      <c r="G71">
        <f t="shared" si="11"/>
        <v>5.7546766565868192E-2</v>
      </c>
      <c r="H71" s="25">
        <f t="shared" si="12"/>
        <v>4.8184609714613167</v>
      </c>
      <c r="J71" s="30" t="s">
        <v>363</v>
      </c>
      <c r="K71" t="s">
        <v>363</v>
      </c>
      <c r="L71" t="s">
        <v>363</v>
      </c>
    </row>
    <row r="72" spans="1:12" x14ac:dyDescent="0.2">
      <c r="A72" s="9">
        <v>687014</v>
      </c>
      <c r="B72" s="9">
        <v>1462538</v>
      </c>
      <c r="C72" s="9">
        <v>604784</v>
      </c>
      <c r="D72">
        <f t="shared" si="9"/>
        <v>3.009141007315717</v>
      </c>
      <c r="E72" s="25">
        <f t="shared" si="10"/>
        <v>632.81723559908869</v>
      </c>
      <c r="F72" s="9">
        <v>504709</v>
      </c>
      <c r="G72">
        <f t="shared" si="11"/>
        <v>0.73464150657774074</v>
      </c>
      <c r="H72" s="25">
        <f t="shared" si="12"/>
        <v>148.88117161228524</v>
      </c>
      <c r="J72" s="31" t="s">
        <v>362</v>
      </c>
      <c r="K72" t="s">
        <v>362</v>
      </c>
      <c r="L72" t="s">
        <v>362</v>
      </c>
    </row>
    <row r="73" spans="1:12" x14ac:dyDescent="0.2">
      <c r="A73" s="9">
        <v>3620153</v>
      </c>
      <c r="B73" s="9">
        <v>415442</v>
      </c>
      <c r="C73" s="9">
        <v>128898</v>
      </c>
      <c r="D73">
        <f t="shared" si="9"/>
        <v>0.15036381059032589</v>
      </c>
      <c r="E73" s="25">
        <f t="shared" si="10"/>
        <v>24.566768210707636</v>
      </c>
      <c r="F73" s="9">
        <v>332086</v>
      </c>
      <c r="G73">
        <f t="shared" si="11"/>
        <v>9.1732586992870194E-2</v>
      </c>
      <c r="H73" s="25">
        <f t="shared" si="12"/>
        <v>12.092039785717063</v>
      </c>
      <c r="J73" s="30" t="s">
        <v>361</v>
      </c>
      <c r="K73" t="s">
        <v>361</v>
      </c>
      <c r="L73" t="s">
        <v>361</v>
      </c>
    </row>
    <row r="74" spans="1:12" x14ac:dyDescent="0.2">
      <c r="A74" s="9">
        <v>3310418</v>
      </c>
      <c r="B74" s="9">
        <v>352918</v>
      </c>
      <c r="C74" s="9">
        <v>114119</v>
      </c>
      <c r="D74">
        <f t="shared" si="9"/>
        <v>0.14108097527260907</v>
      </c>
      <c r="E74" s="25">
        <f t="shared" si="10"/>
        <v>22.591696866512567</v>
      </c>
      <c r="F74" s="9">
        <v>121597</v>
      </c>
      <c r="G74">
        <f t="shared" si="11"/>
        <v>3.6731615161589869E-2</v>
      </c>
      <c r="H74" s="25">
        <f t="shared" si="12"/>
        <v>0.38970535352975916</v>
      </c>
      <c r="J74" s="31" t="s">
        <v>360</v>
      </c>
      <c r="K74" t="s">
        <v>360</v>
      </c>
      <c r="L74" t="s">
        <v>360</v>
      </c>
    </row>
    <row r="75" spans="1:12" x14ac:dyDescent="0.2">
      <c r="A75" s="9">
        <v>3243435</v>
      </c>
      <c r="B75" s="9">
        <v>5261697</v>
      </c>
      <c r="C75" s="9">
        <v>1549985</v>
      </c>
      <c r="D75">
        <f t="shared" si="9"/>
        <v>2.1001444456263192</v>
      </c>
      <c r="E75" s="25">
        <f t="shared" si="10"/>
        <v>439.41371183538706</v>
      </c>
      <c r="F75" s="9">
        <v>71354</v>
      </c>
      <c r="G75">
        <f t="shared" si="11"/>
        <v>2.1999515945286402E-2</v>
      </c>
      <c r="H75" s="25">
        <f t="shared" si="12"/>
        <v>-2.7447838414284251</v>
      </c>
      <c r="J75" s="30" t="s">
        <v>359</v>
      </c>
      <c r="K75" t="s">
        <v>359</v>
      </c>
      <c r="L75" t="s">
        <v>359</v>
      </c>
    </row>
    <row r="76" spans="1:12" x14ac:dyDescent="0.2">
      <c r="A76" s="9">
        <v>3254331</v>
      </c>
      <c r="B76" s="9">
        <v>1417549</v>
      </c>
      <c r="C76" s="9">
        <v>369990</v>
      </c>
      <c r="D76">
        <f t="shared" si="9"/>
        <v>0.5492800209935621</v>
      </c>
      <c r="E76" s="25">
        <f t="shared" si="10"/>
        <v>109.44255765820469</v>
      </c>
      <c r="F76" s="9">
        <v>92603</v>
      </c>
      <c r="G76">
        <f t="shared" si="11"/>
        <v>2.845531078430559E-2</v>
      </c>
      <c r="H76" s="25">
        <f t="shared" si="12"/>
        <v>-1.3712104714243425</v>
      </c>
      <c r="J76" s="31" t="s">
        <v>358</v>
      </c>
      <c r="K76" t="s">
        <v>358</v>
      </c>
      <c r="L76" t="s">
        <v>358</v>
      </c>
    </row>
    <row r="77" spans="1:12" x14ac:dyDescent="0.2">
      <c r="A77" s="9">
        <v>2371016</v>
      </c>
      <c r="B77" s="9">
        <v>1531268</v>
      </c>
      <c r="C77" s="9">
        <v>425660</v>
      </c>
      <c r="D77">
        <f t="shared" si="9"/>
        <v>0.82535419415136801</v>
      </c>
      <c r="E77" s="25">
        <f t="shared" si="10"/>
        <v>168.18174343646126</v>
      </c>
      <c r="F77" s="9">
        <v>43500</v>
      </c>
      <c r="G77">
        <f t="shared" si="11"/>
        <v>1.8346565354261633E-2</v>
      </c>
      <c r="H77" s="25">
        <f t="shared" si="12"/>
        <v>-3.5220073714336952</v>
      </c>
      <c r="J77" s="30" t="s">
        <v>357</v>
      </c>
      <c r="K77" t="s">
        <v>357</v>
      </c>
      <c r="L77" t="s">
        <v>357</v>
      </c>
    </row>
    <row r="78" spans="1:12" x14ac:dyDescent="0.2">
      <c r="A78" s="9">
        <v>1984116</v>
      </c>
      <c r="B78" s="9">
        <v>9524326</v>
      </c>
      <c r="C78" s="9">
        <v>9262910</v>
      </c>
      <c r="D78">
        <f t="shared" si="9"/>
        <v>9.4688193633839965</v>
      </c>
      <c r="E78" s="25">
        <f t="shared" si="10"/>
        <v>2007.2168858263822</v>
      </c>
      <c r="F78" s="9">
        <v>478049</v>
      </c>
      <c r="G78">
        <f t="shared" si="11"/>
        <v>0.24093802983293316</v>
      </c>
      <c r="H78" s="25">
        <f t="shared" si="12"/>
        <v>43.837878687858122</v>
      </c>
      <c r="J78" s="31" t="s">
        <v>356</v>
      </c>
      <c r="K78" t="s">
        <v>356</v>
      </c>
      <c r="L78" t="s">
        <v>356</v>
      </c>
    </row>
    <row r="79" spans="1:12" x14ac:dyDescent="0.2">
      <c r="A79" s="9">
        <v>2614352</v>
      </c>
      <c r="B79" s="9">
        <v>564920</v>
      </c>
      <c r="C79" s="9">
        <v>150535</v>
      </c>
      <c r="D79">
        <f t="shared" si="9"/>
        <v>0.27366437266290078</v>
      </c>
      <c r="E79" s="25">
        <f t="shared" si="10"/>
        <v>50.800930353808674</v>
      </c>
      <c r="F79" s="9">
        <v>7483</v>
      </c>
      <c r="G79">
        <f t="shared" si="11"/>
        <v>2.8622771531913072E-3</v>
      </c>
      <c r="H79" s="25">
        <f t="shared" si="12"/>
        <v>-6.8165367759167426</v>
      </c>
      <c r="J79" s="30" t="s">
        <v>355</v>
      </c>
      <c r="K79" t="s">
        <v>355</v>
      </c>
      <c r="L79" t="s">
        <v>355</v>
      </c>
    </row>
    <row r="80" spans="1:12" x14ac:dyDescent="0.2">
      <c r="A80" s="9">
        <v>2536828</v>
      </c>
      <c r="B80" s="9">
        <v>2193799</v>
      </c>
      <c r="C80" s="9">
        <v>788153</v>
      </c>
      <c r="D80">
        <f t="shared" si="9"/>
        <v>1.175464793040758</v>
      </c>
      <c r="E80" s="25">
        <f t="shared" si="10"/>
        <v>242.67336022143789</v>
      </c>
      <c r="F80" s="9">
        <v>18332</v>
      </c>
      <c r="G80">
        <f t="shared" si="11"/>
        <v>7.2263472336319213E-3</v>
      </c>
      <c r="H80" s="25">
        <f t="shared" si="12"/>
        <v>-5.8880112268868254</v>
      </c>
      <c r="J80" s="31" t="s">
        <v>354</v>
      </c>
      <c r="K80" t="s">
        <v>354</v>
      </c>
      <c r="L80" t="s">
        <v>354</v>
      </c>
    </row>
    <row r="81" spans="1:12" x14ac:dyDescent="0.2">
      <c r="A81" s="9">
        <v>806477</v>
      </c>
      <c r="B81" s="9">
        <v>804515</v>
      </c>
      <c r="C81" s="9">
        <v>242800</v>
      </c>
      <c r="D81">
        <f t="shared" si="9"/>
        <v>1.2986297191364415</v>
      </c>
      <c r="E81" s="25">
        <f t="shared" si="10"/>
        <v>268.87866364605139</v>
      </c>
      <c r="F81" s="9">
        <v>51589</v>
      </c>
      <c r="G81">
        <f t="shared" si="11"/>
        <v>6.3968346276459212E-2</v>
      </c>
      <c r="H81" s="25">
        <f t="shared" si="12"/>
        <v>6.1847545269062154</v>
      </c>
      <c r="J81" s="30" t="s">
        <v>353</v>
      </c>
      <c r="K81" t="s">
        <v>353</v>
      </c>
      <c r="L81" t="s">
        <v>353</v>
      </c>
    </row>
    <row r="82" spans="1:12" x14ac:dyDescent="0.2">
      <c r="A82" s="9">
        <v>2800212</v>
      </c>
      <c r="B82" s="9">
        <v>10246609</v>
      </c>
      <c r="C82" s="9">
        <v>2028326</v>
      </c>
      <c r="D82">
        <f t="shared" si="9"/>
        <v>4.3835734580096082</v>
      </c>
      <c r="E82" s="25">
        <f t="shared" si="10"/>
        <v>925.24967191693781</v>
      </c>
      <c r="F82" s="9">
        <v>168514</v>
      </c>
      <c r="G82">
        <f t="shared" si="11"/>
        <v>6.0179015017434397E-2</v>
      </c>
      <c r="H82" s="25">
        <f t="shared" si="12"/>
        <v>5.3785138334966796</v>
      </c>
      <c r="J82" s="31" t="s">
        <v>352</v>
      </c>
      <c r="K82" t="s">
        <v>352</v>
      </c>
      <c r="L82" t="s">
        <v>352</v>
      </c>
    </row>
    <row r="83" spans="1:12" x14ac:dyDescent="0.2">
      <c r="A83" s="9">
        <v>3709226</v>
      </c>
      <c r="B83" s="9">
        <v>443547</v>
      </c>
      <c r="C83" s="9">
        <v>284819</v>
      </c>
      <c r="D83">
        <f t="shared" si="9"/>
        <v>0.19636603431551489</v>
      </c>
      <c r="E83" s="25">
        <f t="shared" si="10"/>
        <v>34.354475386279759</v>
      </c>
      <c r="F83" s="9">
        <v>315205</v>
      </c>
      <c r="G83">
        <f t="shared" si="11"/>
        <v>8.4978645140522571E-2</v>
      </c>
      <c r="H83" s="25">
        <f t="shared" si="12"/>
        <v>10.655030880962249</v>
      </c>
      <c r="J83" s="30" t="s">
        <v>351</v>
      </c>
      <c r="K83" t="s">
        <v>351</v>
      </c>
      <c r="L83" t="s">
        <v>351</v>
      </c>
    </row>
    <row r="84" spans="1:12" x14ac:dyDescent="0.2">
      <c r="A84" s="9">
        <v>2578029</v>
      </c>
      <c r="B84" s="9">
        <v>9598343</v>
      </c>
      <c r="C84" s="9">
        <v>2197668</v>
      </c>
      <c r="D84">
        <f t="shared" si="9"/>
        <v>4.575592826923204</v>
      </c>
      <c r="E84" s="25">
        <f t="shared" si="10"/>
        <v>966.10485679217095</v>
      </c>
      <c r="F84" s="9">
        <v>6185453</v>
      </c>
      <c r="G84">
        <f t="shared" si="11"/>
        <v>2.3992953531554533</v>
      </c>
      <c r="H84" s="25">
        <f t="shared" si="12"/>
        <v>503.06284109690495</v>
      </c>
      <c r="J84" s="31" t="s">
        <v>350</v>
      </c>
      <c r="K84" t="s">
        <v>350</v>
      </c>
      <c r="L84" t="s">
        <v>350</v>
      </c>
    </row>
    <row r="85" spans="1:12" x14ac:dyDescent="0.2">
      <c r="A85" s="9">
        <v>1358980</v>
      </c>
      <c r="B85" s="9">
        <v>324890</v>
      </c>
      <c r="C85" s="9">
        <v>111871</v>
      </c>
      <c r="D85">
        <f t="shared" si="9"/>
        <v>0.32138883574445543</v>
      </c>
      <c r="E85" s="25">
        <f t="shared" si="10"/>
        <v>60.955071434990515</v>
      </c>
      <c r="F85" s="9">
        <v>6876</v>
      </c>
      <c r="G85">
        <f t="shared" si="11"/>
        <v>5.0596771107742572E-3</v>
      </c>
      <c r="H85" s="25">
        <f t="shared" si="12"/>
        <v>-6.3490048700480308</v>
      </c>
      <c r="J85" s="30" t="s">
        <v>349</v>
      </c>
      <c r="K85" t="s">
        <v>349</v>
      </c>
      <c r="L85" t="s">
        <v>349</v>
      </c>
    </row>
    <row r="86" spans="1:12" x14ac:dyDescent="0.2">
      <c r="A86" s="9">
        <v>2572775</v>
      </c>
      <c r="B86" s="9">
        <v>1325899</v>
      </c>
      <c r="C86" s="9">
        <v>384172</v>
      </c>
      <c r="D86">
        <f t="shared" si="9"/>
        <v>0.66467957749900397</v>
      </c>
      <c r="E86" s="25">
        <f t="shared" si="10"/>
        <v>133.99565478702212</v>
      </c>
      <c r="F86" s="9">
        <v>22052</v>
      </c>
      <c r="G86">
        <f t="shared" si="11"/>
        <v>8.5712897552253885E-3</v>
      </c>
      <c r="H86" s="25">
        <f t="shared" si="12"/>
        <v>-5.6018532435690664</v>
      </c>
      <c r="J86" s="31" t="s">
        <v>348</v>
      </c>
      <c r="K86" t="s">
        <v>348</v>
      </c>
      <c r="L86" t="s">
        <v>348</v>
      </c>
    </row>
    <row r="87" spans="1:12" x14ac:dyDescent="0.2">
      <c r="A87" s="9">
        <v>2264957</v>
      </c>
      <c r="B87" s="9">
        <v>6817351</v>
      </c>
      <c r="C87" s="9">
        <v>5204237</v>
      </c>
      <c r="D87">
        <f t="shared" si="9"/>
        <v>5.3076451341018833</v>
      </c>
      <c r="E87" s="25">
        <f t="shared" si="10"/>
        <v>1121.8606668301877</v>
      </c>
      <c r="F87" s="9">
        <v>962327</v>
      </c>
      <c r="G87">
        <f t="shared" si="11"/>
        <v>0.42487649875913758</v>
      </c>
      <c r="H87" s="25">
        <f t="shared" si="12"/>
        <v>82.973723140242043</v>
      </c>
      <c r="J87" s="30" t="s">
        <v>347</v>
      </c>
      <c r="K87" t="s">
        <v>347</v>
      </c>
      <c r="L87" t="s">
        <v>347</v>
      </c>
    </row>
    <row r="88" spans="1:12" x14ac:dyDescent="0.2">
      <c r="A88" s="9">
        <v>3044929</v>
      </c>
      <c r="B88" s="9">
        <v>4333836</v>
      </c>
      <c r="C88" s="9">
        <v>3993581</v>
      </c>
      <c r="D88">
        <f t="shared" si="9"/>
        <v>2.7348476762512361</v>
      </c>
      <c r="E88" s="25">
        <f t="shared" si="10"/>
        <v>574.45695239387999</v>
      </c>
      <c r="F88" s="9">
        <v>1305236</v>
      </c>
      <c r="G88">
        <f t="shared" si="11"/>
        <v>0.42865892767943031</v>
      </c>
      <c r="H88" s="25">
        <f t="shared" si="12"/>
        <v>83.778495250942626</v>
      </c>
      <c r="J88" s="31" t="s">
        <v>346</v>
      </c>
      <c r="K88" t="s">
        <v>346</v>
      </c>
      <c r="L88" t="s">
        <v>346</v>
      </c>
    </row>
    <row r="89" spans="1:12" x14ac:dyDescent="0.2">
      <c r="A89" s="9">
        <v>2547015</v>
      </c>
      <c r="B89" s="9">
        <v>4060109</v>
      </c>
      <c r="C89" s="9">
        <v>5251331</v>
      </c>
      <c r="D89">
        <f t="shared" si="9"/>
        <v>3.6558245632632711</v>
      </c>
      <c r="E89" s="25">
        <f t="shared" si="10"/>
        <v>770.40948154537682</v>
      </c>
      <c r="F89" s="9">
        <v>1124442</v>
      </c>
      <c r="G89">
        <f t="shared" si="11"/>
        <v>0.44147443183491264</v>
      </c>
      <c r="H89" s="25">
        <f t="shared" si="12"/>
        <v>86.505198262747371</v>
      </c>
      <c r="J89" s="30" t="s">
        <v>345</v>
      </c>
      <c r="K89" t="s">
        <v>345</v>
      </c>
      <c r="L89" t="s">
        <v>345</v>
      </c>
    </row>
    <row r="90" spans="1:12" x14ac:dyDescent="0.2">
      <c r="A90" s="9">
        <v>3047079</v>
      </c>
      <c r="B90" s="9">
        <v>5156237</v>
      </c>
      <c r="C90" s="9">
        <v>1443239</v>
      </c>
      <c r="D90">
        <f t="shared" si="9"/>
        <v>2.165836855559045</v>
      </c>
      <c r="E90" s="25">
        <f t="shared" si="10"/>
        <v>453.39082033171172</v>
      </c>
      <c r="F90" s="9">
        <v>54085</v>
      </c>
      <c r="G90">
        <f t="shared" si="11"/>
        <v>1.7749785942537098E-2</v>
      </c>
      <c r="H90" s="25">
        <f t="shared" si="12"/>
        <v>-3.648981714353809</v>
      </c>
      <c r="J90" s="31" t="s">
        <v>344</v>
      </c>
      <c r="K90" t="s">
        <v>344</v>
      </c>
      <c r="L90" t="s">
        <v>344</v>
      </c>
    </row>
    <row r="91" spans="1:12" x14ac:dyDescent="0.2">
      <c r="A91" s="9">
        <v>1620102</v>
      </c>
      <c r="B91" s="9">
        <v>35259884</v>
      </c>
      <c r="C91" s="9">
        <v>9951760</v>
      </c>
      <c r="D91">
        <f t="shared" si="9"/>
        <v>27.906665135898852</v>
      </c>
      <c r="E91" s="25">
        <f t="shared" si="10"/>
        <v>5930.1627948720961</v>
      </c>
      <c r="F91" s="9">
        <v>7062979</v>
      </c>
      <c r="G91">
        <f t="shared" si="11"/>
        <v>4.3595890876006571</v>
      </c>
      <c r="H91" s="25">
        <f t="shared" si="12"/>
        <v>920.14661438311839</v>
      </c>
      <c r="J91" s="30" t="s">
        <v>343</v>
      </c>
      <c r="K91" t="s">
        <v>343</v>
      </c>
      <c r="L91" t="s">
        <v>343</v>
      </c>
    </row>
    <row r="92" spans="1:12" x14ac:dyDescent="0.2">
      <c r="A92" s="9">
        <v>2693229</v>
      </c>
      <c r="B92" s="9">
        <v>334958</v>
      </c>
      <c r="C92" s="9">
        <v>241016</v>
      </c>
      <c r="D92">
        <f t="shared" si="9"/>
        <v>0.21386001710214764</v>
      </c>
      <c r="E92" s="25">
        <f t="shared" si="10"/>
        <v>38.076599383435671</v>
      </c>
      <c r="F92" s="9">
        <v>29502</v>
      </c>
      <c r="G92">
        <f t="shared" si="11"/>
        <v>1.0954137208532954E-2</v>
      </c>
      <c r="H92" s="25">
        <f t="shared" si="12"/>
        <v>-5.0948644237163929</v>
      </c>
      <c r="J92" s="31" t="s">
        <v>342</v>
      </c>
      <c r="K92" t="s">
        <v>342</v>
      </c>
      <c r="L92" t="s">
        <v>342</v>
      </c>
    </row>
    <row r="93" spans="1:12" x14ac:dyDescent="0.2">
      <c r="A93" s="9">
        <v>2455797</v>
      </c>
      <c r="B93" s="9">
        <v>2714043</v>
      </c>
      <c r="C93" s="9">
        <v>785704</v>
      </c>
      <c r="D93">
        <f t="shared" si="9"/>
        <v>1.4250962111282</v>
      </c>
      <c r="E93" s="25">
        <f t="shared" si="10"/>
        <v>295.78642789961702</v>
      </c>
      <c r="F93" s="9">
        <v>30263</v>
      </c>
      <c r="G93">
        <f t="shared" si="11"/>
        <v>1.2323086965249978E-2</v>
      </c>
      <c r="H93" s="25">
        <f t="shared" si="12"/>
        <v>-4.8035985180319196</v>
      </c>
      <c r="J93" s="30" t="s">
        <v>307</v>
      </c>
      <c r="K93" t="s">
        <v>307</v>
      </c>
      <c r="L93" t="s">
        <v>307</v>
      </c>
    </row>
    <row r="94" spans="1:12" x14ac:dyDescent="0.2">
      <c r="A94" s="9">
        <v>3647182</v>
      </c>
      <c r="B94" s="9">
        <v>3429996</v>
      </c>
      <c r="C94" s="9">
        <v>953063</v>
      </c>
      <c r="D94">
        <f t="shared" si="9"/>
        <v>1.201765911325511</v>
      </c>
      <c r="E94" s="25">
        <f t="shared" si="10"/>
        <v>248.26934283521513</v>
      </c>
      <c r="F94" s="9">
        <v>9754</v>
      </c>
      <c r="G94">
        <f t="shared" si="11"/>
        <v>2.6743935454825122E-3</v>
      </c>
      <c r="H94" s="25">
        <f t="shared" si="12"/>
        <v>-6.8565120115994658</v>
      </c>
      <c r="J94" s="31" t="s">
        <v>341</v>
      </c>
      <c r="K94" t="s">
        <v>341</v>
      </c>
      <c r="L94" t="s">
        <v>341</v>
      </c>
    </row>
    <row r="95" spans="1:12" x14ac:dyDescent="0.2">
      <c r="A95" s="9">
        <v>1302589</v>
      </c>
      <c r="B95" s="9">
        <v>4400497</v>
      </c>
      <c r="C95" s="9">
        <v>3683337</v>
      </c>
      <c r="D95">
        <f t="shared" si="9"/>
        <v>6.2059744094261502</v>
      </c>
      <c r="E95" s="25">
        <f t="shared" si="10"/>
        <v>1312.9945551970532</v>
      </c>
      <c r="F95" s="9">
        <v>2697381</v>
      </c>
      <c r="G95">
        <f t="shared" si="11"/>
        <v>2.0707844147309702</v>
      </c>
      <c r="H95" s="25">
        <f t="shared" si="12"/>
        <v>433.16689675127026</v>
      </c>
      <c r="J95" s="30" t="s">
        <v>340</v>
      </c>
      <c r="K95" t="s">
        <v>340</v>
      </c>
      <c r="L95" t="s">
        <v>340</v>
      </c>
    </row>
    <row r="96" spans="1:12" x14ac:dyDescent="0.2">
      <c r="A96" s="9">
        <v>1578818</v>
      </c>
      <c r="B96" s="9">
        <v>13397196</v>
      </c>
      <c r="C96" s="9">
        <v>3644501</v>
      </c>
      <c r="D96">
        <f t="shared" si="9"/>
        <v>10.793959151719831</v>
      </c>
      <c r="E96" s="25">
        <f t="shared" si="10"/>
        <v>2289.1615216425171</v>
      </c>
      <c r="F96" s="9">
        <v>117529</v>
      </c>
      <c r="G96">
        <f t="shared" si="11"/>
        <v>7.4441132543459729E-2</v>
      </c>
      <c r="H96" s="25">
        <f t="shared" si="12"/>
        <v>8.4130069241403671</v>
      </c>
      <c r="J96" s="31" t="s">
        <v>339</v>
      </c>
      <c r="K96" t="s">
        <v>339</v>
      </c>
      <c r="L96" t="s">
        <v>339</v>
      </c>
    </row>
    <row r="97" spans="1:12" x14ac:dyDescent="0.2">
      <c r="A97" s="9">
        <v>798747</v>
      </c>
      <c r="B97" s="9">
        <v>953830</v>
      </c>
      <c r="C97" s="9">
        <v>538416</v>
      </c>
      <c r="D97">
        <f t="shared" si="9"/>
        <v>1.8682336209087482</v>
      </c>
      <c r="E97" s="25">
        <f t="shared" si="10"/>
        <v>390.07098317207408</v>
      </c>
      <c r="F97" s="9">
        <v>33592</v>
      </c>
      <c r="G97">
        <f t="shared" si="11"/>
        <v>4.2055870006397524E-2</v>
      </c>
      <c r="H97" s="25">
        <f t="shared" si="12"/>
        <v>1.5225255332760688</v>
      </c>
      <c r="J97" s="30" t="s">
        <v>338</v>
      </c>
      <c r="K97" t="s">
        <v>338</v>
      </c>
      <c r="L97" t="s">
        <v>338</v>
      </c>
    </row>
    <row r="98" spans="1:12" x14ac:dyDescent="0.2">
      <c r="A98" s="9">
        <v>2989634</v>
      </c>
      <c r="B98" s="9">
        <v>19938167</v>
      </c>
      <c r="C98" s="9">
        <v>4593398</v>
      </c>
      <c r="D98">
        <f t="shared" si="9"/>
        <v>8.2055412134060557</v>
      </c>
      <c r="E98" s="25">
        <f t="shared" si="10"/>
        <v>1738.4343007246925</v>
      </c>
      <c r="F98" s="9">
        <v>789188</v>
      </c>
      <c r="G98">
        <f t="shared" si="11"/>
        <v>0.26397478754924514</v>
      </c>
      <c r="H98" s="25">
        <f t="shared" si="12"/>
        <v>48.73931649983939</v>
      </c>
      <c r="J98" s="31" t="s">
        <v>337</v>
      </c>
      <c r="K98" t="s">
        <v>337</v>
      </c>
      <c r="L98" t="s">
        <v>337</v>
      </c>
    </row>
    <row r="99" spans="1:12" x14ac:dyDescent="0.2">
      <c r="A99" s="9">
        <v>3627336</v>
      </c>
      <c r="B99" s="9">
        <v>168986</v>
      </c>
      <c r="C99" s="9">
        <v>50239</v>
      </c>
      <c r="D99">
        <f t="shared" si="9"/>
        <v>6.0436915686884259E-2</v>
      </c>
      <c r="E99" s="25">
        <f t="shared" si="10"/>
        <v>5.4333863163583525</v>
      </c>
      <c r="F99" s="9">
        <v>372879</v>
      </c>
      <c r="G99">
        <f t="shared" si="11"/>
        <v>0.1027969286550791</v>
      </c>
      <c r="H99" s="25">
        <f t="shared" si="12"/>
        <v>14.446155032995552</v>
      </c>
      <c r="J99" s="30" t="s">
        <v>336</v>
      </c>
      <c r="K99" t="s">
        <v>336</v>
      </c>
      <c r="L99" t="s">
        <v>336</v>
      </c>
    </row>
    <row r="100" spans="1:12" x14ac:dyDescent="0.2">
      <c r="A100" s="9">
        <v>1760796</v>
      </c>
      <c r="B100" s="9">
        <v>20361552</v>
      </c>
      <c r="C100" s="9">
        <v>7889093</v>
      </c>
      <c r="D100">
        <f t="shared" si="9"/>
        <v>16.044246465802967</v>
      </c>
      <c r="E100" s="25">
        <f t="shared" si="10"/>
        <v>3406.2439288942483</v>
      </c>
      <c r="F100" s="9">
        <v>15669132</v>
      </c>
      <c r="G100">
        <f t="shared" si="11"/>
        <v>8.8988911833057323</v>
      </c>
      <c r="H100" s="25">
        <f t="shared" si="12"/>
        <v>1885.9555709161132</v>
      </c>
      <c r="J100" s="31" t="s">
        <v>335</v>
      </c>
      <c r="K100" t="s">
        <v>335</v>
      </c>
      <c r="L100" t="s">
        <v>335</v>
      </c>
    </row>
    <row r="101" spans="1:12" x14ac:dyDescent="0.2">
      <c r="A101" s="9">
        <v>2330233</v>
      </c>
      <c r="B101" s="9">
        <v>2698301</v>
      </c>
      <c r="C101" s="9">
        <v>525214</v>
      </c>
      <c r="D101">
        <f t="shared" si="9"/>
        <v>1.383344498168209</v>
      </c>
      <c r="E101" s="25">
        <f t="shared" si="10"/>
        <v>286.90308471664025</v>
      </c>
      <c r="F101" s="9">
        <v>94358</v>
      </c>
      <c r="G101">
        <f t="shared" si="11"/>
        <v>4.0492946413513156E-2</v>
      </c>
      <c r="H101" s="25">
        <f t="shared" si="12"/>
        <v>1.1899885986198202</v>
      </c>
      <c r="J101" s="30" t="s">
        <v>334</v>
      </c>
      <c r="K101" t="s">
        <v>334</v>
      </c>
      <c r="L101" t="s">
        <v>334</v>
      </c>
    </row>
    <row r="102" spans="1:12" x14ac:dyDescent="0.2">
      <c r="A102" s="9">
        <v>3463312</v>
      </c>
      <c r="B102" s="9">
        <v>3023374</v>
      </c>
      <c r="C102" s="9">
        <v>824545</v>
      </c>
      <c r="D102">
        <f t="shared" si="9"/>
        <v>1.1110517908868736</v>
      </c>
      <c r="E102" s="25">
        <f t="shared" si="10"/>
        <v>228.96846614614333</v>
      </c>
      <c r="F102" s="9">
        <v>24894</v>
      </c>
      <c r="G102">
        <f t="shared" si="11"/>
        <v>7.1879172306739906E-3</v>
      </c>
      <c r="H102" s="25">
        <f t="shared" si="12"/>
        <v>-5.8961878232608536</v>
      </c>
      <c r="J102" s="31" t="s">
        <v>333</v>
      </c>
      <c r="K102" t="s">
        <v>333</v>
      </c>
      <c r="L102" t="s">
        <v>333</v>
      </c>
    </row>
    <row r="103" spans="1:12" x14ac:dyDescent="0.2">
      <c r="A103" s="9">
        <v>3396116</v>
      </c>
      <c r="B103" s="9">
        <v>3973018</v>
      </c>
      <c r="C103" s="9">
        <v>1111291</v>
      </c>
      <c r="D103">
        <f t="shared" si="9"/>
        <v>1.4970952111176414</v>
      </c>
      <c r="E103" s="25">
        <f t="shared" si="10"/>
        <v>311.10536406758331</v>
      </c>
      <c r="F103" s="9">
        <v>49600</v>
      </c>
      <c r="G103">
        <f t="shared" si="11"/>
        <v>1.460491926659749E-2</v>
      </c>
      <c r="H103" s="25">
        <f t="shared" si="12"/>
        <v>-4.3181022837026619</v>
      </c>
      <c r="J103" s="30" t="s">
        <v>332</v>
      </c>
      <c r="K103" t="s">
        <v>332</v>
      </c>
      <c r="L103" t="s">
        <v>332</v>
      </c>
    </row>
    <row r="104" spans="1:12" x14ac:dyDescent="0.2">
      <c r="A104" s="9">
        <v>3064394</v>
      </c>
      <c r="B104" s="9">
        <v>3397890</v>
      </c>
      <c r="C104" s="9">
        <v>940976</v>
      </c>
      <c r="D104">
        <f t="shared" si="9"/>
        <v>1.4158969114284912</v>
      </c>
      <c r="E104" s="25">
        <f t="shared" si="10"/>
        <v>293.82913009116834</v>
      </c>
      <c r="F104" s="9">
        <v>10168</v>
      </c>
      <c r="G104">
        <f t="shared" si="11"/>
        <v>3.3181111828309282E-3</v>
      </c>
      <c r="H104" s="25">
        <f t="shared" si="12"/>
        <v>-6.7195508121636323</v>
      </c>
      <c r="J104" s="31" t="s">
        <v>331</v>
      </c>
      <c r="K104" t="s">
        <v>331</v>
      </c>
      <c r="L104" t="s">
        <v>331</v>
      </c>
    </row>
    <row r="105" spans="1:12" x14ac:dyDescent="0.2">
      <c r="A105" s="9">
        <v>1054702</v>
      </c>
      <c r="B105" s="9">
        <v>8690397</v>
      </c>
      <c r="C105" s="9">
        <v>1955692</v>
      </c>
      <c r="D105">
        <f t="shared" si="9"/>
        <v>10.09393079751437</v>
      </c>
      <c r="E105" s="25">
        <f t="shared" si="10"/>
        <v>2140.2193186200784</v>
      </c>
      <c r="F105" s="9">
        <v>155549</v>
      </c>
      <c r="G105">
        <f t="shared" si="11"/>
        <v>0.14748146869921552</v>
      </c>
      <c r="H105" s="25">
        <f t="shared" si="12"/>
        <v>23.953503978556494</v>
      </c>
      <c r="J105" s="30" t="s">
        <v>330</v>
      </c>
      <c r="K105" t="s">
        <v>330</v>
      </c>
      <c r="L105" t="s">
        <v>330</v>
      </c>
    </row>
    <row r="106" spans="1:12" x14ac:dyDescent="0.2">
      <c r="A106" s="9">
        <v>3708408</v>
      </c>
      <c r="B106" s="9">
        <v>78191</v>
      </c>
      <c r="C106" s="9">
        <v>22863</v>
      </c>
      <c r="D106">
        <f t="shared" si="9"/>
        <v>2.7249968180415963E-2</v>
      </c>
      <c r="E106" s="25">
        <f t="shared" si="10"/>
        <v>-1.6276663445923483</v>
      </c>
      <c r="F106" s="9">
        <v>92786</v>
      </c>
      <c r="G106">
        <f t="shared" si="11"/>
        <v>2.5020440037881484E-2</v>
      </c>
      <c r="H106" s="25">
        <f t="shared" si="12"/>
        <v>-2.1020340344933013</v>
      </c>
      <c r="J106" s="31" t="s">
        <v>329</v>
      </c>
      <c r="K106" t="s">
        <v>329</v>
      </c>
      <c r="L106" t="s">
        <v>329</v>
      </c>
    </row>
    <row r="107" spans="1:12" x14ac:dyDescent="0.2">
      <c r="A107" s="9">
        <v>3157900</v>
      </c>
      <c r="B107" s="9">
        <v>13224914</v>
      </c>
      <c r="C107" s="9">
        <v>3017140</v>
      </c>
      <c r="D107">
        <f t="shared" si="9"/>
        <v>5.1433085278191202</v>
      </c>
      <c r="E107" s="25">
        <f t="shared" si="10"/>
        <v>1086.8954314508765</v>
      </c>
      <c r="F107" s="9">
        <v>5055638</v>
      </c>
      <c r="G107">
        <f t="shared" si="11"/>
        <v>1.6009493650843916</v>
      </c>
      <c r="H107" s="25">
        <f t="shared" si="12"/>
        <v>333.20199257114712</v>
      </c>
      <c r="J107" s="30" t="s">
        <v>328</v>
      </c>
      <c r="K107" t="s">
        <v>328</v>
      </c>
      <c r="L107" t="s">
        <v>328</v>
      </c>
    </row>
    <row r="108" spans="1:12" x14ac:dyDescent="0.2">
      <c r="A108" s="9">
        <v>2819253</v>
      </c>
      <c r="B108" s="9">
        <v>386578</v>
      </c>
      <c r="C108" s="9">
        <v>281816</v>
      </c>
      <c r="D108">
        <f t="shared" si="9"/>
        <v>0.23708195043155048</v>
      </c>
      <c r="E108" s="25">
        <f t="shared" si="10"/>
        <v>43.017436262032014</v>
      </c>
      <c r="F108" s="9">
        <v>289852</v>
      </c>
      <c r="G108">
        <f t="shared" si="11"/>
        <v>0.1028116313080096</v>
      </c>
      <c r="H108" s="25">
        <f t="shared" si="12"/>
        <v>14.449283257023319</v>
      </c>
      <c r="J108" s="31" t="s">
        <v>327</v>
      </c>
      <c r="K108" t="s">
        <v>327</v>
      </c>
      <c r="L108" t="s">
        <v>327</v>
      </c>
    </row>
    <row r="109" spans="1:12" x14ac:dyDescent="0.2">
      <c r="A109" s="9">
        <v>1909836</v>
      </c>
      <c r="B109" s="9">
        <v>16709789</v>
      </c>
      <c r="C109" s="9">
        <v>5825012</v>
      </c>
      <c r="D109">
        <f t="shared" si="9"/>
        <v>11.799338267788439</v>
      </c>
      <c r="E109" s="25">
        <f t="shared" si="10"/>
        <v>2503.0719718698806</v>
      </c>
      <c r="F109" s="9">
        <v>159423</v>
      </c>
      <c r="G109">
        <f t="shared" si="11"/>
        <v>8.3474706728745296E-2</v>
      </c>
      <c r="H109" s="25">
        <f t="shared" si="12"/>
        <v>10.335043984839425</v>
      </c>
      <c r="J109" s="30" t="s">
        <v>326</v>
      </c>
      <c r="K109" t="s">
        <v>326</v>
      </c>
      <c r="L109" t="s">
        <v>326</v>
      </c>
    </row>
    <row r="110" spans="1:12" x14ac:dyDescent="0.2">
      <c r="A110" s="9">
        <v>1445613</v>
      </c>
      <c r="B110" s="9">
        <v>6179344</v>
      </c>
      <c r="C110" s="9">
        <v>8068120</v>
      </c>
      <c r="D110">
        <f t="shared" si="9"/>
        <v>9.85565569761755</v>
      </c>
      <c r="E110" s="25">
        <f t="shared" si="10"/>
        <v>2089.5224888547978</v>
      </c>
      <c r="F110" s="9">
        <v>1362779</v>
      </c>
      <c r="G110">
        <f t="shared" si="11"/>
        <v>0.9426997405252997</v>
      </c>
      <c r="H110" s="25">
        <f t="shared" si="12"/>
        <v>193.14888096282971</v>
      </c>
      <c r="J110" s="31" t="s">
        <v>325</v>
      </c>
      <c r="K110" t="s">
        <v>325</v>
      </c>
      <c r="L110" t="s">
        <v>325</v>
      </c>
    </row>
    <row r="111" spans="1:12" x14ac:dyDescent="0.2">
      <c r="A111" s="9">
        <v>1071786</v>
      </c>
      <c r="B111" s="9">
        <v>13161625</v>
      </c>
      <c r="C111" s="9">
        <v>4006566</v>
      </c>
      <c r="D111">
        <f t="shared" si="9"/>
        <v>16.018301228043658</v>
      </c>
      <c r="E111" s="25">
        <f t="shared" si="10"/>
        <v>3400.7236655412034</v>
      </c>
      <c r="F111" s="9">
        <v>243436</v>
      </c>
      <c r="G111">
        <f t="shared" si="11"/>
        <v>0.22713116237756417</v>
      </c>
      <c r="H111" s="25">
        <f t="shared" si="12"/>
        <v>40.900247314375349</v>
      </c>
      <c r="J111" s="30" t="s">
        <v>324</v>
      </c>
      <c r="K111" t="s">
        <v>324</v>
      </c>
      <c r="L111" t="s">
        <v>324</v>
      </c>
    </row>
    <row r="112" spans="1:12" x14ac:dyDescent="0.2">
      <c r="A112" s="9">
        <v>1020023</v>
      </c>
      <c r="B112" s="9">
        <v>1909434</v>
      </c>
      <c r="C112" s="9">
        <v>1123457</v>
      </c>
      <c r="D112">
        <f t="shared" si="9"/>
        <v>2.9733555027680749</v>
      </c>
      <c r="E112" s="25">
        <f t="shared" si="10"/>
        <v>625.20329846129255</v>
      </c>
      <c r="F112" s="9">
        <v>133159</v>
      </c>
      <c r="G112">
        <f t="shared" si="11"/>
        <v>0.13054509555176697</v>
      </c>
      <c r="H112" s="25">
        <f t="shared" si="12"/>
        <v>20.350020330163183</v>
      </c>
      <c r="J112" s="31" t="s">
        <v>323</v>
      </c>
      <c r="K112" t="s">
        <v>323</v>
      </c>
      <c r="L112" t="s">
        <v>323</v>
      </c>
    </row>
    <row r="113" spans="1:8" x14ac:dyDescent="0.2">
      <c r="A113" s="9">
        <v>4459377</v>
      </c>
      <c r="B113" s="9">
        <v>56633</v>
      </c>
      <c r="C113" s="9">
        <v>18867</v>
      </c>
      <c r="D113">
        <f t="shared" si="9"/>
        <v>1.6930616092786056E-2</v>
      </c>
      <c r="E113" s="25">
        <f t="shared" si="10"/>
        <v>-3.8232731717476476</v>
      </c>
      <c r="F113" s="9">
        <v>30582</v>
      </c>
      <c r="G113">
        <f t="shared" si="11"/>
        <v>6.8579086271467965E-3</v>
      </c>
      <c r="H113" s="25">
        <f t="shared" si="12"/>
        <v>-5.9664024197560011</v>
      </c>
    </row>
    <row r="114" spans="1:8" x14ac:dyDescent="0.2">
      <c r="A114" s="9">
        <v>2552833</v>
      </c>
      <c r="B114" s="9">
        <v>82858</v>
      </c>
      <c r="C114" s="9">
        <v>23304</v>
      </c>
      <c r="D114">
        <f t="shared" si="9"/>
        <v>4.1585955681393963E-2</v>
      </c>
      <c r="E114" s="25">
        <f t="shared" si="10"/>
        <v>1.4225437619987154</v>
      </c>
      <c r="F114" s="9">
        <v>32002</v>
      </c>
      <c r="G114">
        <f t="shared" si="11"/>
        <v>1.2535876808236182E-2</v>
      </c>
      <c r="H114" s="25">
        <f t="shared" si="12"/>
        <v>-4.7583240833540037</v>
      </c>
    </row>
    <row r="115" spans="1:8" x14ac:dyDescent="0.2">
      <c r="A115" s="9">
        <v>2797128</v>
      </c>
      <c r="B115" s="9">
        <v>7824745</v>
      </c>
      <c r="C115" s="9">
        <v>1385621</v>
      </c>
      <c r="D115">
        <f t="shared" si="9"/>
        <v>3.2927938943087338</v>
      </c>
      <c r="E115" s="25">
        <f t="shared" si="10"/>
        <v>693.16891368270933</v>
      </c>
      <c r="F115" s="9">
        <v>2197526</v>
      </c>
      <c r="G115">
        <f t="shared" si="11"/>
        <v>0.78563655292142509</v>
      </c>
      <c r="H115" s="25">
        <f t="shared" si="12"/>
        <v>159.73118147264361</v>
      </c>
    </row>
    <row r="116" spans="1:8" x14ac:dyDescent="0.2">
      <c r="A116" s="9">
        <v>2412962</v>
      </c>
      <c r="B116" s="9">
        <v>350588</v>
      </c>
      <c r="C116" s="9">
        <v>254788</v>
      </c>
      <c r="D116">
        <f t="shared" si="9"/>
        <v>0.25088501186508533</v>
      </c>
      <c r="E116" s="25">
        <f t="shared" si="10"/>
        <v>45.954257843635176</v>
      </c>
      <c r="F116" s="9">
        <v>279556</v>
      </c>
      <c r="G116">
        <f t="shared" si="11"/>
        <v>0.1158559480008388</v>
      </c>
      <c r="H116" s="25">
        <f t="shared" si="12"/>
        <v>17.224669787412509</v>
      </c>
    </row>
    <row r="119" spans="1:8" x14ac:dyDescent="0.2">
      <c r="A119" t="s">
        <v>145</v>
      </c>
      <c r="B119" s="13">
        <v>4.7000000000000002E-3</v>
      </c>
    </row>
    <row r="120" spans="1:8" x14ac:dyDescent="0.2">
      <c r="A120" t="s">
        <v>143</v>
      </c>
      <c r="B120">
        <v>3.49E-2</v>
      </c>
    </row>
    <row r="121" spans="1:8" x14ac:dyDescent="0.2">
      <c r="B121" s="13"/>
    </row>
    <row r="125" spans="1:8" x14ac:dyDescent="0.2">
      <c r="B125" s="13">
        <f>($B$119*D67^2)+($B$120*D67)+$B$121</f>
        <v>0.51526088664939407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4E14-1955-4652-86B0-A7E8691000A8}">
  <dimension ref="B1:Q63"/>
  <sheetViews>
    <sheetView zoomScaleNormal="125" workbookViewId="0">
      <selection activeCell="E6" sqref="E6:K51"/>
    </sheetView>
  </sheetViews>
  <sheetFormatPr baseColWidth="10" defaultColWidth="8.83203125" defaultRowHeight="15" x14ac:dyDescent="0.2"/>
  <cols>
    <col min="2" max="2" width="15.83203125" customWidth="1"/>
    <col min="4" max="4" width="13.1640625" customWidth="1"/>
    <col min="5" max="5" width="10" customWidth="1"/>
    <col min="6" max="6" width="11.1640625" customWidth="1"/>
    <col min="7" max="7" width="12.83203125" customWidth="1"/>
    <col min="8" max="8" width="23.33203125" customWidth="1"/>
    <col min="9" max="9" width="14.33203125" customWidth="1"/>
    <col min="10" max="10" width="10.6640625" customWidth="1"/>
    <col min="11" max="11" width="15.6640625" customWidth="1"/>
    <col min="12" max="12" width="19.5" customWidth="1"/>
    <col min="13" max="13" width="14" customWidth="1"/>
  </cols>
  <sheetData>
    <row r="1" spans="2:17" ht="48" x14ac:dyDescent="0.2">
      <c r="B1" s="7" t="s">
        <v>367</v>
      </c>
      <c r="C1" s="7" t="s">
        <v>136</v>
      </c>
      <c r="D1" s="16" t="s">
        <v>142</v>
      </c>
      <c r="E1" t="s">
        <v>137</v>
      </c>
      <c r="F1" s="7" t="s">
        <v>138</v>
      </c>
      <c r="G1" s="7" t="s">
        <v>139</v>
      </c>
      <c r="H1" s="7" t="s">
        <v>9</v>
      </c>
      <c r="I1" s="7" t="s">
        <v>212</v>
      </c>
      <c r="J1" s="7" t="s">
        <v>17</v>
      </c>
      <c r="K1" s="7" t="s">
        <v>18</v>
      </c>
      <c r="L1" s="15" t="s">
        <v>45</v>
      </c>
      <c r="M1" s="15" t="s">
        <v>46</v>
      </c>
      <c r="O1" t="s">
        <v>271</v>
      </c>
      <c r="P1" t="s">
        <v>282</v>
      </c>
      <c r="Q1" t="s">
        <v>283</v>
      </c>
    </row>
    <row r="2" spans="2:17" x14ac:dyDescent="0.2">
      <c r="B2" t="s">
        <v>82</v>
      </c>
      <c r="C2" s="7">
        <v>122.29</v>
      </c>
      <c r="D2" s="17" t="e">
        <v>#VALUE!</v>
      </c>
      <c r="E2" s="12">
        <v>30.220797767985005</v>
      </c>
      <c r="F2" s="19">
        <v>36.748036164124187</v>
      </c>
      <c r="G2" s="19">
        <v>28.345777930207188</v>
      </c>
      <c r="H2" s="19">
        <v>28.678488074035496</v>
      </c>
      <c r="I2" s="25">
        <v>38.076599383435671</v>
      </c>
      <c r="J2" s="19">
        <v>1.0000000000000001E-5</v>
      </c>
      <c r="K2" s="19">
        <v>24.104348174651566</v>
      </c>
      <c r="L2" s="16">
        <v>20.82214046938612</v>
      </c>
      <c r="M2" s="16">
        <v>19.345467673091218</v>
      </c>
      <c r="O2" t="s">
        <v>299</v>
      </c>
    </row>
    <row r="3" spans="2:17" x14ac:dyDescent="0.2">
      <c r="B3" t="s">
        <v>58</v>
      </c>
      <c r="C3" s="7">
        <v>122.29</v>
      </c>
      <c r="D3" s="17" t="e">
        <v>#VALUE!</v>
      </c>
      <c r="E3" s="12">
        <v>30.002601126486713</v>
      </c>
      <c r="F3" s="19">
        <v>38.47021674686092</v>
      </c>
      <c r="G3" s="19">
        <v>36.708447870140979</v>
      </c>
      <c r="H3" s="19">
        <v>37.380572724754046</v>
      </c>
      <c r="I3" s="25">
        <v>38.852685100003278</v>
      </c>
      <c r="J3" s="19">
        <v>1.0000000000000001E-5</v>
      </c>
      <c r="K3" s="19">
        <v>25.872059709012426</v>
      </c>
      <c r="L3" s="16">
        <v>22.519490768318168</v>
      </c>
      <c r="M3" s="16">
        <v>27.60638047768904</v>
      </c>
      <c r="O3" t="s">
        <v>300</v>
      </c>
    </row>
    <row r="4" spans="2:17" x14ac:dyDescent="0.2">
      <c r="B4" t="s">
        <v>98</v>
      </c>
      <c r="C4" s="7">
        <v>122.29</v>
      </c>
      <c r="D4" s="17">
        <v>38.078738130841998</v>
      </c>
      <c r="E4" s="12">
        <v>30.102512031792497</v>
      </c>
      <c r="F4" s="19">
        <v>42.893886191531301</v>
      </c>
      <c r="G4" s="19">
        <v>63.290218134786222</v>
      </c>
      <c r="H4" s="19">
        <v>49.956540971753043</v>
      </c>
      <c r="I4" s="25">
        <v>43.017436262032014</v>
      </c>
      <c r="J4" s="19">
        <v>14.449283257023319</v>
      </c>
      <c r="K4" s="19">
        <v>29.793113152972417</v>
      </c>
      <c r="L4" s="16">
        <v>32.776156288672908</v>
      </c>
      <c r="M4" s="16">
        <v>39.392197802202041</v>
      </c>
      <c r="O4" t="s">
        <v>301</v>
      </c>
    </row>
    <row r="5" spans="2:17" x14ac:dyDescent="0.2">
      <c r="B5" t="s">
        <v>106</v>
      </c>
      <c r="C5" s="7">
        <v>122.29</v>
      </c>
      <c r="D5" s="17" t="e">
        <v>#VALUE!</v>
      </c>
      <c r="E5" s="12">
        <v>23.732170751383112</v>
      </c>
      <c r="F5" s="19">
        <v>23.051658080879943</v>
      </c>
      <c r="G5" s="19">
        <v>39.432257077197754</v>
      </c>
      <c r="H5" s="19">
        <v>61.104606724870067</v>
      </c>
      <c r="I5" s="25">
        <v>45.954257843635176</v>
      </c>
      <c r="J5" s="19">
        <v>17.224669787412509</v>
      </c>
      <c r="K5" s="19">
        <v>30.494082431948438</v>
      </c>
      <c r="L5" s="16">
        <v>32.240341668733691</v>
      </c>
      <c r="M5" s="16">
        <v>44.543616493103556</v>
      </c>
      <c r="O5" t="s">
        <v>302</v>
      </c>
    </row>
    <row r="6" spans="2:17" x14ac:dyDescent="0.2">
      <c r="B6" t="s">
        <v>366</v>
      </c>
      <c r="C6" s="7">
        <v>122.29</v>
      </c>
      <c r="D6" s="17">
        <v>228.9592789261917</v>
      </c>
      <c r="E6" s="12">
        <v>17.208508933920402</v>
      </c>
      <c r="F6" s="19">
        <v>3.5991246913371833</v>
      </c>
      <c r="G6" s="19">
        <v>20.226141639465851</v>
      </c>
      <c r="H6" s="19">
        <v>16.173387983388494</v>
      </c>
      <c r="I6" s="25">
        <v>966.10485679217095</v>
      </c>
      <c r="J6" s="19">
        <v>503.06284109690495</v>
      </c>
      <c r="K6" s="19">
        <v>2.9458014251806786</v>
      </c>
      <c r="L6" s="16" t="e">
        <v>#VALUE!</v>
      </c>
      <c r="M6" s="16" t="e">
        <v>#VALUE!</v>
      </c>
      <c r="O6" t="s">
        <v>303</v>
      </c>
    </row>
    <row r="7" spans="2:17" x14ac:dyDescent="0.2">
      <c r="B7" t="s">
        <v>365</v>
      </c>
      <c r="C7" s="7">
        <v>122.29</v>
      </c>
      <c r="D7" s="17">
        <v>136.55496583848526</v>
      </c>
      <c r="E7" s="12">
        <v>33.757882581696457</v>
      </c>
      <c r="F7" s="19">
        <v>3.8930875681038728</v>
      </c>
      <c r="G7" s="19">
        <v>53.532188610315643</v>
      </c>
      <c r="H7" s="19">
        <v>22.871175801895518</v>
      </c>
      <c r="I7">
        <v>31780.317378560449</v>
      </c>
      <c r="J7">
        <v>14720.258420169777</v>
      </c>
      <c r="K7" s="19">
        <v>3.6311839637015817</v>
      </c>
      <c r="L7" s="16" t="e">
        <v>#VALUE!</v>
      </c>
      <c r="M7" s="16">
        <v>1.3143113384619671</v>
      </c>
      <c r="O7" t="s">
        <v>304</v>
      </c>
    </row>
    <row r="8" spans="2:17" x14ac:dyDescent="0.2">
      <c r="B8" t="s">
        <v>364</v>
      </c>
      <c r="C8" s="7">
        <v>122.29</v>
      </c>
      <c r="D8" s="17">
        <v>35.541740280647609</v>
      </c>
      <c r="E8" s="12">
        <v>25.381694617111592</v>
      </c>
      <c r="F8" s="19">
        <v>1.9794361297849952</v>
      </c>
      <c r="G8" s="19">
        <v>2.9445173233630033</v>
      </c>
      <c r="H8" s="19">
        <v>77.905474670969525</v>
      </c>
      <c r="I8" s="25">
        <v>109.44255765820469</v>
      </c>
      <c r="J8" s="19">
        <v>1.0000000000000001E-5</v>
      </c>
      <c r="K8" s="19">
        <v>3.0591560145174075</v>
      </c>
      <c r="L8" s="16" t="e">
        <v>#VALUE!</v>
      </c>
      <c r="M8" s="16" t="e">
        <v>#VALUE!</v>
      </c>
      <c r="O8" t="s">
        <v>305</v>
      </c>
    </row>
    <row r="9" spans="2:17" x14ac:dyDescent="0.2">
      <c r="B9" t="s">
        <v>321</v>
      </c>
      <c r="C9" s="7">
        <v>122.29</v>
      </c>
      <c r="D9" s="17">
        <v>289.00321630437361</v>
      </c>
      <c r="E9" s="12">
        <v>36.764976937904109</v>
      </c>
      <c r="F9" s="19">
        <v>5.8299597569874368</v>
      </c>
      <c r="G9" s="19">
        <v>92.271034477476903</v>
      </c>
      <c r="H9" s="19">
        <v>26.186917143419695</v>
      </c>
      <c r="I9">
        <v>21826.900856163196</v>
      </c>
      <c r="J9">
        <v>18910.961030606737</v>
      </c>
      <c r="K9" s="19">
        <v>3.4744174731768185</v>
      </c>
      <c r="L9" s="16" t="e">
        <v>#VALUE!</v>
      </c>
      <c r="M9" s="16">
        <v>1.2158709178439373</v>
      </c>
      <c r="O9" t="s">
        <v>306</v>
      </c>
    </row>
    <row r="10" spans="2:17" x14ac:dyDescent="0.2">
      <c r="B10" t="s">
        <v>363</v>
      </c>
      <c r="C10" s="7">
        <v>122.29</v>
      </c>
      <c r="D10" s="17">
        <v>46.528777937164605</v>
      </c>
      <c r="E10" s="12">
        <v>28.94242849307572</v>
      </c>
      <c r="F10" s="19">
        <v>1.9484948380024676</v>
      </c>
      <c r="G10" s="19">
        <v>2.9289161701173252</v>
      </c>
      <c r="H10" s="19">
        <v>32.101736341444457</v>
      </c>
      <c r="I10">
        <v>1496.8433750800846</v>
      </c>
      <c r="J10" s="19">
        <v>1.0000000000000001E-5</v>
      </c>
      <c r="K10" s="19">
        <v>2.9632793464767007</v>
      </c>
      <c r="L10" s="16" t="e">
        <v>#VALUE!</v>
      </c>
      <c r="M10" s="16" t="e">
        <v>#VALUE!</v>
      </c>
      <c r="O10" t="s">
        <v>307</v>
      </c>
    </row>
    <row r="11" spans="2:17" x14ac:dyDescent="0.2">
      <c r="B11" t="s">
        <v>362</v>
      </c>
      <c r="C11" s="7">
        <v>122.29</v>
      </c>
      <c r="D11" s="17">
        <v>96.424723914568943</v>
      </c>
      <c r="E11" s="12">
        <v>38.147783421218648</v>
      </c>
      <c r="F11" s="19">
        <v>3.9714701433317514</v>
      </c>
      <c r="G11" s="19">
        <v>20.612123317668821</v>
      </c>
      <c r="H11" s="19">
        <v>16.102829412524841</v>
      </c>
      <c r="I11">
        <v>2256.7177944595605</v>
      </c>
      <c r="J11">
        <v>726.02602463617325</v>
      </c>
      <c r="K11" s="19">
        <v>3.1907403470418267</v>
      </c>
      <c r="L11" s="16" t="e">
        <v>#VALUE!</v>
      </c>
      <c r="M11" s="16" t="e">
        <v>#VALUE!</v>
      </c>
      <c r="O11" t="s">
        <v>308</v>
      </c>
    </row>
    <row r="12" spans="2:17" x14ac:dyDescent="0.2">
      <c r="B12" t="s">
        <v>361</v>
      </c>
      <c r="C12" s="7">
        <v>122.29</v>
      </c>
      <c r="D12" s="17">
        <v>190.79508621690738</v>
      </c>
      <c r="E12" s="12">
        <v>43.546164605264764</v>
      </c>
      <c r="F12" s="19">
        <v>4.6004425152822916</v>
      </c>
      <c r="G12" s="19">
        <v>41.304078723167017</v>
      </c>
      <c r="H12" s="19">
        <v>17.920500036223466</v>
      </c>
      <c r="I12">
        <v>21055.420009109028</v>
      </c>
      <c r="J12">
        <v>13851.96568553589</v>
      </c>
      <c r="K12" s="19">
        <v>3.1289514385842265</v>
      </c>
      <c r="L12" s="17" t="e">
        <v>#VALUE!</v>
      </c>
      <c r="M12" s="16" t="e">
        <v>#VALUE!</v>
      </c>
      <c r="O12" t="s">
        <v>309</v>
      </c>
    </row>
    <row r="13" spans="2:17" x14ac:dyDescent="0.2">
      <c r="B13" t="s">
        <v>360</v>
      </c>
      <c r="C13" s="7">
        <v>122.29</v>
      </c>
      <c r="D13" s="17">
        <v>214.26852229463552</v>
      </c>
      <c r="E13" s="12">
        <v>54.778796967968745</v>
      </c>
      <c r="F13" s="19">
        <v>3.8074180490066598</v>
      </c>
      <c r="G13" s="19">
        <v>26.265792243086523</v>
      </c>
      <c r="H13" s="19">
        <v>65.17829410327569</v>
      </c>
      <c r="I13">
        <v>1463.512894072853</v>
      </c>
      <c r="J13">
        <v>518.23584840380249</v>
      </c>
      <c r="K13" s="19">
        <v>3.1953985424737157</v>
      </c>
      <c r="L13" s="16" t="e">
        <v>#VALUE!</v>
      </c>
      <c r="M13" s="16" t="e">
        <v>#VALUE!</v>
      </c>
      <c r="O13" t="s">
        <v>310</v>
      </c>
    </row>
    <row r="14" spans="2:17" x14ac:dyDescent="0.2">
      <c r="B14" t="s">
        <v>359</v>
      </c>
      <c r="C14" s="7">
        <v>122.29</v>
      </c>
      <c r="D14" s="17">
        <v>150.94783622540024</v>
      </c>
      <c r="E14" s="12">
        <v>14.891794705054613</v>
      </c>
      <c r="F14" s="19">
        <v>1.8683402471643669</v>
      </c>
      <c r="G14" s="19">
        <v>2.4668875949988762</v>
      </c>
      <c r="H14" s="19">
        <v>36.27572941807135</v>
      </c>
      <c r="I14" s="25">
        <v>1.4225437619987154</v>
      </c>
      <c r="J14" s="19">
        <v>1.0000000000000001E-5</v>
      </c>
      <c r="K14" s="19">
        <v>2.8967314829522461</v>
      </c>
      <c r="L14" s="16" t="e">
        <v>#VALUE!</v>
      </c>
      <c r="M14" s="16" t="e">
        <v>#VALUE!</v>
      </c>
      <c r="O14" t="s">
        <v>311</v>
      </c>
    </row>
    <row r="15" spans="2:17" x14ac:dyDescent="0.2">
      <c r="B15" t="s">
        <v>358</v>
      </c>
      <c r="C15" s="7">
        <v>122.29</v>
      </c>
      <c r="D15" s="17">
        <v>99.185136448244236</v>
      </c>
      <c r="E15" s="12">
        <v>30.536120395224398</v>
      </c>
      <c r="F15" s="19">
        <v>2.1361099022871417</v>
      </c>
      <c r="G15" s="19">
        <v>3.786549998763499</v>
      </c>
      <c r="H15" s="19">
        <v>37.759263078183672</v>
      </c>
      <c r="I15" s="25">
        <v>34.354475386279759</v>
      </c>
      <c r="J15" s="19">
        <v>10.655030880962249</v>
      </c>
      <c r="K15" s="19">
        <v>2.8630157589443987</v>
      </c>
      <c r="L15" s="16" t="e">
        <v>#VALUE!</v>
      </c>
      <c r="M15" s="16" t="e">
        <v>#VALUE!</v>
      </c>
      <c r="O15" t="s">
        <v>312</v>
      </c>
    </row>
    <row r="16" spans="2:17" x14ac:dyDescent="0.2">
      <c r="B16" t="s">
        <v>357</v>
      </c>
      <c r="C16" s="7">
        <v>122.29</v>
      </c>
      <c r="D16" s="17">
        <v>206.7717184711648</v>
      </c>
      <c r="E16" s="12">
        <v>27.205323582360158</v>
      </c>
      <c r="F16" s="19">
        <v>2.1142060692892031</v>
      </c>
      <c r="G16" s="19">
        <v>4.1857192872141962</v>
      </c>
      <c r="H16" s="19">
        <v>25.099154879550053</v>
      </c>
      <c r="I16" s="25">
        <v>5.4333863163583525</v>
      </c>
      <c r="J16" s="19">
        <v>14.446155032995552</v>
      </c>
      <c r="K16" s="19">
        <v>2.8421662652475916</v>
      </c>
      <c r="L16" s="16" t="e">
        <v>#VALUE!</v>
      </c>
      <c r="M16" s="16" t="e">
        <v>#VALUE!</v>
      </c>
      <c r="O16" t="s">
        <v>313</v>
      </c>
    </row>
    <row r="17" spans="2:15" x14ac:dyDescent="0.2">
      <c r="B17" t="s">
        <v>356</v>
      </c>
      <c r="C17" s="7">
        <v>122.29</v>
      </c>
      <c r="D17" s="17">
        <v>69.456089233050491</v>
      </c>
      <c r="E17" s="12">
        <v>18.596907056231675</v>
      </c>
      <c r="F17" s="19">
        <v>2.1659188241347249</v>
      </c>
      <c r="G17" s="19">
        <v>4.0430603065545316</v>
      </c>
      <c r="H17" s="19">
        <v>34.551849737100305</v>
      </c>
      <c r="I17" s="25">
        <v>22.591696866512567</v>
      </c>
      <c r="J17" s="19">
        <v>0.38970535352975916</v>
      </c>
      <c r="K17" s="19">
        <v>2.8642946312343516</v>
      </c>
      <c r="L17" s="16" t="e">
        <v>#VALUE!</v>
      </c>
      <c r="M17" s="16" t="e">
        <v>#VALUE!</v>
      </c>
      <c r="O17" t="s">
        <v>314</v>
      </c>
    </row>
    <row r="18" spans="2:15" x14ac:dyDescent="0.2">
      <c r="B18" t="s">
        <v>355</v>
      </c>
      <c r="C18" s="7">
        <v>122.29</v>
      </c>
      <c r="D18" s="17">
        <v>93.674240922381657</v>
      </c>
      <c r="E18" s="12">
        <v>28.337443924694963</v>
      </c>
      <c r="F18" s="19">
        <v>2.2103697192550409</v>
      </c>
      <c r="G18" s="19">
        <v>4.1161734622269757</v>
      </c>
      <c r="H18" s="19">
        <v>46.26823368537287</v>
      </c>
      <c r="I18" s="25">
        <v>24.566768210707636</v>
      </c>
      <c r="J18" s="19">
        <v>12.092039785717063</v>
      </c>
      <c r="K18" s="19">
        <v>2.897305037797437</v>
      </c>
      <c r="L18" s="16" t="e">
        <v>#VALUE!</v>
      </c>
      <c r="M18" s="16">
        <v>1.1663711163245378</v>
      </c>
      <c r="O18" t="s">
        <v>315</v>
      </c>
    </row>
    <row r="19" spans="2:15" x14ac:dyDescent="0.2">
      <c r="B19" t="s">
        <v>354</v>
      </c>
      <c r="C19" s="7">
        <v>122.29</v>
      </c>
      <c r="D19" s="17">
        <v>20.587850799658376</v>
      </c>
      <c r="E19" s="12">
        <v>22.177183762762297</v>
      </c>
      <c r="F19" s="19">
        <v>1.9217228893190157</v>
      </c>
      <c r="G19" s="19">
        <v>2.5027452033098765</v>
      </c>
      <c r="H19" s="19">
        <v>15.965346535225834</v>
      </c>
      <c r="I19" s="19">
        <v>1.0000000000000001E-5</v>
      </c>
      <c r="J19" s="19">
        <v>1.0000000000000001E-5</v>
      </c>
      <c r="K19" s="19">
        <v>2.8037613428432508</v>
      </c>
      <c r="L19" s="16" t="e">
        <v>#VALUE!</v>
      </c>
      <c r="M19" s="16" t="e">
        <v>#VALUE!</v>
      </c>
      <c r="O19" t="s">
        <v>316</v>
      </c>
    </row>
    <row r="20" spans="2:15" x14ac:dyDescent="0.2">
      <c r="B20" t="s">
        <v>353</v>
      </c>
      <c r="C20" s="7">
        <v>122.29</v>
      </c>
      <c r="D20" s="17">
        <v>118.36901060313879</v>
      </c>
      <c r="E20" s="12">
        <v>21.274369999924971</v>
      </c>
      <c r="F20" s="19">
        <v>1.8202342338996098</v>
      </c>
      <c r="G20" s="19">
        <v>1.0000000000000001E-5</v>
      </c>
      <c r="H20" s="19">
        <v>35.038652727152765</v>
      </c>
      <c r="I20" s="19">
        <v>1.0000000000000001E-5</v>
      </c>
      <c r="J20" s="19">
        <v>1.0000000000000001E-5</v>
      </c>
      <c r="K20" s="19">
        <v>2.8626979785571987</v>
      </c>
      <c r="L20" s="16" t="e">
        <v>#VALUE!</v>
      </c>
      <c r="M20" s="16" t="e">
        <v>#VALUE!</v>
      </c>
      <c r="O20" t="s">
        <v>317</v>
      </c>
    </row>
    <row r="21" spans="2:15" x14ac:dyDescent="0.2">
      <c r="B21" t="s">
        <v>352</v>
      </c>
      <c r="C21" s="7">
        <v>122.29</v>
      </c>
      <c r="D21" s="17">
        <v>133.49170228942472</v>
      </c>
      <c r="E21" s="12">
        <v>16.932349157002967</v>
      </c>
      <c r="F21" s="19">
        <v>2.3265003479471789</v>
      </c>
      <c r="G21" s="19">
        <v>6.7228691995923251</v>
      </c>
      <c r="H21" s="19">
        <v>34.787430833486368</v>
      </c>
      <c r="I21">
        <v>3329.3142898339679</v>
      </c>
      <c r="J21" s="19">
        <v>48.73931649983939</v>
      </c>
      <c r="K21" s="19">
        <v>3.0700613073171863</v>
      </c>
      <c r="L21" s="16" t="e">
        <v>#VALUE!</v>
      </c>
      <c r="M21" s="16" t="e">
        <v>#VALUE!</v>
      </c>
      <c r="O21" t="s">
        <v>318</v>
      </c>
    </row>
    <row r="22" spans="2:15" x14ac:dyDescent="0.2">
      <c r="B22" t="s">
        <v>351</v>
      </c>
      <c r="C22" s="7">
        <v>122.29</v>
      </c>
      <c r="D22" s="17" t="e">
        <v>#VALUE!</v>
      </c>
      <c r="E22" s="12">
        <v>10.927317010704359</v>
      </c>
      <c r="F22" s="19">
        <v>2.3247480413073434</v>
      </c>
      <c r="G22" s="19">
        <v>11.871062444315951</v>
      </c>
      <c r="H22" s="19">
        <v>82.264909455110455</v>
      </c>
      <c r="I22" s="25">
        <v>2140.2193186200784</v>
      </c>
      <c r="J22" s="19">
        <v>23.953503978556494</v>
      </c>
      <c r="K22" s="19">
        <v>3.3615511805326177</v>
      </c>
      <c r="L22" s="16" t="e">
        <v>#VALUE!</v>
      </c>
      <c r="M22" s="16" t="e">
        <v>#VALUE!</v>
      </c>
      <c r="O22" t="s">
        <v>319</v>
      </c>
    </row>
    <row r="23" spans="2:15" x14ac:dyDescent="0.2">
      <c r="B23" t="s">
        <v>350</v>
      </c>
      <c r="C23" s="7">
        <v>122.29</v>
      </c>
      <c r="D23" s="17">
        <v>91.594001980637145</v>
      </c>
      <c r="E23" s="12">
        <v>29.834781659423804</v>
      </c>
      <c r="F23" s="19">
        <v>2.0780508589771052</v>
      </c>
      <c r="G23" s="19">
        <v>3.7624750168247538</v>
      </c>
      <c r="H23" s="19">
        <v>40.281469511906245</v>
      </c>
      <c r="I23">
        <v>9717.0742078171206</v>
      </c>
      <c r="J23" s="19">
        <v>5.3785138334966796</v>
      </c>
      <c r="K23" s="19">
        <v>3.0137599235946571</v>
      </c>
      <c r="L23" s="16" t="e">
        <v>#VALUE!</v>
      </c>
      <c r="M23" s="16" t="e">
        <v>#VALUE!</v>
      </c>
      <c r="O23" t="s">
        <v>320</v>
      </c>
    </row>
    <row r="24" spans="2:15" x14ac:dyDescent="0.2">
      <c r="B24" t="s">
        <v>349</v>
      </c>
      <c r="C24" s="7">
        <v>122.29</v>
      </c>
      <c r="D24" s="17">
        <v>57.317224763920791</v>
      </c>
      <c r="E24" s="12">
        <v>7.7027568007534617</v>
      </c>
      <c r="F24" s="19">
        <v>1.8696338723115664</v>
      </c>
      <c r="G24" s="19">
        <v>4.727778185565974</v>
      </c>
      <c r="H24" s="19">
        <v>1.9185376331363451</v>
      </c>
      <c r="I24" s="25">
        <v>268.87866364605139</v>
      </c>
      <c r="J24" s="19">
        <v>6.1847545269062154</v>
      </c>
      <c r="K24" s="19">
        <v>3.1388801379989517</v>
      </c>
      <c r="L24" s="16" t="e">
        <v>#VALUE!</v>
      </c>
      <c r="M24" s="16" t="e">
        <v>#VALUE!</v>
      </c>
      <c r="O24" t="s">
        <v>321</v>
      </c>
    </row>
    <row r="25" spans="2:15" x14ac:dyDescent="0.2">
      <c r="B25" t="s">
        <v>348</v>
      </c>
      <c r="C25" s="7">
        <v>122.29</v>
      </c>
      <c r="D25" s="17">
        <v>48.162187511947302</v>
      </c>
      <c r="E25" s="12">
        <v>10.2530420361543</v>
      </c>
      <c r="F25" s="19">
        <v>1.978086961175797</v>
      </c>
      <c r="G25" s="19">
        <v>4.2947456054788509</v>
      </c>
      <c r="H25" s="19">
        <v>2.1766915496937798</v>
      </c>
      <c r="I25">
        <v>970.51549281080838</v>
      </c>
      <c r="J25" s="19">
        <v>20.350020330163183</v>
      </c>
      <c r="K25" s="19">
        <v>3.0796567248624083</v>
      </c>
      <c r="L25" s="16" t="e">
        <v>#VALUE!</v>
      </c>
      <c r="M25" s="16" t="e">
        <v>#VALUE!</v>
      </c>
      <c r="O25" t="s">
        <v>322</v>
      </c>
    </row>
    <row r="26" spans="2:15" x14ac:dyDescent="0.2">
      <c r="B26" t="s">
        <v>347</v>
      </c>
      <c r="C26" s="7">
        <v>122.29</v>
      </c>
      <c r="D26" s="17">
        <v>101.34481172189308</v>
      </c>
      <c r="E26" s="12">
        <v>8.1209918612854448</v>
      </c>
      <c r="F26" s="19">
        <v>2.2014343887715464</v>
      </c>
      <c r="G26" s="19">
        <v>18.890584589404099</v>
      </c>
      <c r="H26" s="19">
        <v>2.6203679351969944</v>
      </c>
      <c r="I26" s="25">
        <v>632.81723559908869</v>
      </c>
      <c r="J26" s="19">
        <v>148.88117161228524</v>
      </c>
      <c r="K26" s="19">
        <v>3.1133104429410459</v>
      </c>
      <c r="L26" s="16" t="e">
        <v>#VALUE!</v>
      </c>
      <c r="M26" s="16" t="e">
        <v>#VALUE!</v>
      </c>
      <c r="O26" t="s">
        <v>290</v>
      </c>
    </row>
    <row r="27" spans="2:15" x14ac:dyDescent="0.2">
      <c r="B27" t="s">
        <v>346</v>
      </c>
      <c r="C27" s="7">
        <v>122.29</v>
      </c>
      <c r="D27" s="17">
        <v>86.495182426528274</v>
      </c>
      <c r="E27" s="12">
        <v>7.8253088833215605</v>
      </c>
      <c r="F27" s="19">
        <v>1.9010338455867297</v>
      </c>
      <c r="G27" s="19">
        <v>3.7299129500985284</v>
      </c>
      <c r="H27" s="19">
        <v>1.799589504421707</v>
      </c>
      <c r="I27" s="25">
        <v>390.07098317207408</v>
      </c>
      <c r="J27" s="19">
        <v>1.5225255332760688</v>
      </c>
      <c r="K27" s="19">
        <v>3.0693869928370296</v>
      </c>
      <c r="L27" s="16" t="e">
        <v>#VALUE!</v>
      </c>
      <c r="M27" s="16" t="e">
        <v>#VALUE!</v>
      </c>
      <c r="O27" t="s">
        <v>295</v>
      </c>
    </row>
    <row r="28" spans="2:15" x14ac:dyDescent="0.2">
      <c r="B28" t="s">
        <v>345</v>
      </c>
      <c r="C28" s="7">
        <v>122.29</v>
      </c>
      <c r="D28" s="17" t="e">
        <v>#VALUE!</v>
      </c>
      <c r="E28" s="12">
        <v>18.566121000248437</v>
      </c>
      <c r="F28" s="19">
        <v>1.8772361597070881</v>
      </c>
      <c r="G28" s="19">
        <v>4.836905969139127</v>
      </c>
      <c r="H28" s="19">
        <v>2.9987756236155327</v>
      </c>
      <c r="I28">
        <v>3502.709765370862</v>
      </c>
      <c r="J28" s="19">
        <v>40.900247314375349</v>
      </c>
      <c r="K28" s="19">
        <v>3.1666277913203524</v>
      </c>
      <c r="L28" s="16" t="e">
        <v>#VALUE!</v>
      </c>
      <c r="M28" s="16" t="e">
        <v>#VALUE!</v>
      </c>
    </row>
    <row r="29" spans="2:15" x14ac:dyDescent="0.2">
      <c r="B29" t="s">
        <v>344</v>
      </c>
      <c r="C29" s="7">
        <v>122.29</v>
      </c>
      <c r="D29" s="17">
        <v>148.69383030761497</v>
      </c>
      <c r="E29" s="12">
        <v>36.569853936152484</v>
      </c>
      <c r="F29" s="19">
        <v>1.8615872372200537</v>
      </c>
      <c r="G29" s="19">
        <v>3.7149282089068221</v>
      </c>
      <c r="H29" s="19">
        <v>2.8715898288633976</v>
      </c>
      <c r="I29">
        <v>3947.7147382592943</v>
      </c>
      <c r="J29" s="19">
        <v>4.8184609714613167</v>
      </c>
      <c r="K29" s="19">
        <v>3.1574974182442044</v>
      </c>
      <c r="L29" s="16" t="e">
        <v>#VALUE!</v>
      </c>
      <c r="M29" s="16" t="e">
        <v>#VALUE!</v>
      </c>
    </row>
    <row r="30" spans="2:15" x14ac:dyDescent="0.2">
      <c r="B30" t="s">
        <v>343</v>
      </c>
      <c r="C30" s="7">
        <v>122.29</v>
      </c>
      <c r="D30" s="17">
        <v>70.473867235574659</v>
      </c>
      <c r="E30" s="12">
        <v>22.211785050096015</v>
      </c>
      <c r="F30" s="19">
        <v>2.0041798462431983</v>
      </c>
      <c r="G30" s="19">
        <v>4.8166737021997212</v>
      </c>
      <c r="H30" s="19">
        <v>4.6248262902719963</v>
      </c>
      <c r="I30">
        <v>2324.5564176111498</v>
      </c>
      <c r="J30" s="19">
        <v>8.4130069241403671</v>
      </c>
      <c r="K30" s="19">
        <v>3.2454218258637488</v>
      </c>
      <c r="L30" s="16" t="e">
        <v>#VALUE!</v>
      </c>
      <c r="M30" s="16" t="e">
        <v>#VALUE!</v>
      </c>
    </row>
    <row r="31" spans="2:15" x14ac:dyDescent="0.2">
      <c r="B31" t="s">
        <v>342</v>
      </c>
      <c r="C31" s="7">
        <v>122.29</v>
      </c>
      <c r="D31" s="17">
        <v>95.61050151254959</v>
      </c>
      <c r="E31" s="12">
        <v>32.430093737749452</v>
      </c>
      <c r="F31" s="19">
        <v>1.8299525480248304</v>
      </c>
      <c r="G31" s="19">
        <v>2.476394559910732</v>
      </c>
      <c r="H31" s="19">
        <v>3.5081379736007481</v>
      </c>
      <c r="I31" s="25">
        <v>242.67336022143789</v>
      </c>
      <c r="J31" s="19">
        <v>1.0000000000000001E-5</v>
      </c>
      <c r="K31" s="19">
        <v>3.0949566878949351</v>
      </c>
      <c r="L31" s="16" t="e">
        <v>#VALUE!</v>
      </c>
      <c r="M31" s="16" t="e">
        <v>#VALUE!</v>
      </c>
    </row>
    <row r="32" spans="2:15" x14ac:dyDescent="0.2">
      <c r="B32" t="s">
        <v>307</v>
      </c>
      <c r="C32" s="7">
        <v>122.29</v>
      </c>
      <c r="D32" s="17">
        <v>58.930775255727397</v>
      </c>
      <c r="E32" s="12">
        <v>36.578920661892226</v>
      </c>
      <c r="F32" s="19">
        <v>2.2165332518123337</v>
      </c>
      <c r="G32" s="19">
        <v>2.7680964019881551</v>
      </c>
      <c r="H32" s="19">
        <v>4.1338102455304213</v>
      </c>
      <c r="I32">
        <v>1313.8127448906118</v>
      </c>
      <c r="J32" s="19">
        <v>1.0000000000000001E-5</v>
      </c>
      <c r="K32" s="19">
        <v>3.12260358158137</v>
      </c>
      <c r="L32" s="16" t="e">
        <v>#VALUE!</v>
      </c>
      <c r="M32" s="16" t="e">
        <v>#VALUE!</v>
      </c>
    </row>
    <row r="33" spans="2:13" x14ac:dyDescent="0.2">
      <c r="B33" t="s">
        <v>341</v>
      </c>
      <c r="C33" s="7">
        <v>122.29</v>
      </c>
      <c r="D33" s="17">
        <v>221.958952177123</v>
      </c>
      <c r="E33" s="12">
        <v>41.850336232520938</v>
      </c>
      <c r="F33" s="19">
        <v>1.9092542779625612</v>
      </c>
      <c r="G33" s="19">
        <v>2.4026709481511479</v>
      </c>
      <c r="H33" s="19">
        <v>2.5905938873621204</v>
      </c>
      <c r="I33">
        <v>1765.6559220462375</v>
      </c>
      <c r="J33" s="19">
        <v>1.0000000000000001E-5</v>
      </c>
      <c r="K33" s="19">
        <v>2.9241381036629934</v>
      </c>
      <c r="L33" s="16" t="e">
        <v>#VALUE!</v>
      </c>
      <c r="M33" s="16" t="e">
        <v>#VALUE!</v>
      </c>
    </row>
    <row r="34" spans="2:13" x14ac:dyDescent="0.2">
      <c r="B34" t="s">
        <v>340</v>
      </c>
      <c r="C34" s="7">
        <v>122.29</v>
      </c>
      <c r="D34" s="17">
        <v>95.565818575853413</v>
      </c>
      <c r="E34" s="12">
        <v>27.889065383339243</v>
      </c>
      <c r="F34" s="19">
        <v>2.1973922581176932</v>
      </c>
      <c r="G34" s="19">
        <v>2.44471899501093</v>
      </c>
      <c r="H34" s="19">
        <v>4.8533407613807897</v>
      </c>
      <c r="I34" s="25">
        <v>293.82913009116834</v>
      </c>
      <c r="J34" s="19">
        <v>1.0000000000000001E-5</v>
      </c>
      <c r="K34" s="19">
        <v>3.1952280261683885</v>
      </c>
      <c r="L34" s="16" t="e">
        <v>#VALUE!</v>
      </c>
      <c r="M34" s="16" t="e">
        <v>#VALUE!</v>
      </c>
    </row>
    <row r="35" spans="2:13" x14ac:dyDescent="0.2">
      <c r="B35" t="s">
        <v>339</v>
      </c>
      <c r="C35" s="7">
        <v>122.29</v>
      </c>
      <c r="D35" s="17">
        <v>98.49999808556943</v>
      </c>
      <c r="E35" s="12">
        <v>26.997731759974371</v>
      </c>
      <c r="F35" s="19">
        <v>2.2815710623638408</v>
      </c>
      <c r="G35" s="19">
        <v>2.6118330985983627</v>
      </c>
      <c r="H35" s="19">
        <v>4.5213305154969756</v>
      </c>
      <c r="I35">
        <v>980.0108753651939</v>
      </c>
      <c r="J35" s="19">
        <v>1.0000000000000001E-5</v>
      </c>
      <c r="K35" s="19">
        <v>3.1257193795241642</v>
      </c>
      <c r="L35" s="16" t="e">
        <v>#VALUE!</v>
      </c>
      <c r="M35" s="16" t="e">
        <v>#VALUE!</v>
      </c>
    </row>
    <row r="36" spans="2:13" x14ac:dyDescent="0.2">
      <c r="B36" t="s">
        <v>338</v>
      </c>
      <c r="C36" s="7">
        <v>122.29</v>
      </c>
      <c r="D36" s="17">
        <v>92.884842374082424</v>
      </c>
      <c r="E36" s="12">
        <v>28.990918952644567</v>
      </c>
      <c r="F36" s="19">
        <v>3.1593996447642518</v>
      </c>
      <c r="G36" s="19">
        <v>26.260122087486316</v>
      </c>
      <c r="H36" s="19">
        <v>1.4442661252422317</v>
      </c>
      <c r="I36">
        <v>3055.3662001082912</v>
      </c>
      <c r="J36">
        <v>1188.0389851744319</v>
      </c>
      <c r="K36" s="19">
        <v>3.0966928539128102</v>
      </c>
      <c r="L36" s="16" t="e">
        <v>#VALUE!</v>
      </c>
      <c r="M36" s="16" t="e">
        <v>#VALUE!</v>
      </c>
    </row>
    <row r="37" spans="2:13" x14ac:dyDescent="0.2">
      <c r="B37" t="s">
        <v>337</v>
      </c>
      <c r="C37" s="7">
        <v>122.29</v>
      </c>
      <c r="D37" s="17">
        <v>32.458617648610989</v>
      </c>
      <c r="E37" s="12">
        <v>17.978778807622746</v>
      </c>
      <c r="F37" s="19">
        <v>2.5916755858772325</v>
      </c>
      <c r="G37" s="19">
        <v>14.192997337546815</v>
      </c>
      <c r="H37" s="19">
        <v>2.7238906304492616</v>
      </c>
      <c r="I37">
        <v>12220.915797740527</v>
      </c>
      <c r="J37" s="19">
        <v>43.837878687858122</v>
      </c>
      <c r="K37" s="19">
        <v>3.3624812694707651</v>
      </c>
      <c r="L37" s="16" t="e">
        <v>#VALUE!</v>
      </c>
      <c r="M37" s="16" t="e">
        <v>#VALUE!</v>
      </c>
    </row>
    <row r="38" spans="2:13" x14ac:dyDescent="0.2">
      <c r="B38" t="s">
        <v>336</v>
      </c>
      <c r="C38" s="7">
        <v>122.29</v>
      </c>
      <c r="D38" s="17">
        <v>172.23180840501539</v>
      </c>
      <c r="E38" s="12">
        <v>22.682273041566088</v>
      </c>
      <c r="F38" s="19">
        <v>3.1629311339126316</v>
      </c>
      <c r="G38" s="19">
        <v>29.151161642265151</v>
      </c>
      <c r="H38" s="19">
        <v>1.9202470834415124</v>
      </c>
      <c r="I38">
        <v>2103.7815022746131</v>
      </c>
      <c r="J38">
        <v>1605.9467951002609</v>
      </c>
      <c r="K38" s="19">
        <v>3.121820756725096</v>
      </c>
      <c r="L38" s="16" t="e">
        <v>#VALUE!</v>
      </c>
      <c r="M38" s="16" t="e">
        <v>#VALUE!</v>
      </c>
    </row>
    <row r="39" spans="2:13" x14ac:dyDescent="0.2">
      <c r="B39" t="s">
        <v>335</v>
      </c>
      <c r="C39" s="7">
        <v>122.29</v>
      </c>
      <c r="D39" s="17">
        <v>42.914424835517806</v>
      </c>
      <c r="E39" s="12">
        <v>13.904383812943985</v>
      </c>
      <c r="F39" s="19">
        <v>2.3350146231542297</v>
      </c>
      <c r="G39" s="19">
        <v>12.847648957242281</v>
      </c>
      <c r="H39" s="19">
        <v>2.0945975543299027</v>
      </c>
      <c r="I39">
        <v>2792.8358897320627</v>
      </c>
      <c r="J39" s="19">
        <v>193.14888096282971</v>
      </c>
      <c r="K39" s="19">
        <v>3.3427323810174325</v>
      </c>
      <c r="L39" s="16" t="e">
        <v>#VALUE!</v>
      </c>
      <c r="M39" s="16" t="e">
        <v>#VALUE!</v>
      </c>
    </row>
    <row r="40" spans="2:13" x14ac:dyDescent="0.2">
      <c r="B40" t="s">
        <v>334</v>
      </c>
      <c r="C40" s="7">
        <v>122.29</v>
      </c>
      <c r="D40" s="17">
        <v>89.781860659069736</v>
      </c>
      <c r="E40" s="12">
        <v>20.545560576189253</v>
      </c>
      <c r="F40" s="19">
        <v>2.0659388008121913</v>
      </c>
      <c r="G40" s="19">
        <v>2.3834820309196836</v>
      </c>
      <c r="H40" s="19">
        <v>3.204798035984691</v>
      </c>
      <c r="I40">
        <v>660.09608083565638</v>
      </c>
      <c r="J40" s="19">
        <v>1.0000000000000001E-5</v>
      </c>
      <c r="K40" s="19">
        <v>3.0503821755342155</v>
      </c>
      <c r="L40" s="16" t="e">
        <v>#VALUE!</v>
      </c>
      <c r="M40" s="16" t="e">
        <v>#VALUE!</v>
      </c>
    </row>
    <row r="41" spans="2:13" x14ac:dyDescent="0.2">
      <c r="B41" t="s">
        <v>333</v>
      </c>
      <c r="C41" s="7">
        <v>122.29</v>
      </c>
      <c r="D41" s="17">
        <v>40.069611199194156</v>
      </c>
      <c r="E41" s="12">
        <v>29.417195153938955</v>
      </c>
      <c r="F41" s="19">
        <v>2.4483752456447472</v>
      </c>
      <c r="G41" s="19">
        <v>8.0461608950880841</v>
      </c>
      <c r="H41" s="19">
        <v>1.4172783468023937</v>
      </c>
      <c r="I41" s="25">
        <v>770.40948154537682</v>
      </c>
      <c r="J41" s="19">
        <v>86.505198262747371</v>
      </c>
      <c r="K41" s="19">
        <v>3.1486538225906515</v>
      </c>
      <c r="L41" s="16" t="e">
        <v>#VALUE!</v>
      </c>
      <c r="M41" s="16" t="e">
        <v>#VALUE!</v>
      </c>
    </row>
    <row r="42" spans="2:13" x14ac:dyDescent="0.2">
      <c r="B42" t="s">
        <v>332</v>
      </c>
      <c r="C42" s="7">
        <v>122.29</v>
      </c>
      <c r="D42" s="17">
        <v>134.43997350153259</v>
      </c>
      <c r="E42" s="12">
        <v>22.38113996138053</v>
      </c>
      <c r="F42" s="19">
        <v>2.6654552206575279</v>
      </c>
      <c r="G42" s="19">
        <v>7.3472277230695981</v>
      </c>
      <c r="H42" s="19">
        <v>1.1911867186458043</v>
      </c>
      <c r="I42">
        <v>1577.4447257571676</v>
      </c>
      <c r="J42">
        <v>249.22564430462228</v>
      </c>
      <c r="K42" s="19">
        <v>2.9504751220948697</v>
      </c>
      <c r="L42" s="16" t="e">
        <v>#VALUE!</v>
      </c>
      <c r="M42" s="16" t="e">
        <v>#VALUE!</v>
      </c>
    </row>
    <row r="43" spans="2:13" x14ac:dyDescent="0.2">
      <c r="B43" t="s">
        <v>331</v>
      </c>
      <c r="C43" s="7">
        <v>122.29</v>
      </c>
      <c r="D43" s="17">
        <v>180.70667206505809</v>
      </c>
      <c r="E43" s="12">
        <v>19.441275532908733</v>
      </c>
      <c r="F43" s="19">
        <v>2.6466080697941075</v>
      </c>
      <c r="G43" s="19">
        <v>10.190264123715391</v>
      </c>
      <c r="H43" s="19">
        <v>1.4390435526563679</v>
      </c>
      <c r="I43">
        <v>3213.9336330204296</v>
      </c>
      <c r="J43">
        <v>145.45053803254066</v>
      </c>
      <c r="K43" s="19">
        <v>3.0530329290079359</v>
      </c>
      <c r="L43" s="16" t="e">
        <v>#VALUE!</v>
      </c>
      <c r="M43" s="16" t="e">
        <v>#VALUE!</v>
      </c>
    </row>
    <row r="44" spans="2:13" x14ac:dyDescent="0.2">
      <c r="B44" t="s">
        <v>330</v>
      </c>
      <c r="C44" s="7">
        <v>122.29</v>
      </c>
      <c r="D44" s="17">
        <v>189.88156840000767</v>
      </c>
      <c r="E44" s="12">
        <v>25.363999428481925</v>
      </c>
      <c r="F44" s="19">
        <v>1.8170467558707077</v>
      </c>
      <c r="G44" s="19">
        <v>2.6754998658068456</v>
      </c>
      <c r="H44" s="19">
        <v>2.9923416295535663</v>
      </c>
      <c r="I44" s="25">
        <v>168.18174343646126</v>
      </c>
      <c r="J44" s="19">
        <v>1.0000000000000001E-5</v>
      </c>
      <c r="K44" s="19">
        <v>2.9490954901699511</v>
      </c>
      <c r="L44" s="16" t="e">
        <v>#VALUE!</v>
      </c>
      <c r="M44" s="16" t="e">
        <v>#VALUE!</v>
      </c>
    </row>
    <row r="45" spans="2:13" x14ac:dyDescent="0.2">
      <c r="B45" t="s">
        <v>329</v>
      </c>
      <c r="C45" s="7">
        <v>122.29</v>
      </c>
      <c r="D45" s="17">
        <v>46.543672249396671</v>
      </c>
      <c r="E45" s="12">
        <v>16.282617165171384</v>
      </c>
      <c r="F45" s="19">
        <v>1.8289079725943354</v>
      </c>
      <c r="G45" s="19">
        <v>1.0000000000000001E-5</v>
      </c>
      <c r="H45" s="19">
        <v>3.7542045958744041</v>
      </c>
      <c r="I45" s="25">
        <v>295.78642789961702</v>
      </c>
      <c r="J45" s="19">
        <v>1.0000000000000001E-5</v>
      </c>
      <c r="K45" s="19">
        <v>2.9811913092771918</v>
      </c>
      <c r="L45" s="16" t="e">
        <v>#VALUE!</v>
      </c>
      <c r="M45" s="16" t="e">
        <v>#VALUE!</v>
      </c>
    </row>
    <row r="46" spans="2:13" x14ac:dyDescent="0.2">
      <c r="B46" t="s">
        <v>328</v>
      </c>
      <c r="C46" s="7">
        <v>122.29</v>
      </c>
      <c r="D46" s="17">
        <v>61.090450529376241</v>
      </c>
      <c r="E46" s="12">
        <v>29.014698888582526</v>
      </c>
      <c r="F46" s="19">
        <v>1.8266306906523821</v>
      </c>
      <c r="G46" s="19">
        <v>2.4368702467664347</v>
      </c>
      <c r="H46" s="19">
        <v>2.4230677574557733</v>
      </c>
      <c r="I46" s="25">
        <v>133.99565478702212</v>
      </c>
      <c r="J46" s="19">
        <v>1.0000000000000001E-5</v>
      </c>
      <c r="K46" s="19">
        <v>2.9538079407898987</v>
      </c>
      <c r="L46" s="16" t="e">
        <v>#VALUE!</v>
      </c>
      <c r="M46" s="16" t="e">
        <v>#VALUE!</v>
      </c>
    </row>
    <row r="47" spans="2:13" x14ac:dyDescent="0.2">
      <c r="B47" t="s">
        <v>327</v>
      </c>
      <c r="C47" s="7">
        <v>122.29</v>
      </c>
      <c r="D47" s="17">
        <v>34.052309057441505</v>
      </c>
      <c r="E47" s="12">
        <v>21.479134661304744</v>
      </c>
      <c r="F47" s="19">
        <v>1.9916736086705511</v>
      </c>
      <c r="G47" s="19">
        <v>4.8516534468083403</v>
      </c>
      <c r="H47" s="19">
        <v>4.2525968513815808</v>
      </c>
      <c r="I47">
        <v>3168.543609791212</v>
      </c>
      <c r="J47" s="19">
        <v>10.335043984839425</v>
      </c>
      <c r="K47" s="19">
        <v>3.2196893652416678</v>
      </c>
      <c r="L47" s="16" t="e">
        <v>#VALUE!</v>
      </c>
      <c r="M47" s="16" t="e">
        <v>#VALUE!</v>
      </c>
    </row>
    <row r="48" spans="2:13" x14ac:dyDescent="0.2">
      <c r="B48" t="s">
        <v>326</v>
      </c>
      <c r="C48" s="7">
        <v>122.29</v>
      </c>
      <c r="D48" s="17" t="e">
        <v>#VALUE!</v>
      </c>
      <c r="E48" s="12">
        <v>31.46108464377555</v>
      </c>
      <c r="F48" s="19">
        <v>1.7468577371499512</v>
      </c>
      <c r="G48" s="19">
        <v>1.0000000000000001E-5</v>
      </c>
      <c r="H48" s="19">
        <v>2.4387354752133654</v>
      </c>
      <c r="I48" s="25">
        <v>60.955071434990515</v>
      </c>
      <c r="J48" s="19">
        <v>1.0000000000000001E-5</v>
      </c>
      <c r="K48" s="19">
        <v>2.8374925683334009</v>
      </c>
      <c r="L48" s="16" t="e">
        <v>#VALUE!</v>
      </c>
      <c r="M48" s="16" t="e">
        <v>#VALUE!</v>
      </c>
    </row>
    <row r="49" spans="2:13" x14ac:dyDescent="0.2">
      <c r="B49" t="s">
        <v>325</v>
      </c>
      <c r="C49" s="7">
        <v>122.29</v>
      </c>
      <c r="D49" s="17">
        <v>40.556158732108152</v>
      </c>
      <c r="E49" s="12">
        <v>30.040060656365192</v>
      </c>
      <c r="F49" s="19">
        <v>1.8665503143083391</v>
      </c>
      <c r="G49" s="19">
        <v>2.4939914116638788</v>
      </c>
      <c r="H49" s="19">
        <v>6.1156688599568012</v>
      </c>
      <c r="I49" s="25">
        <v>228.96846614614333</v>
      </c>
      <c r="J49" s="19">
        <v>1.0000000000000001E-5</v>
      </c>
      <c r="K49" s="19">
        <v>3.3433446895683803</v>
      </c>
      <c r="L49" s="16" t="e">
        <v>#VALUE!</v>
      </c>
      <c r="M49" s="16" t="e">
        <v>#VALUE!</v>
      </c>
    </row>
    <row r="50" spans="2:13" x14ac:dyDescent="0.2">
      <c r="B50" t="s">
        <v>324</v>
      </c>
      <c r="C50" s="7">
        <v>122.29</v>
      </c>
      <c r="D50" s="17">
        <v>41.410099300079636</v>
      </c>
      <c r="E50" s="12">
        <v>33.326183363803743</v>
      </c>
      <c r="F50" s="19">
        <v>1.8691142721831895</v>
      </c>
      <c r="G50" s="19">
        <v>2.7963874214089022</v>
      </c>
      <c r="H50" s="19">
        <v>9.1800806259055854</v>
      </c>
      <c r="I50" s="25">
        <v>286.90308471664025</v>
      </c>
      <c r="J50" s="19">
        <v>1.1899885986198202</v>
      </c>
      <c r="K50" s="19">
        <v>3.1964216403056773</v>
      </c>
      <c r="L50" s="16" t="e">
        <v>#VALUE!</v>
      </c>
      <c r="M50" s="16" t="e">
        <v>#VALUE!</v>
      </c>
    </row>
    <row r="51" spans="2:13" x14ac:dyDescent="0.2">
      <c r="B51" t="s">
        <v>323</v>
      </c>
      <c r="C51" s="7">
        <v>122.29</v>
      </c>
      <c r="D51" s="17">
        <v>20.622604194866515</v>
      </c>
      <c r="E51" s="12">
        <v>37.936671680004707</v>
      </c>
      <c r="F51" s="19">
        <v>1.9390829087805312</v>
      </c>
      <c r="G51" s="19">
        <v>3.9938313425442251</v>
      </c>
      <c r="H51" s="19">
        <v>6.9071443512490323</v>
      </c>
      <c r="I51">
        <v>2381.6111000014002</v>
      </c>
      <c r="J51" s="19">
        <v>3.5381283003424984</v>
      </c>
      <c r="K51" s="19">
        <v>3.2317727706964345</v>
      </c>
      <c r="L51" s="16" t="e">
        <v>#VALUE!</v>
      </c>
      <c r="M51" s="16">
        <v>1.2254836981167019</v>
      </c>
    </row>
    <row r="52" spans="2:13" x14ac:dyDescent="0.2">
      <c r="D52" s="17"/>
      <c r="L52" s="16"/>
      <c r="M52" s="16"/>
    </row>
    <row r="53" spans="2:13" x14ac:dyDescent="0.2">
      <c r="D53" s="16"/>
      <c r="L53" s="16"/>
      <c r="M53" s="16"/>
    </row>
    <row r="54" spans="2:13" x14ac:dyDescent="0.2">
      <c r="D54" s="16"/>
      <c r="L54" s="16"/>
      <c r="M54" s="16"/>
    </row>
    <row r="55" spans="2:13" x14ac:dyDescent="0.2">
      <c r="D55" s="16"/>
      <c r="L55" s="16"/>
      <c r="M55" s="16"/>
    </row>
    <row r="56" spans="2:13" x14ac:dyDescent="0.2">
      <c r="D56" s="16"/>
      <c r="L56" s="16"/>
      <c r="M56" s="16"/>
    </row>
    <row r="57" spans="2:13" x14ac:dyDescent="0.2">
      <c r="D57" s="16"/>
      <c r="L57" s="16"/>
      <c r="M57" s="16"/>
    </row>
    <row r="58" spans="2:13" ht="80" x14ac:dyDescent="0.2">
      <c r="B58" t="s">
        <v>119</v>
      </c>
      <c r="D58" s="18" t="s">
        <v>147</v>
      </c>
      <c r="E58" s="7" t="s">
        <v>183</v>
      </c>
      <c r="F58" s="7" t="s">
        <v>184</v>
      </c>
      <c r="G58" s="7" t="s">
        <v>185</v>
      </c>
      <c r="H58" s="7" t="s">
        <v>186</v>
      </c>
      <c r="I58" s="7"/>
      <c r="J58" s="7"/>
      <c r="K58" s="7" t="s">
        <v>189</v>
      </c>
      <c r="L58" s="16"/>
      <c r="M58" s="16"/>
    </row>
    <row r="59" spans="2:13" x14ac:dyDescent="0.2">
      <c r="B59" t="s">
        <v>120</v>
      </c>
      <c r="D59" s="16" t="s">
        <v>133</v>
      </c>
      <c r="E59" t="s">
        <v>133</v>
      </c>
      <c r="F59" t="s">
        <v>133</v>
      </c>
      <c r="G59" t="s">
        <v>133</v>
      </c>
      <c r="H59" t="s">
        <v>133</v>
      </c>
      <c r="I59" t="s">
        <v>133</v>
      </c>
      <c r="J59" t="s">
        <v>133</v>
      </c>
      <c r="K59" t="s">
        <v>133</v>
      </c>
      <c r="L59" s="16" t="s">
        <v>133</v>
      </c>
      <c r="M59" s="16" t="s">
        <v>133</v>
      </c>
    </row>
    <row r="60" spans="2:13" x14ac:dyDescent="0.2">
      <c r="B60" t="s">
        <v>48</v>
      </c>
      <c r="D60" s="16">
        <v>0.99799000000000004</v>
      </c>
      <c r="E60">
        <v>0.99906329999999999</v>
      </c>
      <c r="F60">
        <v>0.98649500000000001</v>
      </c>
      <c r="G60">
        <v>0.9912493</v>
      </c>
      <c r="H60">
        <v>0.9985946</v>
      </c>
      <c r="I60">
        <v>0.99519619999999998</v>
      </c>
      <c r="J60">
        <v>0.99519619999999998</v>
      </c>
      <c r="K60">
        <v>0.99206450000000002</v>
      </c>
      <c r="L60" s="16">
        <v>0.99998089999999995</v>
      </c>
      <c r="M60" s="16">
        <v>0.9999614</v>
      </c>
    </row>
    <row r="61" spans="2:13" x14ac:dyDescent="0.2">
      <c r="B61" t="s">
        <v>110</v>
      </c>
      <c r="D61" s="16">
        <v>9.0359300000000005</v>
      </c>
      <c r="E61">
        <v>18.892230000000001</v>
      </c>
      <c r="F61">
        <v>36.011679999999998</v>
      </c>
      <c r="G61">
        <v>81.325640000000007</v>
      </c>
      <c r="H61">
        <v>12.839499999999999</v>
      </c>
      <c r="I61">
        <v>26.47747</v>
      </c>
      <c r="J61">
        <v>26.47747</v>
      </c>
      <c r="K61">
        <v>51.404559999999996</v>
      </c>
      <c r="L61" s="16">
        <v>120.0836</v>
      </c>
      <c r="M61" s="16">
        <v>123.7475</v>
      </c>
    </row>
    <row r="62" spans="2:13" x14ac:dyDescent="0.2">
      <c r="B62" t="s">
        <v>125</v>
      </c>
      <c r="D62" s="16">
        <v>10</v>
      </c>
      <c r="E62">
        <v>0.25</v>
      </c>
      <c r="F62">
        <v>0.25</v>
      </c>
      <c r="G62">
        <v>1</v>
      </c>
      <c r="H62">
        <v>0.25</v>
      </c>
      <c r="I62">
        <v>0.25</v>
      </c>
      <c r="J62">
        <v>0.25</v>
      </c>
      <c r="K62">
        <v>0.25</v>
      </c>
      <c r="L62" s="16">
        <v>2.5</v>
      </c>
      <c r="M62" s="16">
        <v>0.25</v>
      </c>
    </row>
    <row r="63" spans="2:13" x14ac:dyDescent="0.2">
      <c r="B63" t="s">
        <v>126</v>
      </c>
      <c r="D63" s="16">
        <v>250</v>
      </c>
      <c r="E63">
        <v>500</v>
      </c>
      <c r="F63">
        <v>50</v>
      </c>
      <c r="G63">
        <v>100</v>
      </c>
      <c r="H63">
        <v>100</v>
      </c>
      <c r="I63">
        <v>500</v>
      </c>
      <c r="J63">
        <v>500</v>
      </c>
      <c r="K63">
        <v>100</v>
      </c>
      <c r="L63" s="16">
        <v>250</v>
      </c>
      <c r="M63" s="16">
        <v>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02C2-8CB4-4061-A8F8-DB251991766F}">
  <dimension ref="A1:L63"/>
  <sheetViews>
    <sheetView workbookViewId="0">
      <selection activeCell="C6" sqref="C6:F51"/>
    </sheetView>
  </sheetViews>
  <sheetFormatPr baseColWidth="10" defaultColWidth="8.83203125" defaultRowHeight="15" x14ac:dyDescent="0.2"/>
  <cols>
    <col min="2" max="2" width="20.5" bestFit="1" customWidth="1"/>
    <col min="3" max="3" width="10.1640625" style="26" customWidth="1"/>
    <col min="4" max="4" width="10.33203125" customWidth="1"/>
    <col min="5" max="5" width="10.5" customWidth="1"/>
    <col min="6" max="6" width="9.6640625" customWidth="1"/>
    <col min="7" max="7" width="10" customWidth="1"/>
    <col min="11" max="11" width="19.83203125" customWidth="1"/>
    <col min="12" max="12" width="10.5" customWidth="1"/>
  </cols>
  <sheetData>
    <row r="1" spans="1:12" s="7" customFormat="1" ht="32" x14ac:dyDescent="0.2">
      <c r="A1" s="7" t="s">
        <v>127</v>
      </c>
      <c r="C1" s="27" t="s">
        <v>108</v>
      </c>
      <c r="D1" s="7" t="s">
        <v>114</v>
      </c>
      <c r="E1" s="7" t="s">
        <v>115</v>
      </c>
      <c r="F1" s="7" t="s">
        <v>116</v>
      </c>
      <c r="G1" s="15" t="s">
        <v>38</v>
      </c>
      <c r="H1" s="15" t="s">
        <v>4</v>
      </c>
      <c r="I1" s="15" t="s">
        <v>19</v>
      </c>
      <c r="K1"/>
      <c r="L1"/>
    </row>
    <row r="2" spans="1:12" x14ac:dyDescent="0.2">
      <c r="B2" t="s">
        <v>82</v>
      </c>
      <c r="C2" s="32">
        <v>24.669689999999999</v>
      </c>
      <c r="D2">
        <v>34.634349999999998</v>
      </c>
      <c r="E2">
        <v>36.247309999999999</v>
      </c>
      <c r="F2">
        <v>38.559150000000002</v>
      </c>
      <c r="G2" s="16">
        <v>33.164720000000003</v>
      </c>
      <c r="H2" s="16">
        <v>25.87604</v>
      </c>
      <c r="I2" s="16">
        <v>30.62397</v>
      </c>
    </row>
    <row r="3" spans="1:12" x14ac:dyDescent="0.2">
      <c r="B3" t="s">
        <v>58</v>
      </c>
      <c r="C3" s="32">
        <v>34.435169999999999</v>
      </c>
      <c r="D3">
        <v>31.383659999999999</v>
      </c>
      <c r="E3">
        <v>48.659210000000002</v>
      </c>
      <c r="F3">
        <v>50.50414</v>
      </c>
      <c r="G3" s="16" t="s">
        <v>107</v>
      </c>
      <c r="H3" s="16">
        <v>14.27674</v>
      </c>
      <c r="I3" s="16" t="s">
        <v>107</v>
      </c>
    </row>
    <row r="4" spans="1:12" x14ac:dyDescent="0.2">
      <c r="B4" t="s">
        <v>98</v>
      </c>
      <c r="C4" s="32">
        <v>37.447209999999998</v>
      </c>
      <c r="D4">
        <v>32.046239999999997</v>
      </c>
      <c r="E4">
        <v>53.741169999999997</v>
      </c>
      <c r="F4">
        <v>78.977429999999998</v>
      </c>
      <c r="G4" s="16" t="s">
        <v>107</v>
      </c>
      <c r="H4" s="16">
        <v>62.258719999999997</v>
      </c>
      <c r="I4" s="16" t="s">
        <v>107</v>
      </c>
    </row>
    <row r="5" spans="1:12" x14ac:dyDescent="0.2">
      <c r="B5" t="s">
        <v>106</v>
      </c>
      <c r="C5" s="32">
        <v>15.62947</v>
      </c>
      <c r="D5">
        <v>23.73273</v>
      </c>
      <c r="E5">
        <v>42.913679999999999</v>
      </c>
      <c r="F5">
        <v>39.875819999999997</v>
      </c>
      <c r="G5" s="16">
        <v>2.7245499999999998</v>
      </c>
      <c r="H5" s="16">
        <v>12.30034</v>
      </c>
      <c r="I5" s="16" t="s">
        <v>107</v>
      </c>
    </row>
    <row r="6" spans="1:12" x14ac:dyDescent="0.2">
      <c r="B6" t="s">
        <v>366</v>
      </c>
      <c r="C6" s="32">
        <v>4.6519300000000001</v>
      </c>
      <c r="D6">
        <v>62.275599999999997</v>
      </c>
      <c r="E6">
        <v>3.6114600000000001</v>
      </c>
      <c r="F6">
        <v>66.289420000000007</v>
      </c>
      <c r="G6" s="16">
        <v>8.2292199999999998</v>
      </c>
      <c r="H6" s="16">
        <v>47.199559999999998</v>
      </c>
      <c r="I6" s="16">
        <v>0</v>
      </c>
    </row>
    <row r="7" spans="1:12" x14ac:dyDescent="0.2">
      <c r="B7" t="s">
        <v>365</v>
      </c>
      <c r="C7" s="32">
        <v>8.1070899999999995</v>
      </c>
      <c r="D7">
        <v>58.695880000000002</v>
      </c>
      <c r="E7">
        <v>172.59474</v>
      </c>
      <c r="F7">
        <v>139.72659999999999</v>
      </c>
      <c r="G7" s="16" t="s">
        <v>107</v>
      </c>
      <c r="H7" s="16">
        <v>18.284579999999998</v>
      </c>
      <c r="I7" s="16">
        <v>0</v>
      </c>
    </row>
    <row r="8" spans="1:12" x14ac:dyDescent="0.2">
      <c r="B8" t="s">
        <v>364</v>
      </c>
      <c r="C8" s="32">
        <v>2.0071599999999998</v>
      </c>
      <c r="D8">
        <v>36.346739999999997</v>
      </c>
      <c r="E8">
        <v>4.9275900000000004</v>
      </c>
      <c r="F8">
        <v>15.34252</v>
      </c>
      <c r="G8" s="16">
        <v>2.1057800000000002</v>
      </c>
      <c r="H8" s="16">
        <v>14.872389999999999</v>
      </c>
      <c r="I8" s="16" t="s">
        <v>107</v>
      </c>
    </row>
    <row r="9" spans="1:12" x14ac:dyDescent="0.2">
      <c r="B9" t="s">
        <v>321</v>
      </c>
      <c r="C9" s="32">
        <v>25.199169999999999</v>
      </c>
      <c r="D9">
        <v>49.291339999999998</v>
      </c>
      <c r="E9">
        <v>111.7285</v>
      </c>
      <c r="F9">
        <v>268.98392999999999</v>
      </c>
      <c r="G9" s="16" t="s">
        <v>107</v>
      </c>
      <c r="H9" s="16">
        <v>12.631309999999999</v>
      </c>
      <c r="I9" s="16" t="s">
        <v>107</v>
      </c>
    </row>
    <row r="10" spans="1:12" x14ac:dyDescent="0.2">
      <c r="B10" t="s">
        <v>363</v>
      </c>
      <c r="C10" s="32">
        <v>1.9685699999999999</v>
      </c>
      <c r="D10">
        <v>64.970609999999994</v>
      </c>
      <c r="E10">
        <v>2.4474900000000002</v>
      </c>
      <c r="F10">
        <v>16.717279999999999</v>
      </c>
      <c r="G10" s="16" t="s">
        <v>107</v>
      </c>
      <c r="H10" s="16">
        <v>12.665139999999999</v>
      </c>
      <c r="I10" s="16">
        <v>0</v>
      </c>
    </row>
    <row r="11" spans="1:12" x14ac:dyDescent="0.2">
      <c r="B11" t="s">
        <v>362</v>
      </c>
      <c r="C11" s="32">
        <v>3.9047499999999999</v>
      </c>
      <c r="D11">
        <v>44.657209999999999</v>
      </c>
      <c r="E11">
        <v>2.5543999999999998</v>
      </c>
      <c r="F11">
        <v>60.95187</v>
      </c>
      <c r="G11" s="16" t="s">
        <v>107</v>
      </c>
      <c r="H11" s="16">
        <v>10.87829</v>
      </c>
      <c r="I11" s="16">
        <v>0</v>
      </c>
    </row>
    <row r="12" spans="1:12" x14ac:dyDescent="0.2">
      <c r="B12" t="s">
        <v>361</v>
      </c>
      <c r="C12" s="32">
        <v>9.9480900000000005</v>
      </c>
      <c r="D12">
        <v>63.181359999999998</v>
      </c>
      <c r="E12">
        <v>2.53287</v>
      </c>
      <c r="F12">
        <v>151.44158999999999</v>
      </c>
      <c r="G12" s="16" t="s">
        <v>107</v>
      </c>
      <c r="H12" s="16">
        <v>11.049289999999999</v>
      </c>
      <c r="I12" s="16" t="s">
        <v>107</v>
      </c>
    </row>
    <row r="13" spans="1:12" x14ac:dyDescent="0.2">
      <c r="B13" t="s">
        <v>360</v>
      </c>
      <c r="C13" s="32">
        <v>7.4328599999999998</v>
      </c>
      <c r="D13">
        <v>70.93253</v>
      </c>
      <c r="E13">
        <v>2.4693000000000001</v>
      </c>
      <c r="F13">
        <v>77.533690000000007</v>
      </c>
      <c r="G13" s="16">
        <v>2.8951500000000001</v>
      </c>
      <c r="H13" s="16" t="s">
        <v>107</v>
      </c>
      <c r="I13" s="16" t="s">
        <v>107</v>
      </c>
    </row>
    <row r="14" spans="1:12" x14ac:dyDescent="0.2">
      <c r="B14" t="s">
        <v>359</v>
      </c>
      <c r="C14" s="32">
        <v>1.8155699999999999</v>
      </c>
      <c r="D14">
        <v>22.359500000000001</v>
      </c>
      <c r="E14">
        <v>2.4868899999999998</v>
      </c>
      <c r="F14">
        <v>9.5032499999999995</v>
      </c>
      <c r="G14" s="16" t="s">
        <v>107</v>
      </c>
      <c r="H14" s="16">
        <v>10.918620000000001</v>
      </c>
      <c r="I14" s="16" t="s">
        <v>107</v>
      </c>
    </row>
    <row r="15" spans="1:12" x14ac:dyDescent="0.2">
      <c r="B15" t="s">
        <v>358</v>
      </c>
      <c r="C15" s="32">
        <v>2.4774400000000001</v>
      </c>
      <c r="D15">
        <v>47.979669999999999</v>
      </c>
      <c r="E15">
        <v>2.46123</v>
      </c>
      <c r="F15">
        <v>21.51512</v>
      </c>
      <c r="G15" s="16" t="s">
        <v>107</v>
      </c>
      <c r="H15" s="16">
        <v>12.45157</v>
      </c>
      <c r="I15" s="16" t="s">
        <v>107</v>
      </c>
    </row>
    <row r="16" spans="1:12" x14ac:dyDescent="0.2">
      <c r="B16" t="s">
        <v>357</v>
      </c>
      <c r="C16" s="32">
        <v>2.3039100000000001</v>
      </c>
      <c r="D16">
        <v>52.011369999999999</v>
      </c>
      <c r="E16">
        <v>2.4739300000000002</v>
      </c>
      <c r="F16">
        <v>20.748380000000001</v>
      </c>
      <c r="G16" s="16" t="s">
        <v>107</v>
      </c>
      <c r="H16" s="16">
        <v>15.29538</v>
      </c>
      <c r="I16" s="16" t="s">
        <v>107</v>
      </c>
    </row>
    <row r="17" spans="2:9" x14ac:dyDescent="0.2">
      <c r="B17" t="s">
        <v>356</v>
      </c>
      <c r="C17" s="32">
        <v>2.0603799999999999</v>
      </c>
      <c r="D17">
        <v>39.00365</v>
      </c>
      <c r="E17">
        <v>2.44861</v>
      </c>
      <c r="F17">
        <v>10.67877</v>
      </c>
      <c r="G17" s="16" t="s">
        <v>107</v>
      </c>
      <c r="H17" s="16">
        <v>22.680109999999999</v>
      </c>
      <c r="I17" s="16" t="s">
        <v>107</v>
      </c>
    </row>
    <row r="18" spans="2:9" x14ac:dyDescent="0.2">
      <c r="B18" t="s">
        <v>355</v>
      </c>
      <c r="C18" s="32">
        <v>2.0813299999999999</v>
      </c>
      <c r="D18">
        <v>39.408160000000002</v>
      </c>
      <c r="E18">
        <v>2.6221000000000001</v>
      </c>
      <c r="F18">
        <v>10.97214</v>
      </c>
      <c r="G18" s="16" t="s">
        <v>107</v>
      </c>
      <c r="H18" s="16">
        <v>85.781899999999993</v>
      </c>
      <c r="I18" s="16">
        <v>0</v>
      </c>
    </row>
    <row r="19" spans="2:9" x14ac:dyDescent="0.2">
      <c r="B19" t="s">
        <v>354</v>
      </c>
      <c r="C19" s="32">
        <v>1.8594999999999999</v>
      </c>
      <c r="D19">
        <v>37.076700000000002</v>
      </c>
      <c r="E19">
        <v>2.4497300000000002</v>
      </c>
      <c r="F19">
        <v>9.2918000000000003</v>
      </c>
      <c r="G19" s="16" t="s">
        <v>107</v>
      </c>
      <c r="H19" s="16" t="s">
        <v>107</v>
      </c>
      <c r="I19" s="16" t="s">
        <v>107</v>
      </c>
    </row>
    <row r="20" spans="2:9" x14ac:dyDescent="0.2">
      <c r="B20" t="s">
        <v>353</v>
      </c>
      <c r="C20" s="32">
        <v>1.82138</v>
      </c>
      <c r="D20">
        <v>39.360370000000003</v>
      </c>
      <c r="E20">
        <v>2.4817900000000002</v>
      </c>
      <c r="F20">
        <v>9.4688199999999991</v>
      </c>
      <c r="G20" s="16" t="s">
        <v>107</v>
      </c>
      <c r="H20" s="16">
        <v>10.543340000000001</v>
      </c>
      <c r="I20" s="16" t="s">
        <v>107</v>
      </c>
    </row>
    <row r="21" spans="2:9" x14ac:dyDescent="0.2">
      <c r="B21" t="s">
        <v>352</v>
      </c>
      <c r="C21" s="32">
        <v>2.2306900000000001</v>
      </c>
      <c r="D21">
        <v>40.737630000000003</v>
      </c>
      <c r="E21">
        <v>2.62771</v>
      </c>
      <c r="F21">
        <v>22.156099999999999</v>
      </c>
      <c r="G21" s="16">
        <v>2.0177900000000002</v>
      </c>
      <c r="H21" s="16">
        <v>28.527740000000001</v>
      </c>
      <c r="I21" s="16">
        <v>0</v>
      </c>
    </row>
    <row r="22" spans="2:9" x14ac:dyDescent="0.2">
      <c r="B22" t="s">
        <v>351</v>
      </c>
      <c r="C22" s="32">
        <v>8.0770099999999996</v>
      </c>
      <c r="D22">
        <v>45.052750000000003</v>
      </c>
      <c r="E22">
        <v>5.7952000000000004</v>
      </c>
      <c r="F22">
        <v>103.10267</v>
      </c>
      <c r="G22" s="16" t="s">
        <v>107</v>
      </c>
      <c r="H22" s="16">
        <v>37.628799999999998</v>
      </c>
      <c r="I22" s="16">
        <v>0</v>
      </c>
    </row>
    <row r="23" spans="2:9" x14ac:dyDescent="0.2">
      <c r="B23" t="s">
        <v>350</v>
      </c>
      <c r="C23" s="32">
        <v>2.1507999999999998</v>
      </c>
      <c r="D23">
        <v>58.580109999999998</v>
      </c>
      <c r="E23">
        <v>5.0522200000000002</v>
      </c>
      <c r="F23">
        <v>10.260400000000001</v>
      </c>
      <c r="G23" s="16" t="s">
        <v>107</v>
      </c>
      <c r="H23" s="16">
        <v>25.785409999999999</v>
      </c>
      <c r="I23" s="16">
        <v>0</v>
      </c>
    </row>
    <row r="24" spans="2:9" x14ac:dyDescent="0.2">
      <c r="B24" t="s">
        <v>349</v>
      </c>
      <c r="C24" s="32">
        <v>2.0163000000000002</v>
      </c>
      <c r="D24">
        <v>24.01258</v>
      </c>
      <c r="E24">
        <v>193.94434000000001</v>
      </c>
      <c r="F24">
        <v>15.86267</v>
      </c>
      <c r="G24" s="16" t="s">
        <v>107</v>
      </c>
      <c r="H24" s="16">
        <v>11.08107</v>
      </c>
      <c r="I24" s="16" t="s">
        <v>107</v>
      </c>
    </row>
    <row r="25" spans="2:9" x14ac:dyDescent="0.2">
      <c r="B25" t="s">
        <v>348</v>
      </c>
      <c r="C25" s="32">
        <v>2.05376</v>
      </c>
      <c r="D25">
        <v>35.177750000000003</v>
      </c>
      <c r="E25">
        <v>77.40831</v>
      </c>
      <c r="F25">
        <v>12.384270000000001</v>
      </c>
      <c r="G25" s="16" t="s">
        <v>107</v>
      </c>
      <c r="H25" s="16">
        <v>168.73235</v>
      </c>
      <c r="I25" s="16">
        <v>0</v>
      </c>
    </row>
    <row r="26" spans="2:9" x14ac:dyDescent="0.2">
      <c r="B26" t="s">
        <v>347</v>
      </c>
      <c r="C26" s="32">
        <v>2.9634800000000001</v>
      </c>
      <c r="D26">
        <v>60.15014</v>
      </c>
      <c r="E26">
        <v>381.50236000000001</v>
      </c>
      <c r="F26">
        <v>49.986969999999999</v>
      </c>
      <c r="G26" s="16">
        <v>33.844900000000003</v>
      </c>
      <c r="H26" s="16">
        <v>33.933019999999999</v>
      </c>
      <c r="I26" s="16">
        <v>30.302040000000002</v>
      </c>
    </row>
    <row r="27" spans="2:9" x14ac:dyDescent="0.2">
      <c r="B27" t="s">
        <v>346</v>
      </c>
      <c r="C27" s="32">
        <v>1.9305300000000001</v>
      </c>
      <c r="D27">
        <v>69.076710000000006</v>
      </c>
      <c r="E27">
        <v>247.01220000000001</v>
      </c>
      <c r="F27">
        <v>10.12039</v>
      </c>
      <c r="G27" s="16" t="s">
        <v>107</v>
      </c>
      <c r="H27" s="16">
        <v>10.5235</v>
      </c>
      <c r="I27" s="16" t="s">
        <v>107</v>
      </c>
    </row>
    <row r="28" spans="2:9" x14ac:dyDescent="0.2">
      <c r="B28" t="s">
        <v>345</v>
      </c>
      <c r="C28" s="32">
        <v>1.9358</v>
      </c>
      <c r="D28">
        <v>25.013929999999998</v>
      </c>
      <c r="E28">
        <v>64.493200000000002</v>
      </c>
      <c r="F28">
        <v>17.10078</v>
      </c>
      <c r="G28" s="16" t="s">
        <v>107</v>
      </c>
      <c r="H28" s="16">
        <v>11.104889999999999</v>
      </c>
      <c r="I28" s="16" t="s">
        <v>107</v>
      </c>
    </row>
    <row r="29" spans="2:9" x14ac:dyDescent="0.2">
      <c r="B29" t="s">
        <v>344</v>
      </c>
      <c r="C29" s="32">
        <v>1.4866600000000001</v>
      </c>
      <c r="D29">
        <v>33.772559999999999</v>
      </c>
      <c r="E29">
        <v>17.386220000000002</v>
      </c>
      <c r="F29">
        <v>17.140609999999999</v>
      </c>
      <c r="G29" s="16" t="s">
        <v>107</v>
      </c>
      <c r="H29" s="16">
        <v>83.637569999999997</v>
      </c>
      <c r="I29" s="16" t="s">
        <v>107</v>
      </c>
    </row>
    <row r="30" spans="2:9" x14ac:dyDescent="0.2">
      <c r="B30" t="s">
        <v>343</v>
      </c>
      <c r="C30" s="32">
        <v>1.9823200000000001</v>
      </c>
      <c r="D30">
        <v>49.247459999999997</v>
      </c>
      <c r="E30">
        <v>40.732590000000002</v>
      </c>
      <c r="F30">
        <v>13.56785</v>
      </c>
      <c r="G30" s="16">
        <v>2.0353400000000001</v>
      </c>
      <c r="H30" s="16">
        <v>12.02223</v>
      </c>
      <c r="I30" s="16" t="s">
        <v>107</v>
      </c>
    </row>
    <row r="31" spans="2:9" x14ac:dyDescent="0.2">
      <c r="B31" t="s">
        <v>342</v>
      </c>
      <c r="C31" s="32">
        <v>1.8418699999999999</v>
      </c>
      <c r="D31">
        <v>26.421220000000002</v>
      </c>
      <c r="E31">
        <v>7.8665799999999999</v>
      </c>
      <c r="F31">
        <v>11.35843</v>
      </c>
      <c r="G31" s="16" t="s">
        <v>107</v>
      </c>
      <c r="H31" s="16">
        <v>11.824020000000001</v>
      </c>
      <c r="I31" s="16" t="s">
        <v>107</v>
      </c>
    </row>
    <row r="32" spans="2:9" x14ac:dyDescent="0.2">
      <c r="B32" t="s">
        <v>307</v>
      </c>
      <c r="C32" s="32">
        <v>1.95241</v>
      </c>
      <c r="D32">
        <v>43.104019999999998</v>
      </c>
      <c r="E32">
        <v>2.6256599999999999</v>
      </c>
      <c r="F32">
        <v>15.00484</v>
      </c>
      <c r="G32" s="16" t="s">
        <v>107</v>
      </c>
      <c r="H32" s="16">
        <v>24.75225</v>
      </c>
      <c r="I32" s="16" t="s">
        <v>107</v>
      </c>
    </row>
    <row r="33" spans="1:9" x14ac:dyDescent="0.2">
      <c r="B33" t="s">
        <v>341</v>
      </c>
      <c r="C33" s="32">
        <v>1.8770899999999999</v>
      </c>
      <c r="D33">
        <v>39.674570000000003</v>
      </c>
      <c r="E33" t="s">
        <v>107</v>
      </c>
      <c r="F33">
        <v>11.82949</v>
      </c>
      <c r="G33" s="16" t="s">
        <v>107</v>
      </c>
      <c r="H33" s="16">
        <v>21.100100000000001</v>
      </c>
      <c r="I33" s="16" t="s">
        <v>107</v>
      </c>
    </row>
    <row r="34" spans="1:9" x14ac:dyDescent="0.2">
      <c r="B34" t="s">
        <v>340</v>
      </c>
      <c r="C34" s="32">
        <v>1.84562</v>
      </c>
      <c r="D34">
        <v>22.00281</v>
      </c>
      <c r="E34">
        <v>2.4619300000000002</v>
      </c>
      <c r="F34">
        <v>9.50549</v>
      </c>
      <c r="G34" s="16" t="s">
        <v>107</v>
      </c>
      <c r="H34" s="16">
        <v>301.86259000000001</v>
      </c>
      <c r="I34" s="16">
        <v>0</v>
      </c>
    </row>
    <row r="35" spans="1:9" x14ac:dyDescent="0.2">
      <c r="B35" t="s">
        <v>339</v>
      </c>
      <c r="C35" s="32">
        <v>1.8868</v>
      </c>
      <c r="D35">
        <v>34.032249999999998</v>
      </c>
      <c r="E35">
        <v>2.8713899999999999</v>
      </c>
      <c r="F35">
        <v>11.107150000000001</v>
      </c>
      <c r="G35" s="16">
        <v>7.0415400000000004</v>
      </c>
      <c r="H35" s="16">
        <v>11.5412</v>
      </c>
      <c r="I35" s="16">
        <v>0</v>
      </c>
    </row>
    <row r="36" spans="1:9" x14ac:dyDescent="0.2">
      <c r="B36" t="s">
        <v>338</v>
      </c>
      <c r="C36" s="32">
        <v>3.9133399999999998</v>
      </c>
      <c r="D36">
        <v>31.275449999999999</v>
      </c>
      <c r="E36">
        <v>39.155749999999998</v>
      </c>
      <c r="F36">
        <v>65.924030000000002</v>
      </c>
      <c r="G36" s="16">
        <v>2.1573899999999999</v>
      </c>
      <c r="H36" s="16">
        <v>10.47776</v>
      </c>
      <c r="I36" s="16" t="s">
        <v>107</v>
      </c>
    </row>
    <row r="37" spans="1:9" x14ac:dyDescent="0.2">
      <c r="B37" t="s">
        <v>337</v>
      </c>
      <c r="C37" s="32">
        <v>3.3416700000000001</v>
      </c>
      <c r="D37">
        <v>21.932230000000001</v>
      </c>
      <c r="E37">
        <v>14.230560000000001</v>
      </c>
      <c r="F37">
        <v>29.679099999999998</v>
      </c>
      <c r="G37" s="16" t="s">
        <v>107</v>
      </c>
      <c r="H37" s="16">
        <v>11.109069999999999</v>
      </c>
      <c r="I37" s="16" t="s">
        <v>107</v>
      </c>
    </row>
    <row r="38" spans="1:9" x14ac:dyDescent="0.2">
      <c r="B38" t="s">
        <v>336</v>
      </c>
      <c r="C38" s="32">
        <v>2.3988299999999998</v>
      </c>
      <c r="D38">
        <v>35.105289999999997</v>
      </c>
      <c r="E38">
        <v>63.872770000000003</v>
      </c>
      <c r="F38">
        <v>64.813130000000001</v>
      </c>
      <c r="G38" s="16" t="s">
        <v>107</v>
      </c>
      <c r="H38" s="16">
        <v>11.59839</v>
      </c>
      <c r="I38" s="16" t="s">
        <v>107</v>
      </c>
    </row>
    <row r="39" spans="1:9" ht="15.75" customHeight="1" x14ac:dyDescent="0.2">
      <c r="B39" t="s">
        <v>335</v>
      </c>
      <c r="C39" s="32">
        <v>1.68398</v>
      </c>
      <c r="D39">
        <v>27.113990000000001</v>
      </c>
      <c r="E39">
        <v>66.893230000000003</v>
      </c>
      <c r="F39">
        <v>31.487290000000002</v>
      </c>
      <c r="G39" s="16" t="s">
        <v>107</v>
      </c>
      <c r="H39" s="16">
        <v>31.968579999999999</v>
      </c>
      <c r="I39" s="16">
        <v>0</v>
      </c>
    </row>
    <row r="40" spans="1:9" x14ac:dyDescent="0.2">
      <c r="A40" t="s">
        <v>128</v>
      </c>
      <c r="B40" t="s">
        <v>334</v>
      </c>
      <c r="C40" s="32">
        <v>1.83426</v>
      </c>
      <c r="D40">
        <v>13.898999999999999</v>
      </c>
      <c r="E40">
        <v>2.4847199999999998</v>
      </c>
      <c r="F40">
        <v>9.3282699999999998</v>
      </c>
      <c r="G40" s="16" t="s">
        <v>107</v>
      </c>
      <c r="H40" s="16">
        <v>13.06779</v>
      </c>
      <c r="I40" s="16" t="s">
        <v>107</v>
      </c>
    </row>
    <row r="41" spans="1:9" x14ac:dyDescent="0.2">
      <c r="B41" t="s">
        <v>333</v>
      </c>
      <c r="C41" s="32">
        <v>2.65618</v>
      </c>
      <c r="D41">
        <v>26.02872</v>
      </c>
      <c r="E41">
        <v>2.7269000000000001</v>
      </c>
      <c r="F41">
        <v>24.332809999999998</v>
      </c>
      <c r="G41" s="16">
        <v>2.10337</v>
      </c>
      <c r="H41" s="16">
        <v>76.094170000000005</v>
      </c>
      <c r="I41" s="16">
        <v>0</v>
      </c>
    </row>
    <row r="42" spans="1:9" x14ac:dyDescent="0.2">
      <c r="B42" t="s">
        <v>332</v>
      </c>
      <c r="C42" s="32">
        <v>2.6669399999999999</v>
      </c>
      <c r="D42">
        <v>15.97959</v>
      </c>
      <c r="E42">
        <v>2.8305400000000001</v>
      </c>
      <c r="F42">
        <v>27.30387</v>
      </c>
      <c r="G42" s="16" t="s">
        <v>107</v>
      </c>
      <c r="H42" s="16">
        <v>140.81834000000001</v>
      </c>
      <c r="I42" s="16">
        <v>0</v>
      </c>
    </row>
    <row r="43" spans="1:9" x14ac:dyDescent="0.2">
      <c r="B43" t="s">
        <v>331</v>
      </c>
      <c r="C43" s="32">
        <v>2.5028100000000002</v>
      </c>
      <c r="D43">
        <v>17.32902</v>
      </c>
      <c r="E43">
        <v>3.2341700000000002</v>
      </c>
      <c r="F43">
        <v>29.186060000000001</v>
      </c>
      <c r="G43" s="16">
        <v>36.300690000000003</v>
      </c>
      <c r="H43" s="16">
        <v>22.330279999999998</v>
      </c>
      <c r="I43" s="16">
        <v>35.306019999999997</v>
      </c>
    </row>
    <row r="44" spans="1:9" x14ac:dyDescent="0.2">
      <c r="B44" t="s">
        <v>330</v>
      </c>
      <c r="C44" s="32">
        <v>1.8652299999999999</v>
      </c>
      <c r="D44">
        <v>42.947600000000001</v>
      </c>
      <c r="E44">
        <v>46.527810000000002</v>
      </c>
      <c r="F44">
        <v>15.2095</v>
      </c>
      <c r="G44" s="16" t="s">
        <v>107</v>
      </c>
      <c r="H44" s="16">
        <v>12.296749999999999</v>
      </c>
      <c r="I44" s="16">
        <v>0</v>
      </c>
    </row>
    <row r="45" spans="1:9" x14ac:dyDescent="0.2">
      <c r="B45" t="s">
        <v>329</v>
      </c>
      <c r="C45" s="32">
        <v>1.8075000000000001</v>
      </c>
      <c r="D45">
        <v>26.715699999999998</v>
      </c>
      <c r="E45">
        <v>18.1205</v>
      </c>
      <c r="F45">
        <v>9.3544499999999999</v>
      </c>
      <c r="G45" s="16" t="s">
        <v>107</v>
      </c>
      <c r="H45" s="16">
        <v>39.715589999999999</v>
      </c>
      <c r="I45" s="16">
        <v>0</v>
      </c>
    </row>
    <row r="46" spans="1:9" x14ac:dyDescent="0.2">
      <c r="B46" t="s">
        <v>328</v>
      </c>
      <c r="C46" s="32">
        <v>1.8227800000000001</v>
      </c>
      <c r="D46">
        <v>39.534039999999997</v>
      </c>
      <c r="E46">
        <v>41.04439</v>
      </c>
      <c r="F46">
        <v>9.2646300000000004</v>
      </c>
      <c r="G46" s="16">
        <v>3.1541999999999999</v>
      </c>
      <c r="H46" s="16">
        <v>17.769950000000001</v>
      </c>
      <c r="I46" s="16" t="s">
        <v>107</v>
      </c>
    </row>
    <row r="47" spans="1:9" x14ac:dyDescent="0.2">
      <c r="B47" t="s">
        <v>327</v>
      </c>
      <c r="C47" s="32">
        <v>2.0548500000000001</v>
      </c>
      <c r="D47">
        <v>33.975580000000001</v>
      </c>
      <c r="E47">
        <v>55.313859999999998</v>
      </c>
      <c r="F47">
        <v>20.493500000000001</v>
      </c>
      <c r="G47" s="16" t="s">
        <v>107</v>
      </c>
      <c r="H47" s="16">
        <v>10.581950000000001</v>
      </c>
      <c r="I47" s="16" t="s">
        <v>107</v>
      </c>
    </row>
    <row r="48" spans="1:9" x14ac:dyDescent="0.2">
      <c r="B48" t="s">
        <v>326</v>
      </c>
      <c r="C48" s="32">
        <v>1.8900399999999999</v>
      </c>
      <c r="D48">
        <v>52.755450000000003</v>
      </c>
      <c r="E48">
        <v>21.747900000000001</v>
      </c>
      <c r="F48">
        <v>9.17455</v>
      </c>
      <c r="G48" s="16" t="s">
        <v>107</v>
      </c>
      <c r="H48" s="16">
        <v>10.7317</v>
      </c>
      <c r="I48" s="16">
        <v>0</v>
      </c>
    </row>
    <row r="49" spans="2:9" x14ac:dyDescent="0.2">
      <c r="B49" t="s">
        <v>325</v>
      </c>
      <c r="C49" s="32">
        <v>1.87303</v>
      </c>
      <c r="D49">
        <v>42.62162</v>
      </c>
      <c r="E49">
        <v>48.447369999999999</v>
      </c>
      <c r="F49">
        <v>10.24433</v>
      </c>
      <c r="G49" s="16">
        <v>2.1409799999999999</v>
      </c>
      <c r="H49" s="16">
        <v>10.96405</v>
      </c>
      <c r="I49" s="16" t="s">
        <v>107</v>
      </c>
    </row>
    <row r="50" spans="2:9" x14ac:dyDescent="0.2">
      <c r="B50" t="s">
        <v>324</v>
      </c>
      <c r="C50" s="32">
        <v>1.84768</v>
      </c>
      <c r="D50">
        <v>32.155709999999999</v>
      </c>
      <c r="E50">
        <v>59.883130000000001</v>
      </c>
      <c r="F50">
        <v>14.322979999999999</v>
      </c>
      <c r="G50" s="16" t="s">
        <v>107</v>
      </c>
      <c r="H50" s="16">
        <v>77.698939999999993</v>
      </c>
      <c r="I50" s="16">
        <v>0</v>
      </c>
    </row>
    <row r="51" spans="2:9" x14ac:dyDescent="0.2">
      <c r="B51" t="s">
        <v>323</v>
      </c>
      <c r="C51" s="32">
        <v>2.1433300000000002</v>
      </c>
      <c r="D51">
        <v>53.149290000000001</v>
      </c>
      <c r="E51">
        <v>59.213929999999998</v>
      </c>
      <c r="F51">
        <v>20.018540000000002</v>
      </c>
      <c r="G51" s="16">
        <v>26.4817</v>
      </c>
      <c r="H51" s="16">
        <v>15.469189999999999</v>
      </c>
      <c r="I51" s="16">
        <v>26.856200000000001</v>
      </c>
    </row>
    <row r="52" spans="2:9" x14ac:dyDescent="0.2">
      <c r="B52" t="s">
        <v>109</v>
      </c>
      <c r="D52">
        <v>39.358449999999998</v>
      </c>
      <c r="E52">
        <v>42.844070000000002</v>
      </c>
      <c r="F52">
        <v>36.354140000000001</v>
      </c>
      <c r="G52" s="16">
        <v>11.09315</v>
      </c>
      <c r="H52" s="16">
        <v>35.556510000000003</v>
      </c>
      <c r="I52" s="16">
        <v>5.5949200000000001</v>
      </c>
    </row>
    <row r="53" spans="2:9" x14ac:dyDescent="0.2">
      <c r="B53" t="s">
        <v>110</v>
      </c>
      <c r="D53">
        <v>36.322583999999999</v>
      </c>
      <c r="E53">
        <v>166.66769600000001</v>
      </c>
      <c r="F53">
        <v>128.33000200000001</v>
      </c>
      <c r="G53" s="16">
        <v>122.561509</v>
      </c>
      <c r="H53" s="16">
        <v>144.961173</v>
      </c>
      <c r="I53" s="16">
        <v>218.38619499999999</v>
      </c>
    </row>
    <row r="54" spans="2:9" x14ac:dyDescent="0.2">
      <c r="B54" t="s">
        <v>111</v>
      </c>
      <c r="D54">
        <v>70.93253</v>
      </c>
      <c r="E54">
        <v>381.50236000000001</v>
      </c>
      <c r="F54">
        <v>268.98392999999999</v>
      </c>
      <c r="G54" s="16">
        <v>36.300690000000003</v>
      </c>
      <c r="H54" s="16">
        <v>301.86259000000001</v>
      </c>
      <c r="I54" s="16">
        <v>35.306019999999997</v>
      </c>
    </row>
    <row r="55" spans="2:9" x14ac:dyDescent="0.2">
      <c r="B55" t="s">
        <v>112</v>
      </c>
      <c r="D55">
        <v>13.898999999999999</v>
      </c>
      <c r="E55">
        <v>2.4474900000000002</v>
      </c>
      <c r="F55">
        <v>9.17455</v>
      </c>
      <c r="G55" s="16">
        <v>2.0177900000000002</v>
      </c>
      <c r="H55" s="16">
        <v>10.47776</v>
      </c>
      <c r="I55" s="16">
        <v>0</v>
      </c>
    </row>
    <row r="56" spans="2:9" x14ac:dyDescent="0.2">
      <c r="B56" t="s">
        <v>113</v>
      </c>
      <c r="D56">
        <v>14.296006</v>
      </c>
      <c r="E56">
        <v>71.407224999999997</v>
      </c>
      <c r="F56">
        <v>46.653264999999998</v>
      </c>
      <c r="G56" s="16">
        <v>13.595938</v>
      </c>
      <c r="H56" s="16">
        <v>51.543135999999997</v>
      </c>
      <c r="I56" s="16">
        <v>12.218532</v>
      </c>
    </row>
    <row r="58" spans="2:9" x14ac:dyDescent="0.2">
      <c r="B58" t="s">
        <v>119</v>
      </c>
    </row>
    <row r="59" spans="2:9" x14ac:dyDescent="0.2">
      <c r="B59" t="s">
        <v>120</v>
      </c>
      <c r="C59" s="26" t="s">
        <v>133</v>
      </c>
      <c r="D59" t="s">
        <v>133</v>
      </c>
      <c r="E59" t="s">
        <v>133</v>
      </c>
      <c r="F59" t="s">
        <v>133</v>
      </c>
      <c r="G59" t="s">
        <v>133</v>
      </c>
      <c r="H59" t="s">
        <v>133</v>
      </c>
      <c r="I59" t="s">
        <v>133</v>
      </c>
    </row>
    <row r="60" spans="2:9" x14ac:dyDescent="0.2">
      <c r="B60" t="s">
        <v>48</v>
      </c>
      <c r="C60" s="26">
        <v>0.99865999999999999</v>
      </c>
      <c r="D60">
        <v>0.99822</v>
      </c>
      <c r="E60">
        <v>0.99892000000000003</v>
      </c>
      <c r="F60">
        <v>0.99805999999999995</v>
      </c>
      <c r="G60">
        <v>0.99970000000000003</v>
      </c>
      <c r="H60">
        <v>0.99865999999999999</v>
      </c>
      <c r="I60">
        <v>0.999</v>
      </c>
    </row>
    <row r="61" spans="2:9" x14ac:dyDescent="0.2">
      <c r="B61" t="s">
        <v>110</v>
      </c>
      <c r="C61" s="26">
        <v>55.201039999999999</v>
      </c>
      <c r="D61">
        <v>37.533769999999997</v>
      </c>
      <c r="E61">
        <v>16.912870000000002</v>
      </c>
      <c r="F61">
        <v>63.212760000000003</v>
      </c>
      <c r="G61">
        <v>14.600849999999999</v>
      </c>
      <c r="H61">
        <v>90.670590000000004</v>
      </c>
      <c r="I61">
        <v>55.282130000000002</v>
      </c>
    </row>
    <row r="62" spans="2:9" x14ac:dyDescent="0.2">
      <c r="B62" t="s">
        <v>125</v>
      </c>
      <c r="C62" s="26">
        <v>5</v>
      </c>
      <c r="D62">
        <v>0.25</v>
      </c>
      <c r="E62">
        <v>0.25</v>
      </c>
      <c r="F62">
        <v>5</v>
      </c>
      <c r="G62">
        <v>0.25</v>
      </c>
      <c r="H62">
        <v>5</v>
      </c>
      <c r="I62">
        <v>0.25</v>
      </c>
    </row>
    <row r="63" spans="2:9" x14ac:dyDescent="0.2">
      <c r="B63" t="s">
        <v>126</v>
      </c>
      <c r="C63" s="26">
        <v>250</v>
      </c>
      <c r="D63">
        <v>100</v>
      </c>
      <c r="E63">
        <v>500</v>
      </c>
      <c r="F63">
        <v>250</v>
      </c>
      <c r="G63">
        <v>500</v>
      </c>
      <c r="H63">
        <v>250</v>
      </c>
      <c r="I63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294-3CD1-422A-B7AE-64697FCC44E0}">
  <dimension ref="A1:R111"/>
  <sheetViews>
    <sheetView workbookViewId="0">
      <selection activeCell="E6" sqref="E6:R51"/>
    </sheetView>
  </sheetViews>
  <sheetFormatPr baseColWidth="10" defaultColWidth="8.83203125" defaultRowHeight="15" x14ac:dyDescent="0.2"/>
  <cols>
    <col min="2" max="2" width="20.5" bestFit="1" customWidth="1"/>
    <col min="3" max="3" width="11.1640625" customWidth="1"/>
    <col min="4" max="4" width="10.33203125" customWidth="1"/>
    <col min="6" max="6" width="10.5" customWidth="1"/>
    <col min="8" max="8" width="10.5" style="16" customWidth="1"/>
    <col min="10" max="10" width="12" bestFit="1" customWidth="1"/>
    <col min="12" max="12" width="11.83203125" customWidth="1"/>
    <col min="14" max="14" width="11.5" customWidth="1"/>
  </cols>
  <sheetData>
    <row r="1" spans="1:18" ht="48" x14ac:dyDescent="0.2">
      <c r="A1" s="7" t="s">
        <v>127</v>
      </c>
      <c r="B1" s="7" t="s">
        <v>369</v>
      </c>
      <c r="C1" s="22" t="s">
        <v>5</v>
      </c>
      <c r="D1" s="22" t="s">
        <v>41</v>
      </c>
      <c r="E1" s="7" t="s">
        <v>117</v>
      </c>
      <c r="F1" s="7" t="s">
        <v>118</v>
      </c>
      <c r="G1" s="7" t="s">
        <v>122</v>
      </c>
      <c r="H1" s="15" t="s">
        <v>123</v>
      </c>
      <c r="I1" s="7" t="s">
        <v>124</v>
      </c>
      <c r="J1" t="s">
        <v>15</v>
      </c>
      <c r="K1" s="7" t="s">
        <v>129</v>
      </c>
      <c r="L1" s="7" t="s">
        <v>130</v>
      </c>
      <c r="M1" s="7" t="s">
        <v>20</v>
      </c>
      <c r="N1" s="7" t="s">
        <v>220</v>
      </c>
      <c r="O1" s="7" t="s">
        <v>22</v>
      </c>
      <c r="P1" s="7" t="s">
        <v>132</v>
      </c>
      <c r="Q1" s="15" t="s">
        <v>134</v>
      </c>
      <c r="R1" s="7" t="s">
        <v>135</v>
      </c>
    </row>
    <row r="2" spans="1:18" x14ac:dyDescent="0.2">
      <c r="B2" t="s">
        <v>82</v>
      </c>
      <c r="C2" s="20">
        <v>53.35078</v>
      </c>
      <c r="D2" s="20">
        <v>38.840789999999998</v>
      </c>
      <c r="E2">
        <v>26.280519999999999</v>
      </c>
      <c r="F2">
        <v>41.336069999999999</v>
      </c>
      <c r="G2">
        <v>30.055340000000001</v>
      </c>
      <c r="H2" s="16">
        <v>1.0000000000000001E-5</v>
      </c>
      <c r="I2">
        <v>29.215689999999999</v>
      </c>
      <c r="J2">
        <v>26.57272</v>
      </c>
      <c r="K2">
        <v>43.004919999999998</v>
      </c>
      <c r="L2">
        <v>27.580549999999999</v>
      </c>
      <c r="M2">
        <v>30.224260000000001</v>
      </c>
      <c r="N2">
        <v>26.311582466284154</v>
      </c>
      <c r="O2">
        <v>24.064430000000002</v>
      </c>
      <c r="P2">
        <v>28.17473</v>
      </c>
      <c r="Q2" s="16">
        <v>25.45776</v>
      </c>
      <c r="R2">
        <v>21.408429999999999</v>
      </c>
    </row>
    <row r="3" spans="1:18" x14ac:dyDescent="0.2">
      <c r="B3" t="s">
        <v>58</v>
      </c>
      <c r="C3" s="20">
        <v>53.597070000000002</v>
      </c>
      <c r="D3" s="20">
        <v>1.0000000000000001E-5</v>
      </c>
      <c r="E3">
        <v>34.221200000000003</v>
      </c>
      <c r="F3">
        <v>45.592689999999997</v>
      </c>
      <c r="G3">
        <v>30.680630000000001</v>
      </c>
      <c r="H3" s="16">
        <v>1.0000000000000001E-5</v>
      </c>
      <c r="I3">
        <v>24.921810000000001</v>
      </c>
      <c r="J3">
        <v>27.35173</v>
      </c>
      <c r="K3">
        <v>44.99494</v>
      </c>
      <c r="L3">
        <v>29.737960000000001</v>
      </c>
      <c r="M3">
        <v>20.595400000000001</v>
      </c>
      <c r="N3">
        <v>41.005501512913156</v>
      </c>
      <c r="O3">
        <v>22.537780000000001</v>
      </c>
      <c r="P3">
        <v>27.510570000000001</v>
      </c>
      <c r="Q3" s="16">
        <v>1.0000000000000001E-5</v>
      </c>
      <c r="R3">
        <v>22.012519999999999</v>
      </c>
    </row>
    <row r="4" spans="1:18" x14ac:dyDescent="0.2">
      <c r="B4" t="s">
        <v>98</v>
      </c>
      <c r="C4" s="20">
        <v>300.09298000000001</v>
      </c>
      <c r="D4" s="20">
        <v>1.0000000000000001E-5</v>
      </c>
      <c r="E4">
        <v>26.247810000000001</v>
      </c>
      <c r="F4">
        <v>43.801659999999998</v>
      </c>
      <c r="G4">
        <v>27.438510000000001</v>
      </c>
      <c r="H4" s="16">
        <v>1.0000000000000001E-5</v>
      </c>
      <c r="I4">
        <v>23.889700000000001</v>
      </c>
      <c r="J4">
        <v>25.925329999999999</v>
      </c>
      <c r="K4">
        <v>43.452970000000001</v>
      </c>
      <c r="L4">
        <v>26.502859999999998</v>
      </c>
      <c r="M4">
        <v>171.68302</v>
      </c>
      <c r="N4">
        <v>58.568463638838935</v>
      </c>
      <c r="O4">
        <v>23.14386</v>
      </c>
      <c r="P4">
        <v>27.835180000000001</v>
      </c>
      <c r="Q4" s="16">
        <v>1.0000000000000001E-5</v>
      </c>
      <c r="R4">
        <v>25.043869999999998</v>
      </c>
    </row>
    <row r="5" spans="1:18" x14ac:dyDescent="0.2">
      <c r="B5" t="s">
        <v>106</v>
      </c>
      <c r="C5" s="20">
        <v>86.222110000000001</v>
      </c>
      <c r="D5" s="20">
        <v>1.0000000000000001E-5</v>
      </c>
      <c r="E5">
        <v>18.904800000000002</v>
      </c>
      <c r="F5">
        <v>32.979349999999997</v>
      </c>
      <c r="G5">
        <v>24.009720000000002</v>
      </c>
      <c r="H5" s="16">
        <v>1.0000000000000001E-5</v>
      </c>
      <c r="I5">
        <v>22.95533</v>
      </c>
      <c r="J5">
        <v>23.664650000000002</v>
      </c>
      <c r="K5">
        <v>43.704279999999997</v>
      </c>
      <c r="L5">
        <v>27.738150000000001</v>
      </c>
      <c r="M5">
        <v>170.84559999999999</v>
      </c>
      <c r="N5">
        <v>55.661520442753172</v>
      </c>
      <c r="O5">
        <v>20.61487</v>
      </c>
      <c r="P5">
        <v>28.226489999999998</v>
      </c>
      <c r="Q5" s="16">
        <v>1.0000000000000001E-5</v>
      </c>
      <c r="R5">
        <v>27.849460000000001</v>
      </c>
    </row>
    <row r="6" spans="1:18" x14ac:dyDescent="0.2">
      <c r="B6" t="s">
        <v>366</v>
      </c>
      <c r="C6" s="20">
        <v>184.32964000000001</v>
      </c>
      <c r="D6" s="20">
        <v>1.0000000000000001E-5</v>
      </c>
      <c r="E6">
        <v>19.914169999999999</v>
      </c>
      <c r="F6">
        <v>0.90663000000000005</v>
      </c>
      <c r="G6">
        <v>22.567769999999999</v>
      </c>
      <c r="H6" s="16">
        <v>1.0000000000000001E-5</v>
      </c>
      <c r="I6">
        <v>4.4862900000000003</v>
      </c>
      <c r="J6">
        <v>10.007110000000001</v>
      </c>
      <c r="K6">
        <v>6.59476</v>
      </c>
      <c r="L6">
        <v>1.0000000000000001E-5</v>
      </c>
      <c r="M6">
        <v>349.42732000000001</v>
      </c>
      <c r="N6">
        <v>62.943228028559183</v>
      </c>
      <c r="O6">
        <v>24.070979999999999</v>
      </c>
      <c r="P6">
        <v>2.8339699999999999</v>
      </c>
      <c r="Q6" s="16">
        <v>1.0000000000000001E-5</v>
      </c>
      <c r="R6">
        <v>13.35421</v>
      </c>
    </row>
    <row r="7" spans="1:18" x14ac:dyDescent="0.2">
      <c r="B7" t="s">
        <v>365</v>
      </c>
      <c r="C7" s="20">
        <v>89.040899999999993</v>
      </c>
      <c r="D7" s="20">
        <v>1.0000000000000001E-5</v>
      </c>
      <c r="E7">
        <v>34.360729999999997</v>
      </c>
      <c r="F7">
        <v>14.74851</v>
      </c>
      <c r="G7">
        <v>16.222999999999999</v>
      </c>
      <c r="H7" s="16">
        <v>1.0000000000000001E-5</v>
      </c>
      <c r="I7">
        <v>9.5139600000000009</v>
      </c>
      <c r="J7">
        <v>49.442070000000001</v>
      </c>
      <c r="K7">
        <v>6.8418700000000001</v>
      </c>
      <c r="L7">
        <v>4.1711999999999998</v>
      </c>
      <c r="M7">
        <v>453.65845999999999</v>
      </c>
      <c r="N7">
        <v>26.31871521517547</v>
      </c>
      <c r="O7">
        <v>45.394739999999999</v>
      </c>
      <c r="P7">
        <v>3.1326000000000001</v>
      </c>
      <c r="Q7" s="16">
        <v>1.0000000000000001E-5</v>
      </c>
      <c r="R7">
        <v>3.2780200000000002</v>
      </c>
    </row>
    <row r="8" spans="1:18" x14ac:dyDescent="0.2">
      <c r="B8" t="s">
        <v>364</v>
      </c>
      <c r="C8" s="20">
        <v>65.834519999999998</v>
      </c>
      <c r="D8" s="20">
        <v>1.0000000000000001E-5</v>
      </c>
      <c r="E8">
        <v>17.658580000000001</v>
      </c>
      <c r="F8">
        <v>0.96597</v>
      </c>
      <c r="G8">
        <v>15.408939999999999</v>
      </c>
      <c r="H8" s="16">
        <v>1.0000000000000001E-5</v>
      </c>
      <c r="I8">
        <v>5.0833000000000004</v>
      </c>
      <c r="J8">
        <v>9.4506800000000002</v>
      </c>
      <c r="K8">
        <v>3.6387</v>
      </c>
      <c r="L8">
        <v>4.1267699999999996</v>
      </c>
      <c r="M8">
        <v>19.012070000000001</v>
      </c>
      <c r="N8">
        <v>53.461927451299118</v>
      </c>
      <c r="O8">
        <v>5.1575100000000003</v>
      </c>
      <c r="P8">
        <v>3.6392899999999999</v>
      </c>
      <c r="Q8" s="16">
        <v>1.0000000000000001E-5</v>
      </c>
      <c r="R8">
        <v>1.0000000000000001E-5</v>
      </c>
    </row>
    <row r="9" spans="1:18" x14ac:dyDescent="0.2">
      <c r="B9" t="s">
        <v>321</v>
      </c>
      <c r="C9" s="20">
        <v>34.281700000000001</v>
      </c>
      <c r="D9" s="20">
        <v>1.0000000000000001E-5</v>
      </c>
      <c r="E9">
        <v>37.050469999999997</v>
      </c>
      <c r="F9">
        <v>13.16281</v>
      </c>
      <c r="G9">
        <v>14.207229999999999</v>
      </c>
      <c r="H9" s="16">
        <v>1.0000000000000001E-5</v>
      </c>
      <c r="I9">
        <v>7.93391</v>
      </c>
      <c r="J9">
        <v>23.182600000000001</v>
      </c>
      <c r="K9">
        <v>4.7744200000000001</v>
      </c>
      <c r="L9">
        <v>3.7700100000000001</v>
      </c>
      <c r="M9">
        <v>605.02439000000004</v>
      </c>
      <c r="N9">
        <v>22.512892327255592</v>
      </c>
      <c r="O9">
        <v>34.993899999999996</v>
      </c>
      <c r="P9">
        <v>3.0643600000000002</v>
      </c>
      <c r="Q9" s="16">
        <v>1.0000000000000001E-5</v>
      </c>
      <c r="R9">
        <v>2.9597699999999998</v>
      </c>
    </row>
    <row r="10" spans="1:18" x14ac:dyDescent="0.2">
      <c r="B10" t="s">
        <v>363</v>
      </c>
      <c r="C10" s="20">
        <v>51.587919999999997</v>
      </c>
      <c r="D10" s="20">
        <v>1.0000000000000001E-5</v>
      </c>
      <c r="E10">
        <v>40.472949999999997</v>
      </c>
      <c r="F10">
        <v>0.79918999999999996</v>
      </c>
      <c r="G10">
        <v>20.652629999999998</v>
      </c>
      <c r="H10" s="16">
        <v>1.0000000000000001E-5</v>
      </c>
      <c r="I10">
        <v>4.71</v>
      </c>
      <c r="J10">
        <v>17.299710000000001</v>
      </c>
      <c r="K10">
        <v>4.5194999999999999</v>
      </c>
      <c r="L10">
        <v>1.0000000000000001E-5</v>
      </c>
      <c r="M10">
        <v>21.226400000000002</v>
      </c>
      <c r="N10">
        <v>15.17880511398466</v>
      </c>
      <c r="O10">
        <v>6.2693399999999997</v>
      </c>
      <c r="P10">
        <v>3.0361099999999999</v>
      </c>
      <c r="Q10" s="16">
        <v>1.0000000000000001E-5</v>
      </c>
      <c r="R10">
        <v>1.2099800000000001</v>
      </c>
    </row>
    <row r="11" spans="1:18" x14ac:dyDescent="0.2">
      <c r="B11" t="s">
        <v>362</v>
      </c>
      <c r="C11" s="20">
        <v>23.921320000000001</v>
      </c>
      <c r="D11" s="20">
        <v>1.0000000000000001E-5</v>
      </c>
      <c r="E11">
        <v>10.74915</v>
      </c>
      <c r="F11">
        <v>0.82174000000000003</v>
      </c>
      <c r="G11">
        <v>15.41469</v>
      </c>
      <c r="H11" s="16">
        <v>1.0000000000000001E-5</v>
      </c>
      <c r="I11">
        <v>4.4752799999999997</v>
      </c>
      <c r="J11">
        <v>9.4460700000000006</v>
      </c>
      <c r="K11">
        <v>4.5421100000000001</v>
      </c>
      <c r="L11">
        <v>5.0805899999999999</v>
      </c>
      <c r="M11">
        <v>285.85633000000001</v>
      </c>
      <c r="N11">
        <v>14.693858035004173</v>
      </c>
      <c r="O11">
        <v>16.772559999999999</v>
      </c>
      <c r="P11">
        <v>2.8355000000000001</v>
      </c>
      <c r="Q11" s="16">
        <v>1.0000000000000001E-5</v>
      </c>
      <c r="R11">
        <v>6.8033000000000001</v>
      </c>
    </row>
    <row r="12" spans="1:18" x14ac:dyDescent="0.2">
      <c r="B12" t="s">
        <v>361</v>
      </c>
      <c r="C12" s="20">
        <v>126.69462</v>
      </c>
      <c r="D12" s="20">
        <v>1.0000000000000001E-5</v>
      </c>
      <c r="E12">
        <v>24.944469999999999</v>
      </c>
      <c r="F12">
        <v>0.80498999999999998</v>
      </c>
      <c r="G12">
        <v>24.61506</v>
      </c>
      <c r="H12" s="16">
        <v>1.0000000000000001E-5</v>
      </c>
      <c r="I12">
        <v>5.5056799999999999</v>
      </c>
      <c r="J12">
        <v>24.362950000000001</v>
      </c>
      <c r="K12">
        <v>5.8336699999999997</v>
      </c>
      <c r="L12">
        <v>4.9435000000000002</v>
      </c>
      <c r="M12">
        <v>401.49579999999997</v>
      </c>
      <c r="N12">
        <v>14.699332891472388</v>
      </c>
      <c r="O12">
        <v>24.192640000000001</v>
      </c>
      <c r="P12">
        <v>3.0381200000000002</v>
      </c>
      <c r="Q12" s="16">
        <v>1.0000000000000001E-5</v>
      </c>
      <c r="R12">
        <v>6.42727</v>
      </c>
    </row>
    <row r="13" spans="1:18" x14ac:dyDescent="0.2">
      <c r="B13" t="s">
        <v>360</v>
      </c>
      <c r="C13" s="20">
        <v>1.0000000000000001E-5</v>
      </c>
      <c r="D13" s="20">
        <v>1.0000000000000001E-5</v>
      </c>
      <c r="E13">
        <v>21.509620000000002</v>
      </c>
      <c r="F13">
        <v>0.84584000000000004</v>
      </c>
      <c r="G13">
        <v>24.769629999999999</v>
      </c>
      <c r="H13" s="16">
        <v>1.0000000000000001E-5</v>
      </c>
      <c r="I13">
        <v>5.1286699999999996</v>
      </c>
      <c r="J13">
        <v>19.904219999999999</v>
      </c>
      <c r="K13">
        <v>3.1875800000000001</v>
      </c>
      <c r="L13">
        <v>4.5566700000000004</v>
      </c>
      <c r="M13">
        <v>323.20949000000002</v>
      </c>
      <c r="N13">
        <v>39.165856188761587</v>
      </c>
      <c r="O13">
        <v>24.930879999999998</v>
      </c>
      <c r="P13">
        <v>3.7677800000000001</v>
      </c>
      <c r="Q13" s="16">
        <v>1.0000000000000001E-5</v>
      </c>
      <c r="R13">
        <v>5.0754799999999998</v>
      </c>
    </row>
    <row r="14" spans="1:18" x14ac:dyDescent="0.2">
      <c r="B14" t="s">
        <v>359</v>
      </c>
      <c r="C14" s="20">
        <v>9.5604700000000005</v>
      </c>
      <c r="D14" s="20">
        <v>1.0000000000000001E-5</v>
      </c>
      <c r="E14">
        <v>24.228950000000001</v>
      </c>
      <c r="F14">
        <v>0.79764000000000002</v>
      </c>
      <c r="G14">
        <v>11.274279999999999</v>
      </c>
      <c r="H14" s="16">
        <v>1.0000000000000001E-5</v>
      </c>
      <c r="I14">
        <v>4.7800599999999998</v>
      </c>
      <c r="J14">
        <v>7.9965400000000004</v>
      </c>
      <c r="K14">
        <v>3.2143199999999998</v>
      </c>
      <c r="L14">
        <v>4.3658400000000004</v>
      </c>
      <c r="M14">
        <v>23.15259</v>
      </c>
      <c r="N14">
        <v>14.774900060421942</v>
      </c>
      <c r="O14">
        <v>4.5848399999999998</v>
      </c>
      <c r="P14">
        <v>2.95024</v>
      </c>
      <c r="Q14" s="16">
        <v>1.0000000000000001E-5</v>
      </c>
      <c r="R14">
        <v>0.30806</v>
      </c>
    </row>
    <row r="15" spans="1:18" x14ac:dyDescent="0.2">
      <c r="B15" t="s">
        <v>358</v>
      </c>
      <c r="C15" s="20">
        <v>39.511719999999997</v>
      </c>
      <c r="D15" s="20">
        <v>1.0000000000000001E-5</v>
      </c>
      <c r="E15">
        <v>19.38747</v>
      </c>
      <c r="F15">
        <v>0.80218</v>
      </c>
      <c r="G15">
        <v>16.86365</v>
      </c>
      <c r="H15" s="16">
        <v>1.0000000000000001E-5</v>
      </c>
      <c r="I15">
        <v>4.9383699999999999</v>
      </c>
      <c r="J15">
        <v>14.89822</v>
      </c>
      <c r="K15">
        <v>3.6156000000000001</v>
      </c>
      <c r="L15">
        <v>4.0377099999999997</v>
      </c>
      <c r="M15">
        <v>224.64420999999999</v>
      </c>
      <c r="N15">
        <v>24.58782030285855</v>
      </c>
      <c r="O15">
        <v>4.8907400000000001</v>
      </c>
      <c r="P15">
        <v>2.9638499999999999</v>
      </c>
      <c r="Q15" s="16">
        <v>1.0000000000000001E-5</v>
      </c>
      <c r="R15">
        <v>1.5453399999999999</v>
      </c>
    </row>
    <row r="16" spans="1:18" x14ac:dyDescent="0.2">
      <c r="B16" t="s">
        <v>357</v>
      </c>
      <c r="C16" s="20">
        <v>60.374899999999997</v>
      </c>
      <c r="D16" s="20">
        <v>1.0000000000000001E-5</v>
      </c>
      <c r="E16">
        <v>16.766629999999999</v>
      </c>
      <c r="F16">
        <v>0.79525999999999997</v>
      </c>
      <c r="G16">
        <v>15.381769999999999</v>
      </c>
      <c r="H16" s="16">
        <v>1.0000000000000001E-5</v>
      </c>
      <c r="I16">
        <v>5.2699400000000001</v>
      </c>
      <c r="J16">
        <v>9.71157</v>
      </c>
      <c r="K16">
        <v>3.9625599999999999</v>
      </c>
      <c r="L16">
        <v>4.0959300000000001</v>
      </c>
      <c r="M16">
        <v>201.00230999999999</v>
      </c>
      <c r="N16">
        <v>15.542243343854427</v>
      </c>
      <c r="O16">
        <v>4.5870499999999996</v>
      </c>
      <c r="P16">
        <v>2.84389</v>
      </c>
      <c r="Q16" s="16">
        <v>1.0000000000000001E-5</v>
      </c>
      <c r="R16">
        <v>1.0000000000000001E-5</v>
      </c>
    </row>
    <row r="17" spans="2:18" x14ac:dyDescent="0.2">
      <c r="B17" t="s">
        <v>356</v>
      </c>
      <c r="C17" s="20">
        <v>130.37888000000001</v>
      </c>
      <c r="D17" s="20">
        <v>1.0000000000000001E-5</v>
      </c>
      <c r="E17">
        <v>14.19567</v>
      </c>
      <c r="F17">
        <v>0.80591999999999997</v>
      </c>
      <c r="G17">
        <v>17.697410000000001</v>
      </c>
      <c r="H17" s="16">
        <v>1.0000000000000001E-5</v>
      </c>
      <c r="I17">
        <v>5.0263099999999996</v>
      </c>
      <c r="J17">
        <v>13.73434</v>
      </c>
      <c r="K17">
        <v>3.9360400000000002</v>
      </c>
      <c r="L17">
        <v>4.2690200000000003</v>
      </c>
      <c r="M17">
        <v>167.94154</v>
      </c>
      <c r="N17">
        <v>24.192341516344161</v>
      </c>
      <c r="O17">
        <v>4.64527</v>
      </c>
      <c r="P17">
        <v>2.9846699999999999</v>
      </c>
      <c r="Q17" s="16">
        <v>1.0000000000000001E-5</v>
      </c>
      <c r="R17">
        <v>1.3227599999999999</v>
      </c>
    </row>
    <row r="18" spans="2:18" x14ac:dyDescent="0.2">
      <c r="B18" t="s">
        <v>355</v>
      </c>
      <c r="C18" s="20">
        <v>378.79496</v>
      </c>
      <c r="D18" s="20">
        <v>1.0000000000000001E-5</v>
      </c>
      <c r="E18">
        <v>13.33662</v>
      </c>
      <c r="F18">
        <v>0.85840000000000005</v>
      </c>
      <c r="G18">
        <v>15.499129999999999</v>
      </c>
      <c r="H18" s="16">
        <v>1.0000000000000001E-5</v>
      </c>
      <c r="I18">
        <v>5.3926100000000003</v>
      </c>
      <c r="J18">
        <v>10.151579999999999</v>
      </c>
      <c r="K18">
        <v>4.8202699999999998</v>
      </c>
      <c r="L18">
        <v>4.0439999999999996</v>
      </c>
      <c r="M18">
        <v>208.58407</v>
      </c>
      <c r="N18">
        <v>36.614845547515166</v>
      </c>
      <c r="O18">
        <v>4.6826699999999999</v>
      </c>
      <c r="P18">
        <v>3.0918899999999998</v>
      </c>
      <c r="Q18" s="16">
        <v>1.0000000000000001E-5</v>
      </c>
      <c r="R18">
        <v>1.81454</v>
      </c>
    </row>
    <row r="19" spans="2:18" x14ac:dyDescent="0.2">
      <c r="B19" t="s">
        <v>354</v>
      </c>
      <c r="C19" s="20">
        <v>1.0000000000000001E-5</v>
      </c>
      <c r="D19" s="20">
        <v>1.0000000000000001E-5</v>
      </c>
      <c r="E19">
        <v>1.0000000000000001E-5</v>
      </c>
      <c r="F19">
        <v>0.80057</v>
      </c>
      <c r="G19">
        <v>13.402380000000001</v>
      </c>
      <c r="H19" s="16">
        <v>1.0000000000000001E-5</v>
      </c>
      <c r="I19">
        <v>4.6290699999999996</v>
      </c>
      <c r="J19">
        <v>11.266260000000001</v>
      </c>
      <c r="K19">
        <v>3.6407099999999999</v>
      </c>
      <c r="L19">
        <v>1.0000000000000001E-5</v>
      </c>
      <c r="M19">
        <v>161.70282</v>
      </c>
      <c r="N19">
        <v>6.367595258496249</v>
      </c>
      <c r="O19">
        <v>4.4130900000000004</v>
      </c>
      <c r="P19">
        <v>2.7479200000000001</v>
      </c>
      <c r="Q19" s="16">
        <v>1.0000000000000001E-5</v>
      </c>
      <c r="R19">
        <v>0.67647000000000002</v>
      </c>
    </row>
    <row r="20" spans="2:18" x14ac:dyDescent="0.2">
      <c r="B20" t="s">
        <v>353</v>
      </c>
      <c r="C20" s="20">
        <v>11.38508</v>
      </c>
      <c r="D20" s="20">
        <v>1.0000000000000001E-5</v>
      </c>
      <c r="E20">
        <v>24.67286</v>
      </c>
      <c r="F20">
        <v>0.83204999999999996</v>
      </c>
      <c r="G20">
        <v>10.022539999999999</v>
      </c>
      <c r="H20" s="16">
        <v>1.0000000000000001E-5</v>
      </c>
      <c r="I20">
        <v>4.7040100000000002</v>
      </c>
      <c r="J20">
        <v>7.6922800000000002</v>
      </c>
      <c r="K20">
        <v>5.70655</v>
      </c>
      <c r="L20">
        <v>1.0000000000000001E-5</v>
      </c>
      <c r="M20">
        <v>23.993729999999999</v>
      </c>
      <c r="N20">
        <v>19.398757807963968</v>
      </c>
      <c r="O20">
        <v>6.7340499999999999</v>
      </c>
      <c r="P20">
        <v>2.8866299999999998</v>
      </c>
      <c r="Q20" s="16">
        <v>1.0000000000000001E-5</v>
      </c>
      <c r="R20">
        <v>0.60390999999999995</v>
      </c>
    </row>
    <row r="21" spans="2:18" x14ac:dyDescent="0.2">
      <c r="B21" t="s">
        <v>352</v>
      </c>
      <c r="C21" s="20">
        <v>152.31789000000001</v>
      </c>
      <c r="D21" s="20">
        <v>1.0000000000000001E-5</v>
      </c>
      <c r="E21">
        <v>19.562650000000001</v>
      </c>
      <c r="F21">
        <v>0.81152000000000002</v>
      </c>
      <c r="G21">
        <v>13.11514</v>
      </c>
      <c r="H21" s="16">
        <v>1.0000000000000001E-5</v>
      </c>
      <c r="I21">
        <v>4.64269</v>
      </c>
      <c r="J21">
        <v>10.930009999999999</v>
      </c>
      <c r="K21">
        <v>1.0000000000000001E-5</v>
      </c>
      <c r="L21">
        <v>6.1025</v>
      </c>
      <c r="M21">
        <v>199.32213999999999</v>
      </c>
      <c r="N21">
        <v>18.030050315374549</v>
      </c>
      <c r="O21">
        <v>5.3997400000000004</v>
      </c>
      <c r="P21">
        <v>3.0996600000000001</v>
      </c>
      <c r="Q21" s="16">
        <v>1.0000000000000001E-5</v>
      </c>
      <c r="R21">
        <v>0.4032</v>
      </c>
    </row>
    <row r="22" spans="2:18" x14ac:dyDescent="0.2">
      <c r="B22" t="s">
        <v>351</v>
      </c>
      <c r="C22" s="20">
        <v>205.46414999999999</v>
      </c>
      <c r="D22" s="20">
        <v>1.0000000000000001E-5</v>
      </c>
      <c r="E22">
        <v>2.60439</v>
      </c>
      <c r="F22">
        <v>2.6090399999999998</v>
      </c>
      <c r="G22">
        <v>20.453330000000001</v>
      </c>
      <c r="H22" s="16">
        <v>1.0000000000000001E-5</v>
      </c>
      <c r="I22">
        <v>13.48653</v>
      </c>
      <c r="J22">
        <v>353.66958</v>
      </c>
      <c r="K22">
        <v>1.0000000000000001E-5</v>
      </c>
      <c r="L22">
        <v>154.81256999999999</v>
      </c>
      <c r="M22">
        <v>486.31211999999999</v>
      </c>
      <c r="N22">
        <v>357.77726097104039</v>
      </c>
      <c r="O22">
        <v>82.890330000000006</v>
      </c>
      <c r="P22">
        <v>38.041939999999997</v>
      </c>
      <c r="Q22" s="16">
        <v>1.0000000000000001E-5</v>
      </c>
      <c r="R22">
        <v>33.67745</v>
      </c>
    </row>
    <row r="23" spans="2:18" x14ac:dyDescent="0.2">
      <c r="B23" t="s">
        <v>350</v>
      </c>
      <c r="C23" s="20">
        <v>132.71007</v>
      </c>
      <c r="D23" s="20">
        <v>1.0000000000000001E-5</v>
      </c>
      <c r="E23">
        <v>33.929180000000002</v>
      </c>
      <c r="F23">
        <v>0.82418999999999998</v>
      </c>
      <c r="G23">
        <v>17.93647</v>
      </c>
      <c r="H23" s="16">
        <v>1.0000000000000001E-5</v>
      </c>
      <c r="I23">
        <v>4.5707599999999999</v>
      </c>
      <c r="J23">
        <v>21.90531</v>
      </c>
      <c r="K23">
        <v>3.73034</v>
      </c>
      <c r="L23">
        <v>3.6820499999999998</v>
      </c>
      <c r="M23">
        <v>162.66284999999999</v>
      </c>
      <c r="N23">
        <v>19.597428338684782</v>
      </c>
      <c r="O23">
        <v>4.7861599999999997</v>
      </c>
      <c r="P23">
        <v>3.24512</v>
      </c>
      <c r="Q23" s="16">
        <v>1.0000000000000001E-5</v>
      </c>
      <c r="R23">
        <v>3.1820900000000001</v>
      </c>
    </row>
    <row r="24" spans="2:18" x14ac:dyDescent="0.2">
      <c r="B24" t="s">
        <v>349</v>
      </c>
      <c r="C24" s="20">
        <v>28.08878</v>
      </c>
      <c r="D24" s="20">
        <v>1.0000000000000001E-5</v>
      </c>
      <c r="E24">
        <v>8.5699400000000008</v>
      </c>
      <c r="F24">
        <v>6.0064599999999997</v>
      </c>
      <c r="G24">
        <v>11.97354</v>
      </c>
      <c r="H24" s="16">
        <v>1.0000000000000001E-5</v>
      </c>
      <c r="I24">
        <v>5.0550300000000004</v>
      </c>
      <c r="J24">
        <v>43.914369999999998</v>
      </c>
      <c r="K24">
        <v>2.7353200000000002</v>
      </c>
      <c r="L24">
        <v>6.2970800000000002</v>
      </c>
      <c r="M24">
        <v>10.470269999999999</v>
      </c>
      <c r="N24">
        <v>12.63273099855515</v>
      </c>
      <c r="O24">
        <v>5.04216</v>
      </c>
      <c r="P24">
        <v>4.2823399999999996</v>
      </c>
      <c r="Q24" s="16">
        <v>1.0000000000000001E-5</v>
      </c>
      <c r="R24">
        <v>2.5830000000000002</v>
      </c>
    </row>
    <row r="25" spans="2:18" x14ac:dyDescent="0.2">
      <c r="B25" t="s">
        <v>348</v>
      </c>
      <c r="C25" s="20">
        <v>562.30037000000004</v>
      </c>
      <c r="D25" s="20">
        <v>1.0000000000000001E-5</v>
      </c>
      <c r="E25">
        <v>13.25807</v>
      </c>
      <c r="F25">
        <v>4.0393800000000004</v>
      </c>
      <c r="G25">
        <v>11.10683</v>
      </c>
      <c r="H25" s="16">
        <v>1.0000000000000001E-5</v>
      </c>
      <c r="I25">
        <v>5.0151500000000002</v>
      </c>
      <c r="J25">
        <v>22.727879999999999</v>
      </c>
      <c r="K25">
        <v>2.81012</v>
      </c>
      <c r="L25">
        <v>7.5839400000000001</v>
      </c>
      <c r="M25">
        <v>28.811730000000001</v>
      </c>
      <c r="N25">
        <v>10.732190766350302</v>
      </c>
      <c r="O25">
        <v>26.919080000000001</v>
      </c>
      <c r="P25">
        <v>3.4404499999999998</v>
      </c>
      <c r="Q25" s="16">
        <v>1.0000000000000001E-5</v>
      </c>
      <c r="R25">
        <v>1.43059</v>
      </c>
    </row>
    <row r="26" spans="2:18" x14ac:dyDescent="0.2">
      <c r="B26" t="s">
        <v>347</v>
      </c>
      <c r="C26" s="20">
        <v>30.13381</v>
      </c>
      <c r="D26" s="20">
        <v>38.471249999999998</v>
      </c>
      <c r="E26">
        <v>18.801819999999999</v>
      </c>
      <c r="F26">
        <v>6.2528899999999998</v>
      </c>
      <c r="G26">
        <v>13.91221</v>
      </c>
      <c r="H26" s="16">
        <v>16.407109999999999</v>
      </c>
      <c r="I26">
        <v>17.923539999999999</v>
      </c>
      <c r="J26">
        <v>27.962230000000002</v>
      </c>
      <c r="K26">
        <v>1.0000000000000001E-5</v>
      </c>
      <c r="L26">
        <v>3.9923199999999999</v>
      </c>
      <c r="M26">
        <v>223.31104999999999</v>
      </c>
      <c r="N26">
        <v>30.224280791725231</v>
      </c>
      <c r="O26">
        <v>56.87668</v>
      </c>
      <c r="P26">
        <v>4.8896800000000002</v>
      </c>
      <c r="Q26" s="16">
        <v>29.062670000000001</v>
      </c>
      <c r="R26">
        <v>1.0000000000000001E-5</v>
      </c>
    </row>
    <row r="27" spans="2:18" x14ac:dyDescent="0.2">
      <c r="B27" t="s">
        <v>346</v>
      </c>
      <c r="C27" s="20">
        <v>14.629350000000001</v>
      </c>
      <c r="D27" s="20">
        <v>1.0000000000000001E-5</v>
      </c>
      <c r="E27">
        <v>18.45317</v>
      </c>
      <c r="F27">
        <v>6.8560699999999999</v>
      </c>
      <c r="G27">
        <v>16.950150000000001</v>
      </c>
      <c r="H27" s="16">
        <v>1.0000000000000001E-5</v>
      </c>
      <c r="I27">
        <v>10.116720000000001</v>
      </c>
      <c r="J27">
        <v>40.816180000000003</v>
      </c>
      <c r="K27">
        <v>3.0886999999999998</v>
      </c>
      <c r="L27">
        <v>7.1893599999999998</v>
      </c>
      <c r="M27">
        <v>24.56231</v>
      </c>
      <c r="N27">
        <v>12.37301938668514</v>
      </c>
      <c r="O27">
        <v>33.81203</v>
      </c>
      <c r="P27">
        <v>3.7096200000000001</v>
      </c>
      <c r="Q27" s="16">
        <v>1.0000000000000001E-5</v>
      </c>
      <c r="R27">
        <v>1.54867</v>
      </c>
    </row>
    <row r="28" spans="2:18" x14ac:dyDescent="0.2">
      <c r="B28" t="s">
        <v>345</v>
      </c>
      <c r="C28" s="20">
        <v>13.019310000000001</v>
      </c>
      <c r="D28" s="20">
        <v>1.0000000000000001E-5</v>
      </c>
      <c r="E28">
        <v>15.76113</v>
      </c>
      <c r="F28">
        <v>1.7802100000000001</v>
      </c>
      <c r="G28">
        <v>8.7488299999999999</v>
      </c>
      <c r="H28" s="16">
        <v>1.0000000000000001E-5</v>
      </c>
      <c r="I28">
        <v>4.5865799999999997</v>
      </c>
      <c r="J28">
        <v>16.887779999999999</v>
      </c>
      <c r="K28">
        <v>1.0000000000000001E-5</v>
      </c>
      <c r="L28">
        <v>7.7292699999999996</v>
      </c>
      <c r="M28">
        <v>167.69709</v>
      </c>
      <c r="N28">
        <v>18.93559764313898</v>
      </c>
      <c r="O28">
        <v>13.19623</v>
      </c>
      <c r="P28">
        <v>3.3767499999999999</v>
      </c>
      <c r="Q28" s="16">
        <v>1.0000000000000001E-5</v>
      </c>
      <c r="R28">
        <v>1.7404599999999999</v>
      </c>
    </row>
    <row r="29" spans="2:18" x14ac:dyDescent="0.2">
      <c r="B29" t="s">
        <v>344</v>
      </c>
      <c r="C29" s="20">
        <v>320.21647999999999</v>
      </c>
      <c r="D29" s="20">
        <v>1.0000000000000001E-5</v>
      </c>
      <c r="E29">
        <v>29.790890000000001</v>
      </c>
      <c r="F29">
        <v>1.9124000000000001</v>
      </c>
      <c r="G29">
        <v>15.580629999999999</v>
      </c>
      <c r="H29" s="16">
        <v>1.0000000000000001E-5</v>
      </c>
      <c r="I29">
        <v>7.2509399999999999</v>
      </c>
      <c r="J29">
        <v>18.25329</v>
      </c>
      <c r="K29">
        <v>1.0000000000000001E-5</v>
      </c>
      <c r="L29">
        <v>4.9209699999999996</v>
      </c>
      <c r="M29">
        <v>163.28784999999999</v>
      </c>
      <c r="N29">
        <v>22.14570085580748</v>
      </c>
      <c r="O29">
        <v>11.17812</v>
      </c>
      <c r="P29">
        <v>3.86008</v>
      </c>
      <c r="Q29" s="16">
        <v>1.0000000000000001E-5</v>
      </c>
      <c r="R29">
        <v>2.3105799999999999</v>
      </c>
    </row>
    <row r="30" spans="2:18" x14ac:dyDescent="0.2">
      <c r="B30" t="s">
        <v>343</v>
      </c>
      <c r="C30" s="20">
        <v>32.502589999999998</v>
      </c>
      <c r="D30" s="20">
        <v>1.0000000000000001E-5</v>
      </c>
      <c r="E30">
        <v>26.049489999999999</v>
      </c>
      <c r="F30">
        <v>1.6249800000000001</v>
      </c>
      <c r="G30">
        <v>17.650449999999999</v>
      </c>
      <c r="H30" s="16">
        <v>1.0000000000000001E-5</v>
      </c>
      <c r="I30">
        <v>4.4570800000000004</v>
      </c>
      <c r="J30">
        <v>16.645160000000001</v>
      </c>
      <c r="K30">
        <v>2.9455</v>
      </c>
      <c r="L30">
        <v>8.4749700000000008</v>
      </c>
      <c r="M30">
        <v>15.46388</v>
      </c>
      <c r="N30">
        <v>19.090288216615409</v>
      </c>
      <c r="O30">
        <v>8.5076499999999999</v>
      </c>
      <c r="P30">
        <v>3.3015300000000001</v>
      </c>
      <c r="Q30" s="16">
        <v>1.0000000000000001E-5</v>
      </c>
      <c r="R30">
        <v>1.5823400000000001</v>
      </c>
    </row>
    <row r="31" spans="2:18" x14ac:dyDescent="0.2">
      <c r="B31" t="s">
        <v>342</v>
      </c>
      <c r="C31" s="20">
        <v>16.859739999999999</v>
      </c>
      <c r="D31" s="20">
        <v>1.0000000000000001E-5</v>
      </c>
      <c r="E31">
        <v>16.775040000000001</v>
      </c>
      <c r="F31">
        <v>1.1092900000000001</v>
      </c>
      <c r="G31">
        <v>12.010260000000001</v>
      </c>
      <c r="H31" s="16">
        <v>1.0000000000000001E-5</v>
      </c>
      <c r="I31">
        <v>4.5482300000000002</v>
      </c>
      <c r="J31">
        <v>14.69651</v>
      </c>
      <c r="K31">
        <v>2.8182499999999999</v>
      </c>
      <c r="L31">
        <v>3.7943899999999999</v>
      </c>
      <c r="M31">
        <v>32.198099999999997</v>
      </c>
      <c r="N31">
        <v>18.855081574500261</v>
      </c>
      <c r="O31">
        <v>8.2487200000000005</v>
      </c>
      <c r="P31">
        <v>3.5970800000000001</v>
      </c>
      <c r="Q31" s="16">
        <v>1.0000000000000001E-5</v>
      </c>
      <c r="R31">
        <v>0.62743000000000004</v>
      </c>
    </row>
    <row r="32" spans="2:18" x14ac:dyDescent="0.2">
      <c r="B32" t="s">
        <v>307</v>
      </c>
      <c r="C32" s="20">
        <v>119.93263</v>
      </c>
      <c r="D32" s="20">
        <v>1.0000000000000001E-5</v>
      </c>
      <c r="E32">
        <v>21.223099999999999</v>
      </c>
      <c r="F32">
        <v>0.80183000000000004</v>
      </c>
      <c r="G32">
        <v>18.2775</v>
      </c>
      <c r="H32" s="16">
        <v>1.0000000000000001E-5</v>
      </c>
      <c r="I32">
        <v>4.5542699999999998</v>
      </c>
      <c r="J32">
        <v>14.53659</v>
      </c>
      <c r="K32">
        <v>1.0000000000000001E-5</v>
      </c>
      <c r="L32">
        <v>3.6698499999999998</v>
      </c>
      <c r="M32">
        <v>19.02411</v>
      </c>
      <c r="N32">
        <v>18.339107954715786</v>
      </c>
      <c r="O32">
        <v>5.8567600000000004</v>
      </c>
      <c r="P32">
        <v>3.5572599999999999</v>
      </c>
      <c r="Q32" s="16">
        <v>1.0000000000000001E-5</v>
      </c>
      <c r="R32">
        <v>5.8423400000000001</v>
      </c>
    </row>
    <row r="33" spans="1:18" x14ac:dyDescent="0.2">
      <c r="B33" t="s">
        <v>341</v>
      </c>
      <c r="C33" s="20">
        <v>111.32857</v>
      </c>
      <c r="D33" s="20">
        <v>1.0000000000000001E-5</v>
      </c>
      <c r="E33">
        <v>16.17296</v>
      </c>
      <c r="F33">
        <v>0.80066000000000004</v>
      </c>
      <c r="G33">
        <v>19.25985</v>
      </c>
      <c r="H33" s="16">
        <v>1.0000000000000001E-5</v>
      </c>
      <c r="I33">
        <v>4.4841100000000003</v>
      </c>
      <c r="J33">
        <v>12.395989999999999</v>
      </c>
      <c r="K33">
        <v>1.0000000000000001E-5</v>
      </c>
      <c r="L33">
        <v>1.0000000000000001E-5</v>
      </c>
      <c r="M33">
        <v>195.17185000000001</v>
      </c>
      <c r="N33">
        <v>18.838777821337196</v>
      </c>
      <c r="O33">
        <v>5.8751800000000003</v>
      </c>
      <c r="P33">
        <v>3.5280300000000002</v>
      </c>
      <c r="Q33" s="16">
        <v>1.0000000000000001E-5</v>
      </c>
      <c r="R33">
        <v>2.31515</v>
      </c>
    </row>
    <row r="34" spans="1:18" x14ac:dyDescent="0.2">
      <c r="B34" t="s">
        <v>340</v>
      </c>
      <c r="C34" s="20">
        <v>821.74570000000006</v>
      </c>
      <c r="D34" s="20">
        <v>1.0000000000000001E-5</v>
      </c>
      <c r="E34">
        <v>15.14143</v>
      </c>
      <c r="F34">
        <v>0.83082999999999996</v>
      </c>
      <c r="G34">
        <v>13.290139999999999</v>
      </c>
      <c r="H34" s="16">
        <v>1.0000000000000001E-5</v>
      </c>
      <c r="I34">
        <v>4.5207300000000004</v>
      </c>
      <c r="J34">
        <v>15.002840000000001</v>
      </c>
      <c r="K34">
        <v>1.0000000000000001E-5</v>
      </c>
      <c r="L34">
        <v>7.9724500000000003</v>
      </c>
      <c r="M34">
        <v>30.154579999999999</v>
      </c>
      <c r="N34">
        <v>27.035723868947414</v>
      </c>
      <c r="O34">
        <v>6.4018800000000002</v>
      </c>
      <c r="P34">
        <v>3.8372700000000002</v>
      </c>
      <c r="Q34" s="16">
        <v>1.0000000000000001E-5</v>
      </c>
      <c r="R34">
        <v>3.7469299999999999</v>
      </c>
    </row>
    <row r="35" spans="1:18" x14ac:dyDescent="0.2">
      <c r="B35" t="s">
        <v>339</v>
      </c>
      <c r="C35" s="20">
        <v>31.034009999999999</v>
      </c>
      <c r="D35" s="20">
        <v>1.0000000000000001E-5</v>
      </c>
      <c r="E35">
        <v>18.683789999999998</v>
      </c>
      <c r="F35">
        <v>0.81418000000000001</v>
      </c>
      <c r="G35">
        <v>15.301349999999999</v>
      </c>
      <c r="H35" s="16">
        <v>1.0000000000000001E-5</v>
      </c>
      <c r="I35">
        <v>4.5326899999999997</v>
      </c>
      <c r="J35">
        <v>32.350200000000001</v>
      </c>
      <c r="K35">
        <v>3.2017899999999999</v>
      </c>
      <c r="L35">
        <v>3.6297799999999998</v>
      </c>
      <c r="M35">
        <v>24.242000000000001</v>
      </c>
      <c r="N35">
        <v>16.02915536975318</v>
      </c>
      <c r="O35">
        <v>5.3098999999999998</v>
      </c>
      <c r="P35">
        <v>3.26911</v>
      </c>
      <c r="Q35" s="16">
        <v>1.0000000000000001E-5</v>
      </c>
      <c r="R35">
        <v>7.1920000000000002</v>
      </c>
    </row>
    <row r="36" spans="1:18" x14ac:dyDescent="0.2">
      <c r="B36" t="s">
        <v>338</v>
      </c>
      <c r="C36" s="20">
        <v>10.529870000000001</v>
      </c>
      <c r="D36" s="20">
        <v>1.0000000000000001E-5</v>
      </c>
      <c r="E36">
        <v>4.0669700000000004</v>
      </c>
      <c r="F36">
        <v>2.99376</v>
      </c>
      <c r="G36">
        <v>15.628019999999999</v>
      </c>
      <c r="H36" s="16">
        <v>1.0000000000000001E-5</v>
      </c>
      <c r="I36">
        <v>5.6414600000000004</v>
      </c>
      <c r="J36">
        <v>14.34989</v>
      </c>
      <c r="K36">
        <v>3.8794</v>
      </c>
      <c r="L36">
        <v>7.1346499999999997</v>
      </c>
      <c r="M36">
        <v>257.18889999999999</v>
      </c>
      <c r="N36">
        <v>4.5456707627949262</v>
      </c>
      <c r="O36">
        <v>5.5860000000000003</v>
      </c>
      <c r="P36">
        <v>3.0248900000000001</v>
      </c>
      <c r="Q36" s="16">
        <v>1.0000000000000001E-5</v>
      </c>
      <c r="R36">
        <v>1.2377199999999999</v>
      </c>
    </row>
    <row r="37" spans="1:18" x14ac:dyDescent="0.2">
      <c r="B37" t="s">
        <v>337</v>
      </c>
      <c r="C37" s="20">
        <v>13.340199999999999</v>
      </c>
      <c r="D37" s="20">
        <v>1.0000000000000001E-5</v>
      </c>
      <c r="E37">
        <v>10.47616</v>
      </c>
      <c r="F37">
        <v>1.0334000000000001</v>
      </c>
      <c r="G37">
        <v>10.93286</v>
      </c>
      <c r="H37" s="16">
        <v>1.0000000000000001E-5</v>
      </c>
      <c r="I37">
        <v>8.4657999999999998</v>
      </c>
      <c r="J37">
        <v>18.29365</v>
      </c>
      <c r="K37">
        <v>1.0000000000000001E-5</v>
      </c>
      <c r="L37">
        <v>4.5969899999999999</v>
      </c>
      <c r="M37">
        <v>186.15986000000001</v>
      </c>
      <c r="N37">
        <v>8.0946051345256489</v>
      </c>
      <c r="O37">
        <v>6.1780499999999998</v>
      </c>
      <c r="P37">
        <v>3.40225</v>
      </c>
      <c r="Q37" s="16">
        <v>1.0000000000000001E-5</v>
      </c>
      <c r="R37">
        <v>0.34472999999999998</v>
      </c>
    </row>
    <row r="38" spans="1:18" x14ac:dyDescent="0.2">
      <c r="B38" t="s">
        <v>336</v>
      </c>
      <c r="C38" s="20">
        <v>14.294739999999999</v>
      </c>
      <c r="D38" s="20">
        <v>1.0000000000000001E-5</v>
      </c>
      <c r="E38">
        <v>14.642910000000001</v>
      </c>
      <c r="F38">
        <v>3.8388900000000001</v>
      </c>
      <c r="G38">
        <v>14.78355</v>
      </c>
      <c r="H38" s="16">
        <v>1.0000000000000001E-5</v>
      </c>
      <c r="I38">
        <v>5.09992</v>
      </c>
      <c r="J38">
        <v>28.30678</v>
      </c>
      <c r="K38">
        <v>3.4175399999999998</v>
      </c>
      <c r="L38">
        <v>7.4271200000000004</v>
      </c>
      <c r="M38">
        <v>266.47674000000001</v>
      </c>
      <c r="N38">
        <v>5.9234556358412487</v>
      </c>
      <c r="O38">
        <v>9.0457900000000002</v>
      </c>
      <c r="P38">
        <v>3.1640999999999999</v>
      </c>
      <c r="Q38" s="16">
        <v>1.0000000000000001E-5</v>
      </c>
      <c r="R38">
        <v>1.0020199999999999</v>
      </c>
    </row>
    <row r="39" spans="1:18" x14ac:dyDescent="0.2">
      <c r="A39" t="s">
        <v>128</v>
      </c>
      <c r="B39" t="s">
        <v>335</v>
      </c>
      <c r="C39" s="20">
        <v>554.87219000000005</v>
      </c>
      <c r="D39" s="20">
        <v>1.0000000000000001E-5</v>
      </c>
      <c r="E39">
        <v>10.305770000000001</v>
      </c>
      <c r="F39">
        <v>2.7888600000000001</v>
      </c>
      <c r="G39">
        <v>7.1927300000000001</v>
      </c>
      <c r="H39" s="16">
        <v>1.0000000000000001E-5</v>
      </c>
      <c r="I39">
        <v>2.3734700000000002</v>
      </c>
      <c r="J39">
        <v>23.768000000000001</v>
      </c>
      <c r="K39">
        <v>3.2217799999999999</v>
      </c>
      <c r="L39">
        <v>8.7354900000000004</v>
      </c>
      <c r="M39">
        <v>237.01629</v>
      </c>
      <c r="N39">
        <v>9.8298214413502194</v>
      </c>
      <c r="O39">
        <v>6.4755399999999996</v>
      </c>
      <c r="P39">
        <v>3.3896600000000001</v>
      </c>
      <c r="Q39" s="16">
        <v>1.0000000000000001E-5</v>
      </c>
      <c r="R39">
        <v>2.65</v>
      </c>
    </row>
    <row r="40" spans="1:18" x14ac:dyDescent="0.2">
      <c r="B40" t="s">
        <v>334</v>
      </c>
      <c r="C40" s="20">
        <v>34.272289999999998</v>
      </c>
      <c r="D40" s="20">
        <v>1.0000000000000001E-5</v>
      </c>
      <c r="E40">
        <v>20.617570000000001</v>
      </c>
      <c r="F40">
        <v>0.80279999999999996</v>
      </c>
      <c r="G40">
        <v>8.5244700000000009</v>
      </c>
      <c r="H40" s="16">
        <v>1.0000000000000001E-5</v>
      </c>
      <c r="I40">
        <v>4.4832000000000001</v>
      </c>
      <c r="J40">
        <v>12.16006</v>
      </c>
      <c r="K40">
        <v>2.2168899999999998</v>
      </c>
      <c r="L40">
        <v>5.9846899999999996</v>
      </c>
      <c r="M40">
        <v>32.981020000000001</v>
      </c>
      <c r="N40">
        <v>13.413723256575308</v>
      </c>
      <c r="O40">
        <v>5.2929000000000004</v>
      </c>
      <c r="P40">
        <v>3.2073800000000001</v>
      </c>
      <c r="Q40" s="16">
        <v>1.0000000000000001E-5</v>
      </c>
      <c r="R40">
        <v>4.5784599999999998</v>
      </c>
    </row>
    <row r="41" spans="1:18" x14ac:dyDescent="0.2">
      <c r="B41" t="s">
        <v>333</v>
      </c>
      <c r="C41" s="20">
        <v>349.87518</v>
      </c>
      <c r="D41" s="20">
        <v>1.0000000000000001E-5</v>
      </c>
      <c r="E41">
        <v>12.625030000000001</v>
      </c>
      <c r="F41">
        <v>0.80454999999999999</v>
      </c>
      <c r="G41">
        <v>12.34976</v>
      </c>
      <c r="H41" s="16">
        <v>1.0000000000000001E-5</v>
      </c>
      <c r="I41">
        <v>4.45411</v>
      </c>
      <c r="J41">
        <v>7.7234299999999996</v>
      </c>
      <c r="K41">
        <v>5.3355899999999998</v>
      </c>
      <c r="L41">
        <v>3.65239</v>
      </c>
      <c r="M41">
        <v>208.27710999999999</v>
      </c>
      <c r="N41">
        <v>3.575999317565453</v>
      </c>
      <c r="O41">
        <v>5.81752</v>
      </c>
      <c r="P41">
        <v>3.09091</v>
      </c>
      <c r="Q41" s="16">
        <v>1.0000000000000001E-5</v>
      </c>
      <c r="R41">
        <v>1.0000000000000001E-5</v>
      </c>
    </row>
    <row r="42" spans="1:18" x14ac:dyDescent="0.2">
      <c r="B42" t="s">
        <v>332</v>
      </c>
      <c r="C42" s="20">
        <v>597.46095000000003</v>
      </c>
      <c r="D42" s="20">
        <v>1.0000000000000001E-5</v>
      </c>
      <c r="E42">
        <v>29.552420000000001</v>
      </c>
      <c r="F42">
        <v>0.82438</v>
      </c>
      <c r="G42">
        <v>10.93866</v>
      </c>
      <c r="H42" s="16">
        <v>1.0000000000000001E-5</v>
      </c>
      <c r="I42">
        <v>4.1173700000000002</v>
      </c>
      <c r="J42">
        <v>9.06142</v>
      </c>
      <c r="K42">
        <v>3.05369</v>
      </c>
      <c r="L42">
        <v>4.9531599999999996</v>
      </c>
      <c r="M42">
        <v>228.32245</v>
      </c>
      <c r="N42">
        <v>2.6176562501413305</v>
      </c>
      <c r="O42">
        <v>6.6799299999999997</v>
      </c>
      <c r="P42">
        <v>2.8669199999999999</v>
      </c>
      <c r="Q42" s="16">
        <v>1.0000000000000001E-5</v>
      </c>
      <c r="R42">
        <v>1.3823399999999999</v>
      </c>
    </row>
    <row r="43" spans="1:18" x14ac:dyDescent="0.2">
      <c r="B43" t="s">
        <v>331</v>
      </c>
      <c r="C43" s="20">
        <v>75.756889999999999</v>
      </c>
      <c r="D43" s="20">
        <v>32.024050000000003</v>
      </c>
      <c r="E43">
        <v>18.19943</v>
      </c>
      <c r="F43">
        <v>0.83536999999999995</v>
      </c>
      <c r="G43">
        <v>13.92639</v>
      </c>
      <c r="H43" s="16">
        <v>25.686499999999999</v>
      </c>
      <c r="I43">
        <v>4.3861299999999996</v>
      </c>
      <c r="J43">
        <v>9.1477599999999999</v>
      </c>
      <c r="K43">
        <v>3.23576</v>
      </c>
      <c r="L43">
        <v>8.8770600000000002</v>
      </c>
      <c r="M43">
        <v>206.13935000000001</v>
      </c>
      <c r="N43">
        <v>3.5431466032488297</v>
      </c>
      <c r="O43">
        <v>6.9256599999999997</v>
      </c>
      <c r="P43">
        <v>3.0149300000000001</v>
      </c>
      <c r="Q43" s="16">
        <v>27.282810000000001</v>
      </c>
      <c r="R43">
        <v>1.4247099999999999</v>
      </c>
    </row>
    <row r="44" spans="1:18" x14ac:dyDescent="0.2">
      <c r="B44" t="s">
        <v>330</v>
      </c>
      <c r="C44" s="20">
        <v>57.585360000000001</v>
      </c>
      <c r="D44" s="20">
        <v>1.0000000000000001E-5</v>
      </c>
      <c r="E44">
        <v>15.78368</v>
      </c>
      <c r="F44">
        <v>4.28064</v>
      </c>
      <c r="G44">
        <v>13.990919999999999</v>
      </c>
      <c r="H44" s="16">
        <v>1.0000000000000001E-5</v>
      </c>
      <c r="I44">
        <v>4.5158100000000001</v>
      </c>
      <c r="J44">
        <v>15.754989999999999</v>
      </c>
      <c r="K44">
        <v>1.0000000000000001E-5</v>
      </c>
      <c r="L44">
        <v>6.2889600000000003</v>
      </c>
      <c r="M44">
        <v>23.465420000000002</v>
      </c>
      <c r="N44">
        <v>11.198211262304323</v>
      </c>
      <c r="O44">
        <v>6.4367200000000002</v>
      </c>
      <c r="P44">
        <v>3.2158500000000001</v>
      </c>
      <c r="Q44" s="16">
        <v>1.0000000000000001E-5</v>
      </c>
      <c r="R44">
        <v>0.71211999999999998</v>
      </c>
    </row>
    <row r="45" spans="1:18" x14ac:dyDescent="0.2">
      <c r="B45" t="s">
        <v>329</v>
      </c>
      <c r="C45" s="20">
        <v>149.34571</v>
      </c>
      <c r="D45" s="20">
        <v>1.0000000000000001E-5</v>
      </c>
      <c r="E45">
        <v>18.822559999999999</v>
      </c>
      <c r="F45">
        <v>1.8877200000000001</v>
      </c>
      <c r="G45">
        <v>9.2190200000000004</v>
      </c>
      <c r="H45" s="16">
        <v>1.0000000000000001E-5</v>
      </c>
      <c r="I45">
        <v>-9.8695599999999999</v>
      </c>
      <c r="J45">
        <v>17.29834</v>
      </c>
      <c r="K45">
        <v>2.2091799999999999</v>
      </c>
      <c r="L45">
        <v>8.2479200000000006</v>
      </c>
      <c r="M45">
        <v>24.592980000000001</v>
      </c>
      <c r="N45">
        <v>19.448259008340624</v>
      </c>
      <c r="O45">
        <v>7.4611499999999999</v>
      </c>
      <c r="P45">
        <v>3.3926099999999999</v>
      </c>
      <c r="Q45" s="16">
        <v>1.0000000000000001E-5</v>
      </c>
      <c r="R45">
        <v>4.1088899999999997</v>
      </c>
    </row>
    <row r="46" spans="1:18" x14ac:dyDescent="0.2">
      <c r="B46" t="s">
        <v>328</v>
      </c>
      <c r="C46" s="20">
        <v>56.100160000000002</v>
      </c>
      <c r="D46" s="20">
        <v>1.0000000000000001E-5</v>
      </c>
      <c r="E46">
        <v>20.510059999999999</v>
      </c>
      <c r="F46">
        <v>2.4030800000000001</v>
      </c>
      <c r="G46">
        <v>14.02901</v>
      </c>
      <c r="H46" s="16">
        <v>1.0000000000000001E-5</v>
      </c>
      <c r="I46">
        <v>4.4450900000000004</v>
      </c>
      <c r="J46">
        <v>19.38287</v>
      </c>
      <c r="K46">
        <v>3.09138</v>
      </c>
      <c r="L46">
        <v>3.6099299999999999</v>
      </c>
      <c r="M46">
        <v>26.770140000000001</v>
      </c>
      <c r="N46">
        <v>8.1415063677349799</v>
      </c>
      <c r="O46">
        <v>6.5776000000000003</v>
      </c>
      <c r="P46">
        <v>3.1841200000000001</v>
      </c>
      <c r="Q46" s="16">
        <v>1.0000000000000001E-5</v>
      </c>
      <c r="R46">
        <v>6.33033</v>
      </c>
    </row>
    <row r="47" spans="1:18" x14ac:dyDescent="0.2">
      <c r="B47" t="s">
        <v>327</v>
      </c>
      <c r="C47" s="20">
        <v>35.354280000000003</v>
      </c>
      <c r="D47" s="20">
        <v>1.0000000000000001E-5</v>
      </c>
      <c r="E47">
        <v>20.51154</v>
      </c>
      <c r="F47">
        <v>4.0093699999999997</v>
      </c>
      <c r="G47">
        <v>9.6547000000000001</v>
      </c>
      <c r="H47" s="16">
        <v>1.0000000000000001E-5</v>
      </c>
      <c r="I47">
        <v>1.25109</v>
      </c>
      <c r="J47">
        <v>28.082319999999999</v>
      </c>
      <c r="K47">
        <v>1.90862</v>
      </c>
      <c r="L47">
        <v>4.35778</v>
      </c>
      <c r="M47">
        <v>181.69709</v>
      </c>
      <c r="N47">
        <v>28.965889940814215</v>
      </c>
      <c r="O47">
        <v>14.956860000000001</v>
      </c>
      <c r="P47">
        <v>4.15862</v>
      </c>
      <c r="Q47" s="16">
        <v>1.0000000000000001E-5</v>
      </c>
      <c r="R47">
        <v>4.1180700000000003</v>
      </c>
    </row>
    <row r="48" spans="1:18" x14ac:dyDescent="0.2">
      <c r="B48" t="s">
        <v>326</v>
      </c>
      <c r="C48" s="20">
        <v>11.02814</v>
      </c>
      <c r="D48" s="20">
        <v>1.0000000000000001E-5</v>
      </c>
      <c r="E48">
        <v>26.109480000000001</v>
      </c>
      <c r="F48">
        <v>2.2218100000000001</v>
      </c>
      <c r="G48">
        <v>13.35472</v>
      </c>
      <c r="H48" s="16">
        <v>1.0000000000000001E-5</v>
      </c>
      <c r="I48">
        <v>4.3453499999999998</v>
      </c>
      <c r="J48">
        <v>30.738600000000002</v>
      </c>
      <c r="K48">
        <v>1.0000000000000001E-5</v>
      </c>
      <c r="L48">
        <v>1.0000000000000001E-5</v>
      </c>
      <c r="M48">
        <v>162.18419</v>
      </c>
      <c r="N48">
        <v>61.996216445303482</v>
      </c>
      <c r="O48">
        <v>15.23324</v>
      </c>
      <c r="P48">
        <v>5.0373099999999997</v>
      </c>
      <c r="Q48" s="16">
        <v>1.0000000000000001E-5</v>
      </c>
      <c r="R48">
        <v>1.0000000000000001E-5</v>
      </c>
    </row>
    <row r="49" spans="2:18" x14ac:dyDescent="0.2">
      <c r="B49" t="s">
        <v>325</v>
      </c>
      <c r="C49" s="20">
        <v>15.21782</v>
      </c>
      <c r="D49" s="20">
        <v>1.0000000000000001E-5</v>
      </c>
      <c r="E49">
        <v>9.6763999999999992</v>
      </c>
      <c r="F49">
        <v>9.3788699999999992</v>
      </c>
      <c r="G49">
        <v>17.322040000000001</v>
      </c>
      <c r="H49" s="16">
        <v>1.0000000000000001E-5</v>
      </c>
      <c r="I49">
        <v>4.3240699999999999</v>
      </c>
      <c r="J49">
        <v>26.990600000000001</v>
      </c>
      <c r="K49">
        <v>2.1512199999999999</v>
      </c>
      <c r="L49">
        <v>5.9585600000000003</v>
      </c>
      <c r="M49">
        <v>23.15626</v>
      </c>
      <c r="N49">
        <v>37.634764684562946</v>
      </c>
      <c r="O49">
        <v>7.6465899999999998</v>
      </c>
      <c r="P49">
        <v>4.6106999999999996</v>
      </c>
      <c r="Q49" s="16">
        <v>1.0000000000000001E-5</v>
      </c>
      <c r="R49">
        <v>0.82847000000000004</v>
      </c>
    </row>
    <row r="50" spans="2:18" x14ac:dyDescent="0.2">
      <c r="B50" t="s">
        <v>324</v>
      </c>
      <c r="C50" s="20">
        <v>366.03192000000001</v>
      </c>
      <c r="D50" s="20">
        <v>1.0000000000000001E-5</v>
      </c>
      <c r="E50">
        <v>40.403080000000003</v>
      </c>
      <c r="F50">
        <v>5.8182299999999998</v>
      </c>
      <c r="G50">
        <v>10.75484</v>
      </c>
      <c r="H50" s="16">
        <v>1.0000000000000001E-5</v>
      </c>
      <c r="I50">
        <v>4.5658200000000004</v>
      </c>
      <c r="J50">
        <v>19.200089999999999</v>
      </c>
      <c r="K50">
        <v>1.0000000000000001E-5</v>
      </c>
      <c r="L50">
        <v>1.0000000000000001E-5</v>
      </c>
      <c r="M50">
        <v>15.131830000000001</v>
      </c>
      <c r="N50">
        <v>44.419284502740361</v>
      </c>
      <c r="O50">
        <v>10.117570000000001</v>
      </c>
      <c r="P50">
        <v>3.9670299999999998</v>
      </c>
      <c r="Q50" s="16">
        <v>1.0000000000000001E-5</v>
      </c>
      <c r="R50">
        <v>2.9718200000000001</v>
      </c>
    </row>
    <row r="51" spans="2:18" x14ac:dyDescent="0.2">
      <c r="B51" t="s">
        <v>323</v>
      </c>
      <c r="C51" s="20">
        <v>52.539189999999998</v>
      </c>
      <c r="D51" s="20">
        <v>39.336930000000002</v>
      </c>
      <c r="E51">
        <v>25.725750000000001</v>
      </c>
      <c r="F51">
        <v>5.4850899999999996</v>
      </c>
      <c r="G51">
        <v>14.051589999999999</v>
      </c>
      <c r="H51" s="16">
        <v>24.750859999999999</v>
      </c>
      <c r="I51">
        <v>5.5460799999999999</v>
      </c>
      <c r="J51">
        <v>25.297910000000002</v>
      </c>
      <c r="K51">
        <v>5.1566900000000002</v>
      </c>
      <c r="L51">
        <v>1.0000000000000001E-5</v>
      </c>
      <c r="M51">
        <v>6.7748999999999997</v>
      </c>
      <c r="N51">
        <v>49.342428979252652</v>
      </c>
      <c r="O51">
        <v>12.481120000000001</v>
      </c>
      <c r="P51">
        <v>4.5140000000000002</v>
      </c>
      <c r="Q51" s="16">
        <v>26.404769999999999</v>
      </c>
      <c r="R51">
        <v>1.0000000000000001E-5</v>
      </c>
    </row>
    <row r="52" spans="2:18" x14ac:dyDescent="0.2">
      <c r="C52" s="20"/>
      <c r="Q52" s="16"/>
    </row>
    <row r="53" spans="2:18" x14ac:dyDescent="0.2">
      <c r="B53" t="s">
        <v>119</v>
      </c>
      <c r="Q53" s="16"/>
    </row>
    <row r="54" spans="2:18" x14ac:dyDescent="0.2">
      <c r="B54" t="s">
        <v>120</v>
      </c>
      <c r="C54" t="s">
        <v>182</v>
      </c>
      <c r="D54" t="s">
        <v>182</v>
      </c>
      <c r="E54" t="s">
        <v>182</v>
      </c>
      <c r="F54" t="s">
        <v>182</v>
      </c>
      <c r="G54" t="s">
        <v>182</v>
      </c>
      <c r="H54" s="16" t="s">
        <v>182</v>
      </c>
      <c r="I54" t="s">
        <v>182</v>
      </c>
      <c r="J54" t="s">
        <v>182</v>
      </c>
      <c r="K54" t="s">
        <v>182</v>
      </c>
      <c r="L54" t="s">
        <v>182</v>
      </c>
      <c r="N54" t="s">
        <v>182</v>
      </c>
      <c r="O54" t="s">
        <v>182</v>
      </c>
      <c r="P54" t="s">
        <v>182</v>
      </c>
      <c r="Q54" s="16" t="s">
        <v>182</v>
      </c>
      <c r="R54" t="s">
        <v>174</v>
      </c>
    </row>
    <row r="55" spans="2:18" x14ac:dyDescent="0.2">
      <c r="B55" t="s">
        <v>48</v>
      </c>
      <c r="E55">
        <v>0.99543000000000004</v>
      </c>
      <c r="F55">
        <v>0.98748999999999998</v>
      </c>
      <c r="G55">
        <v>0.98973999999999995</v>
      </c>
      <c r="H55" s="16">
        <v>0.99980000000000002</v>
      </c>
      <c r="I55">
        <v>0.92562</v>
      </c>
      <c r="J55">
        <v>0.99816000000000005</v>
      </c>
      <c r="K55">
        <v>0.98511000000000004</v>
      </c>
      <c r="L55">
        <v>0.99446999999999997</v>
      </c>
      <c r="M55">
        <v>0.99493299999999996</v>
      </c>
      <c r="N55">
        <v>0.97567999999999999</v>
      </c>
      <c r="O55">
        <v>0.99202999999999997</v>
      </c>
      <c r="P55">
        <v>0.99504000000000004</v>
      </c>
      <c r="Q55" s="16">
        <v>0.99936000000000003</v>
      </c>
      <c r="R55">
        <v>0.99997000000000003</v>
      </c>
    </row>
    <row r="56" spans="2:18" x14ac:dyDescent="0.2">
      <c r="B56" t="s">
        <v>110</v>
      </c>
      <c r="E56">
        <v>33.271799999999999</v>
      </c>
      <c r="F56">
        <v>17.796859999999999</v>
      </c>
      <c r="G56">
        <v>57.31024</v>
      </c>
      <c r="H56" s="16">
        <v>20.928270000000001</v>
      </c>
      <c r="I56">
        <v>92.067440000000005</v>
      </c>
      <c r="J56">
        <v>99.365880000000004</v>
      </c>
      <c r="K56">
        <v>28.711020000000001</v>
      </c>
      <c r="L56">
        <v>43.020339999999997</v>
      </c>
      <c r="M56">
        <v>128.5847</v>
      </c>
      <c r="N56">
        <v>42.660229999999999</v>
      </c>
      <c r="O56">
        <v>37.903500000000001</v>
      </c>
      <c r="P56">
        <v>33.743070000000003</v>
      </c>
      <c r="Q56" s="16">
        <v>47.046950000000002</v>
      </c>
      <c r="R56">
        <v>75.405330000000006</v>
      </c>
    </row>
    <row r="57" spans="2:18" x14ac:dyDescent="0.2">
      <c r="B57" t="s">
        <v>125</v>
      </c>
      <c r="E57">
        <v>1</v>
      </c>
      <c r="F57">
        <v>0.25</v>
      </c>
      <c r="G57">
        <v>0.25</v>
      </c>
      <c r="H57" s="16">
        <v>25</v>
      </c>
      <c r="I57">
        <v>1</v>
      </c>
      <c r="J57">
        <v>0.25</v>
      </c>
      <c r="K57">
        <v>1</v>
      </c>
      <c r="L57">
        <v>2.5</v>
      </c>
      <c r="M57">
        <v>5</v>
      </c>
      <c r="N57">
        <v>0.25</v>
      </c>
      <c r="O57">
        <v>1</v>
      </c>
      <c r="P57">
        <v>1</v>
      </c>
      <c r="Q57" s="16">
        <v>2.5</v>
      </c>
      <c r="R57">
        <v>0.25</v>
      </c>
    </row>
    <row r="58" spans="2:18" x14ac:dyDescent="0.2">
      <c r="B58" t="s">
        <v>126</v>
      </c>
      <c r="E58">
        <v>100</v>
      </c>
      <c r="F58">
        <v>25</v>
      </c>
      <c r="G58">
        <v>100</v>
      </c>
      <c r="H58" s="16">
        <v>500</v>
      </c>
      <c r="I58">
        <v>50</v>
      </c>
      <c r="J58">
        <v>500</v>
      </c>
      <c r="K58">
        <v>25</v>
      </c>
      <c r="L58">
        <v>100</v>
      </c>
      <c r="M58">
        <v>500</v>
      </c>
      <c r="N58">
        <v>100</v>
      </c>
      <c r="O58">
        <v>100</v>
      </c>
      <c r="P58">
        <v>100</v>
      </c>
      <c r="Q58" s="16">
        <v>100</v>
      </c>
      <c r="R58">
        <v>50</v>
      </c>
    </row>
    <row r="61" spans="2:18" x14ac:dyDescent="0.2">
      <c r="C61" t="s">
        <v>216</v>
      </c>
      <c r="D61" t="s">
        <v>214</v>
      </c>
      <c r="E61" t="s">
        <v>215</v>
      </c>
      <c r="F61" t="s">
        <v>213</v>
      </c>
      <c r="G61" t="s">
        <v>217</v>
      </c>
      <c r="I61" t="s">
        <v>197</v>
      </c>
    </row>
    <row r="62" spans="2:18" x14ac:dyDescent="0.2">
      <c r="B62" t="s">
        <v>82</v>
      </c>
      <c r="C62" s="9">
        <v>562245</v>
      </c>
      <c r="D62" s="9">
        <v>130611</v>
      </c>
      <c r="E62" s="9">
        <v>154325</v>
      </c>
      <c r="F62" s="9">
        <f>E62+D62</f>
        <v>284936</v>
      </c>
      <c r="G62">
        <f>F62/C62</f>
        <v>0.50678263034797999</v>
      </c>
      <c r="H62">
        <f>(-1.3576*(G62^2)) + 36.677*G62 + 3.0627</f>
        <v>21.301295979180985</v>
      </c>
      <c r="I62">
        <f>(-$L$63+(SQRT($L$64-(4*$L$65*($L$66-(G62))))))/(2*$L$65)</f>
        <v>26.311582466284154</v>
      </c>
      <c r="K62" t="s">
        <v>221</v>
      </c>
    </row>
    <row r="63" spans="2:18" x14ac:dyDescent="0.2">
      <c r="B63" t="s">
        <v>58</v>
      </c>
      <c r="C63" s="9">
        <v>613115</v>
      </c>
      <c r="D63" s="9">
        <v>210914</v>
      </c>
      <c r="E63" s="9">
        <v>318107</v>
      </c>
      <c r="F63" s="9">
        <f t="shared" ref="F63:F111" si="0">E63+D63</f>
        <v>529021</v>
      </c>
      <c r="G63">
        <f t="shared" ref="G63:G111" si="1">F63/C63</f>
        <v>0.86284139190853271</v>
      </c>
      <c r="H63">
        <f t="shared" ref="H63:H111" si="2">(-1.3576*(G63^2)) + 36.677*G63 + 3.0627</f>
        <v>33.698406955748183</v>
      </c>
      <c r="I63">
        <f t="shared" ref="I63:I111" si="3">(-$L$63+(SQRT($L$64-(4*$L$65*($L$66-(G63))))))/(2*$L$65)</f>
        <v>41.005501512913156</v>
      </c>
      <c r="K63" t="s">
        <v>143</v>
      </c>
      <c r="L63">
        <v>1.7500000000000002E-2</v>
      </c>
    </row>
    <row r="64" spans="2:18" x14ac:dyDescent="0.2">
      <c r="B64" t="s">
        <v>98</v>
      </c>
      <c r="C64" s="9">
        <v>750600</v>
      </c>
      <c r="D64" s="9">
        <v>344822</v>
      </c>
      <c r="E64" s="9">
        <v>664791</v>
      </c>
      <c r="F64" s="9">
        <f t="shared" si="0"/>
        <v>1009613</v>
      </c>
      <c r="G64">
        <f t="shared" si="1"/>
        <v>1.3450746069810817</v>
      </c>
      <c r="H64">
        <f t="shared" si="2"/>
        <v>49.939796552171536</v>
      </c>
      <c r="I64">
        <f t="shared" si="3"/>
        <v>58.568463638838935</v>
      </c>
      <c r="K64" t="s">
        <v>144</v>
      </c>
      <c r="L64">
        <f>L63^2</f>
        <v>3.0625000000000004E-4</v>
      </c>
    </row>
    <row r="65" spans="2:12" x14ac:dyDescent="0.2">
      <c r="B65" t="s">
        <v>106</v>
      </c>
      <c r="C65" s="9">
        <v>786526</v>
      </c>
      <c r="D65" s="9">
        <v>349466</v>
      </c>
      <c r="E65" s="9">
        <v>642341</v>
      </c>
      <c r="F65" s="9">
        <f t="shared" si="0"/>
        <v>991807</v>
      </c>
      <c r="G65">
        <f t="shared" si="1"/>
        <v>1.2609970935480836</v>
      </c>
      <c r="H65">
        <f t="shared" si="2"/>
        <v>47.153552081756978</v>
      </c>
      <c r="I65">
        <f t="shared" si="3"/>
        <v>55.661520442753172</v>
      </c>
      <c r="K65" t="s">
        <v>145</v>
      </c>
      <c r="L65">
        <v>1E-4</v>
      </c>
    </row>
    <row r="66" spans="2:12" x14ac:dyDescent="0.2">
      <c r="B66" t="s">
        <v>366</v>
      </c>
      <c r="C66" s="9">
        <v>307773</v>
      </c>
      <c r="D66">
        <v>1.0000000000000001E-5</v>
      </c>
      <c r="E66" s="9">
        <v>453901</v>
      </c>
      <c r="F66" s="9">
        <f>E66+D66</f>
        <v>453901.00001000002</v>
      </c>
      <c r="G66">
        <f t="shared" si="1"/>
        <v>1.4747914859653057</v>
      </c>
      <c r="H66">
        <f t="shared" si="2"/>
        <v>54.200833853751469</v>
      </c>
      <c r="I66">
        <f t="shared" si="3"/>
        <v>62.943228028559183</v>
      </c>
      <c r="K66" t="s">
        <v>146</v>
      </c>
      <c r="L66">
        <v>-2.29E-2</v>
      </c>
    </row>
    <row r="67" spans="2:12" x14ac:dyDescent="0.2">
      <c r="B67" t="s">
        <v>365</v>
      </c>
      <c r="C67" s="9">
        <v>240389</v>
      </c>
      <c r="D67" s="9">
        <v>1436</v>
      </c>
      <c r="E67" s="9">
        <v>120428</v>
      </c>
      <c r="F67" s="9">
        <f t="shared" si="0"/>
        <v>121864</v>
      </c>
      <c r="G67">
        <f t="shared" si="1"/>
        <v>0.50694499332332177</v>
      </c>
      <c r="H67">
        <f t="shared" si="2"/>
        <v>21.307027516154893</v>
      </c>
      <c r="I67">
        <f t="shared" si="3"/>
        <v>26.31871521517547</v>
      </c>
    </row>
    <row r="68" spans="2:12" x14ac:dyDescent="0.2">
      <c r="B68" t="s">
        <v>364</v>
      </c>
      <c r="C68" s="9">
        <v>190457</v>
      </c>
      <c r="D68">
        <v>1.0000000000000001E-5</v>
      </c>
      <c r="E68" s="9">
        <v>228263</v>
      </c>
      <c r="F68" s="9">
        <f t="shared" si="0"/>
        <v>228263.00000999999</v>
      </c>
      <c r="G68">
        <f t="shared" si="1"/>
        <v>1.1985014990785321</v>
      </c>
      <c r="H68">
        <f t="shared" si="2"/>
        <v>45.070074908848078</v>
      </c>
      <c r="I68">
        <f t="shared" si="3"/>
        <v>53.461927451299118</v>
      </c>
    </row>
    <row r="69" spans="2:12" x14ac:dyDescent="0.2">
      <c r="B69" t="s">
        <v>321</v>
      </c>
      <c r="C69" s="9">
        <v>284696</v>
      </c>
      <c r="D69" s="9">
        <v>1189</v>
      </c>
      <c r="E69" s="9">
        <v>118884</v>
      </c>
      <c r="F69" s="9">
        <f t="shared" si="0"/>
        <v>120073</v>
      </c>
      <c r="G69">
        <f t="shared" si="1"/>
        <v>0.42175864782083344</v>
      </c>
      <c r="H69">
        <f t="shared" si="2"/>
        <v>18.290051553445682</v>
      </c>
      <c r="I69">
        <f t="shared" si="3"/>
        <v>22.512892327255592</v>
      </c>
    </row>
    <row r="70" spans="2:12" x14ac:dyDescent="0.2">
      <c r="B70" t="s">
        <v>363</v>
      </c>
      <c r="C70" s="9">
        <v>210179</v>
      </c>
      <c r="D70">
        <v>1.0000000000000001E-5</v>
      </c>
      <c r="E70" s="9">
        <v>55859</v>
      </c>
      <c r="F70" s="9">
        <f t="shared" si="0"/>
        <v>55859.000010000003</v>
      </c>
      <c r="G70">
        <f t="shared" si="1"/>
        <v>0.26576870196356439</v>
      </c>
      <c r="H70">
        <f t="shared" si="2"/>
        <v>12.714407317121694</v>
      </c>
      <c r="I70">
        <f t="shared" si="3"/>
        <v>15.17880511398466</v>
      </c>
    </row>
    <row r="71" spans="2:12" x14ac:dyDescent="0.2">
      <c r="B71" t="s">
        <v>362</v>
      </c>
      <c r="C71" s="9">
        <v>343321</v>
      </c>
      <c r="D71">
        <v>1.0000000000000001E-5</v>
      </c>
      <c r="E71" s="9">
        <v>87833</v>
      </c>
      <c r="F71" s="9">
        <f t="shared" si="0"/>
        <v>87833.000010000003</v>
      </c>
      <c r="G71">
        <f t="shared" si="1"/>
        <v>0.25583346200785856</v>
      </c>
      <c r="H71">
        <f t="shared" si="2"/>
        <v>12.357047933902127</v>
      </c>
      <c r="I71">
        <f t="shared" si="3"/>
        <v>14.693858035004173</v>
      </c>
    </row>
    <row r="72" spans="2:12" x14ac:dyDescent="0.2">
      <c r="B72" t="s">
        <v>361</v>
      </c>
      <c r="C72" s="9">
        <v>184934</v>
      </c>
      <c r="D72">
        <v>1.0000000000000001E-5</v>
      </c>
      <c r="E72" s="9">
        <v>47333</v>
      </c>
      <c r="F72" s="9">
        <f t="shared" si="0"/>
        <v>47333.000010000003</v>
      </c>
      <c r="G72">
        <f t="shared" si="1"/>
        <v>0.25594536434619919</v>
      </c>
      <c r="H72">
        <f t="shared" si="2"/>
        <v>12.3610744272352</v>
      </c>
      <c r="I72">
        <f t="shared" si="3"/>
        <v>14.699332891472388</v>
      </c>
    </row>
    <row r="73" spans="2:12" x14ac:dyDescent="0.2">
      <c r="B73" t="s">
        <v>360</v>
      </c>
      <c r="C73" s="9">
        <v>181308</v>
      </c>
      <c r="D73">
        <v>1.0000000000000001E-5</v>
      </c>
      <c r="E73" s="9">
        <v>147929</v>
      </c>
      <c r="F73" s="9">
        <f t="shared" si="0"/>
        <v>147929.00000999999</v>
      </c>
      <c r="G73">
        <f t="shared" si="1"/>
        <v>0.81589891240320334</v>
      </c>
      <c r="H73">
        <f t="shared" si="2"/>
        <v>32.083682260742322</v>
      </c>
      <c r="I73">
        <f t="shared" si="3"/>
        <v>39.165856188761587</v>
      </c>
    </row>
    <row r="74" spans="2:12" x14ac:dyDescent="0.2">
      <c r="B74" t="s">
        <v>359</v>
      </c>
      <c r="C74" s="9">
        <v>229123</v>
      </c>
      <c r="D74">
        <v>1.0000000000000001E-5</v>
      </c>
      <c r="E74" s="9">
        <v>58997</v>
      </c>
      <c r="F74" s="9">
        <f t="shared" si="0"/>
        <v>58997.000010000003</v>
      </c>
      <c r="G74">
        <f t="shared" si="1"/>
        <v>0.25749051823692953</v>
      </c>
      <c r="H74">
        <f t="shared" si="2"/>
        <v>12.416669001561205</v>
      </c>
      <c r="I74">
        <f t="shared" si="3"/>
        <v>14.774900060421942</v>
      </c>
    </row>
    <row r="75" spans="2:12" x14ac:dyDescent="0.2">
      <c r="B75" t="s">
        <v>358</v>
      </c>
      <c r="C75" s="9">
        <v>178359</v>
      </c>
      <c r="D75">
        <v>1.0000000000000001E-5</v>
      </c>
      <c r="E75" s="9">
        <v>83444</v>
      </c>
      <c r="F75" s="9">
        <f t="shared" si="0"/>
        <v>83444.000010000003</v>
      </c>
      <c r="G75">
        <f t="shared" si="1"/>
        <v>0.46784294602459087</v>
      </c>
      <c r="H75">
        <f t="shared" si="2"/>
        <v>19.924628286079908</v>
      </c>
      <c r="I75">
        <f t="shared" si="3"/>
        <v>24.58782030285855</v>
      </c>
    </row>
    <row r="76" spans="2:12" x14ac:dyDescent="0.2">
      <c r="B76" t="s">
        <v>357</v>
      </c>
      <c r="C76" s="9">
        <v>230379</v>
      </c>
      <c r="D76">
        <v>1.0000000000000001E-5</v>
      </c>
      <c r="E76" s="9">
        <v>62950</v>
      </c>
      <c r="F76" s="9">
        <f t="shared" si="0"/>
        <v>62950.000010000003</v>
      </c>
      <c r="G76">
        <f t="shared" si="1"/>
        <v>0.27324539133341147</v>
      </c>
      <c r="H76">
        <f t="shared" si="2"/>
        <v>12.983158669557325</v>
      </c>
      <c r="I76">
        <f t="shared" si="3"/>
        <v>15.542243343854427</v>
      </c>
    </row>
    <row r="77" spans="2:12" x14ac:dyDescent="0.2">
      <c r="B77" t="s">
        <v>356</v>
      </c>
      <c r="C77" s="9">
        <v>210171</v>
      </c>
      <c r="D77">
        <v>1.0000000000000001E-5</v>
      </c>
      <c r="E77" s="9">
        <v>96467</v>
      </c>
      <c r="F77" s="9">
        <f t="shared" si="0"/>
        <v>96467.000010000003</v>
      </c>
      <c r="G77">
        <f t="shared" si="1"/>
        <v>0.45899291534036574</v>
      </c>
      <c r="H77">
        <f t="shared" si="2"/>
        <v>19.61117145971739</v>
      </c>
      <c r="I77">
        <f t="shared" si="3"/>
        <v>24.192341516344161</v>
      </c>
    </row>
    <row r="78" spans="2:12" x14ac:dyDescent="0.2">
      <c r="B78" t="s">
        <v>355</v>
      </c>
      <c r="C78" s="9">
        <v>318786</v>
      </c>
      <c r="D78" s="9">
        <v>2061</v>
      </c>
      <c r="E78" s="9">
        <v>237642</v>
      </c>
      <c r="F78" s="9">
        <f t="shared" si="0"/>
        <v>239703</v>
      </c>
      <c r="G78">
        <f t="shared" si="1"/>
        <v>0.75192448852835447</v>
      </c>
      <c r="H78">
        <f t="shared" si="2"/>
        <v>29.873460409231797</v>
      </c>
      <c r="I78">
        <f t="shared" si="3"/>
        <v>36.614845547515166</v>
      </c>
    </row>
    <row r="79" spans="2:12" x14ac:dyDescent="0.2">
      <c r="B79" t="s">
        <v>354</v>
      </c>
      <c r="C79" s="9">
        <v>264096</v>
      </c>
      <c r="D79">
        <v>1.0000000000000001E-5</v>
      </c>
      <c r="E79" s="9">
        <v>24452</v>
      </c>
      <c r="F79" s="9">
        <f t="shared" si="0"/>
        <v>24452.00001</v>
      </c>
      <c r="G79">
        <f t="shared" si="1"/>
        <v>9.2587543961286808E-2</v>
      </c>
      <c r="H79">
        <f t="shared" si="2"/>
        <v>6.446895387272404</v>
      </c>
      <c r="I79">
        <f t="shared" si="3"/>
        <v>6.367595258496249</v>
      </c>
    </row>
    <row r="80" spans="2:12" x14ac:dyDescent="0.2">
      <c r="B80" t="s">
        <v>353</v>
      </c>
      <c r="C80" s="9">
        <v>290763</v>
      </c>
      <c r="D80">
        <v>1.0000000000000001E-5</v>
      </c>
      <c r="E80" s="9">
        <v>102991</v>
      </c>
      <c r="F80" s="9">
        <f t="shared" si="0"/>
        <v>102991.00001</v>
      </c>
      <c r="G80">
        <f t="shared" si="1"/>
        <v>0.35420944208857386</v>
      </c>
      <c r="H80">
        <f t="shared" si="2"/>
        <v>15.883709334615908</v>
      </c>
      <c r="I80">
        <f t="shared" si="3"/>
        <v>19.398757807963968</v>
      </c>
    </row>
    <row r="81" spans="2:9" x14ac:dyDescent="0.2">
      <c r="B81" t="s">
        <v>352</v>
      </c>
      <c r="C81" s="9">
        <v>275434</v>
      </c>
      <c r="D81">
        <v>1.0000000000000001E-5</v>
      </c>
      <c r="E81" s="9">
        <v>89553</v>
      </c>
      <c r="F81" s="9">
        <f t="shared" si="0"/>
        <v>89553.000010000003</v>
      </c>
      <c r="G81">
        <f t="shared" si="1"/>
        <v>0.3251341519565486</v>
      </c>
      <c r="H81">
        <f t="shared" si="2"/>
        <v>14.844130385825412</v>
      </c>
      <c r="I81">
        <f t="shared" si="3"/>
        <v>18.030050315374549</v>
      </c>
    </row>
    <row r="82" spans="2:9" x14ac:dyDescent="0.2">
      <c r="B82" t="s">
        <v>351</v>
      </c>
      <c r="C82" s="9">
        <v>5846</v>
      </c>
      <c r="D82">
        <v>1.0000000000000001E-5</v>
      </c>
      <c r="E82" s="9">
        <v>111300</v>
      </c>
      <c r="F82" s="9">
        <f t="shared" si="0"/>
        <v>111300.00001</v>
      </c>
      <c r="G82">
        <f t="shared" si="1"/>
        <v>19.038658913787206</v>
      </c>
      <c r="H82">
        <f t="shared" si="2"/>
        <v>209.25359706041917</v>
      </c>
      <c r="I82">
        <f t="shared" si="3"/>
        <v>357.77726097104039</v>
      </c>
    </row>
    <row r="83" spans="2:9" x14ac:dyDescent="0.2">
      <c r="B83" t="s">
        <v>350</v>
      </c>
      <c r="C83" s="9">
        <v>229721</v>
      </c>
      <c r="D83">
        <v>1.0000000000000001E-5</v>
      </c>
      <c r="E83" s="9">
        <v>82346</v>
      </c>
      <c r="F83" s="9">
        <f t="shared" si="0"/>
        <v>82346.000010000003</v>
      </c>
      <c r="G83">
        <f t="shared" si="1"/>
        <v>0.35846091567597216</v>
      </c>
      <c r="H83">
        <f t="shared" si="2"/>
        <v>16.035527240223523</v>
      </c>
      <c r="I83">
        <f t="shared" si="3"/>
        <v>19.597428338684782</v>
      </c>
    </row>
    <row r="84" spans="2:9" x14ac:dyDescent="0.2">
      <c r="B84" t="s">
        <v>349</v>
      </c>
      <c r="C84" s="9">
        <v>145789</v>
      </c>
      <c r="D84">
        <v>1.0000000000000001E-5</v>
      </c>
      <c r="E84" s="9">
        <v>31218</v>
      </c>
      <c r="F84" s="9">
        <f t="shared" si="0"/>
        <v>31218.00001</v>
      </c>
      <c r="G84">
        <f t="shared" si="1"/>
        <v>0.21413138172290092</v>
      </c>
      <c r="H84">
        <f t="shared" si="2"/>
        <v>10.85414767469913</v>
      </c>
      <c r="I84">
        <f t="shared" si="3"/>
        <v>12.63273099855515</v>
      </c>
    </row>
    <row r="85" spans="2:9" x14ac:dyDescent="0.2">
      <c r="B85" t="s">
        <v>348</v>
      </c>
      <c r="C85" s="9">
        <v>211272</v>
      </c>
      <c r="D85">
        <v>1.0000000000000001E-5</v>
      </c>
      <c r="E85" s="9">
        <v>37275</v>
      </c>
      <c r="F85" s="9">
        <f t="shared" si="0"/>
        <v>37275.000010000003</v>
      </c>
      <c r="G85">
        <f t="shared" si="1"/>
        <v>0.17643133027566363</v>
      </c>
      <c r="H85">
        <f t="shared" si="2"/>
        <v>9.4914125083029788</v>
      </c>
      <c r="I85">
        <f t="shared" si="3"/>
        <v>10.732190766350302</v>
      </c>
    </row>
    <row r="86" spans="2:9" x14ac:dyDescent="0.2">
      <c r="B86" t="s">
        <v>347</v>
      </c>
      <c r="C86" s="9">
        <v>111722</v>
      </c>
      <c r="D86" s="9">
        <v>1170</v>
      </c>
      <c r="E86" s="9">
        <v>65570</v>
      </c>
      <c r="F86" s="9">
        <f t="shared" si="0"/>
        <v>66740</v>
      </c>
      <c r="G86">
        <f t="shared" si="1"/>
        <v>0.59737562879289663</v>
      </c>
      <c r="H86">
        <f t="shared" si="2"/>
        <v>24.488176002626606</v>
      </c>
      <c r="I86">
        <f t="shared" si="3"/>
        <v>30.224280791725231</v>
      </c>
    </row>
    <row r="87" spans="2:9" x14ac:dyDescent="0.2">
      <c r="B87" t="s">
        <v>346</v>
      </c>
      <c r="C87" s="9">
        <v>176905</v>
      </c>
      <c r="D87">
        <v>1.0000000000000001E-5</v>
      </c>
      <c r="E87" s="9">
        <v>36962</v>
      </c>
      <c r="F87" s="9">
        <f t="shared" si="0"/>
        <v>36962.000010000003</v>
      </c>
      <c r="G87">
        <f t="shared" si="1"/>
        <v>0.2089370001413188</v>
      </c>
      <c r="H87">
        <f t="shared" si="2"/>
        <v>10.666616774153065</v>
      </c>
      <c r="I87">
        <f t="shared" si="3"/>
        <v>12.37301938668514</v>
      </c>
    </row>
    <row r="88" spans="2:9" x14ac:dyDescent="0.2">
      <c r="B88" t="s">
        <v>345</v>
      </c>
      <c r="C88" s="9">
        <v>156400</v>
      </c>
      <c r="D88">
        <v>1.0000000000000001E-5</v>
      </c>
      <c r="E88" s="9">
        <v>53853</v>
      </c>
      <c r="F88" s="9">
        <f t="shared" si="0"/>
        <v>53853.000010000003</v>
      </c>
      <c r="G88">
        <f t="shared" si="1"/>
        <v>0.34432864456521739</v>
      </c>
      <c r="H88">
        <f t="shared" si="2"/>
        <v>15.530681632998958</v>
      </c>
      <c r="I88">
        <f t="shared" si="3"/>
        <v>18.93559764313898</v>
      </c>
    </row>
    <row r="89" spans="2:9" x14ac:dyDescent="0.2">
      <c r="B89" t="s">
        <v>344</v>
      </c>
      <c r="C89" s="9">
        <v>97802</v>
      </c>
      <c r="D89">
        <v>1.0000000000000001E-5</v>
      </c>
      <c r="E89" s="9">
        <v>40460</v>
      </c>
      <c r="F89" s="9">
        <f t="shared" si="0"/>
        <v>40460.000010000003</v>
      </c>
      <c r="G89">
        <f t="shared" si="1"/>
        <v>0.4136929716161224</v>
      </c>
      <c r="H89">
        <f t="shared" si="2"/>
        <v>18.003374910784132</v>
      </c>
      <c r="I89">
        <f t="shared" si="3"/>
        <v>22.14570085580748</v>
      </c>
    </row>
    <row r="90" spans="2:9" x14ac:dyDescent="0.2">
      <c r="B90" t="s">
        <v>343</v>
      </c>
      <c r="C90" s="9">
        <v>242630</v>
      </c>
      <c r="D90">
        <v>1.0000000000000001E-5</v>
      </c>
      <c r="E90" s="9">
        <v>84344</v>
      </c>
      <c r="F90" s="9">
        <f t="shared" si="0"/>
        <v>84344.000010000003</v>
      </c>
      <c r="G90">
        <f t="shared" si="1"/>
        <v>0.34762395421011416</v>
      </c>
      <c r="H90">
        <f t="shared" si="2"/>
        <v>15.648448107941535</v>
      </c>
      <c r="I90">
        <f t="shared" si="3"/>
        <v>19.090288216615409</v>
      </c>
    </row>
    <row r="91" spans="2:9" x14ac:dyDescent="0.2">
      <c r="B91" t="s">
        <v>342</v>
      </c>
      <c r="C91" s="9">
        <v>163650</v>
      </c>
      <c r="D91">
        <v>1.0000000000000001E-5</v>
      </c>
      <c r="E91" s="9">
        <v>56069</v>
      </c>
      <c r="F91" s="9">
        <f t="shared" si="0"/>
        <v>56069.000010000003</v>
      </c>
      <c r="G91">
        <f t="shared" si="1"/>
        <v>0.3426153376718607</v>
      </c>
      <c r="H91">
        <f t="shared" si="2"/>
        <v>15.469440497771009</v>
      </c>
      <c r="I91">
        <f t="shared" si="3"/>
        <v>18.855081574500261</v>
      </c>
    </row>
    <row r="92" spans="2:9" x14ac:dyDescent="0.2">
      <c r="B92" t="s">
        <v>307</v>
      </c>
      <c r="C92" s="9">
        <v>158201</v>
      </c>
      <c r="D92">
        <v>1.0000000000000001E-5</v>
      </c>
      <c r="E92" s="9">
        <v>52470</v>
      </c>
      <c r="F92" s="9">
        <f t="shared" si="0"/>
        <v>52470.000010000003</v>
      </c>
      <c r="G92">
        <f t="shared" si="1"/>
        <v>0.33166667726499832</v>
      </c>
      <c r="H92">
        <f t="shared" si="2"/>
        <v>15.077898941392995</v>
      </c>
      <c r="I92">
        <f t="shared" si="3"/>
        <v>18.339107954715786</v>
      </c>
    </row>
    <row r="93" spans="2:9" x14ac:dyDescent="0.2">
      <c r="B93" t="s">
        <v>341</v>
      </c>
      <c r="C93" s="9">
        <v>90242</v>
      </c>
      <c r="D93">
        <v>1.0000000000000001E-5</v>
      </c>
      <c r="E93" s="9">
        <v>30887</v>
      </c>
      <c r="F93" s="9">
        <f t="shared" si="0"/>
        <v>30887.00001</v>
      </c>
      <c r="G93">
        <f t="shared" si="1"/>
        <v>0.34226856685357149</v>
      </c>
      <c r="H93">
        <f t="shared" si="2"/>
        <v>15.457044411416739</v>
      </c>
      <c r="I93">
        <f t="shared" si="3"/>
        <v>18.838777821337196</v>
      </c>
    </row>
    <row r="94" spans="2:9" x14ac:dyDescent="0.2">
      <c r="B94" t="s">
        <v>340</v>
      </c>
      <c r="C94" s="9">
        <v>116111</v>
      </c>
      <c r="D94">
        <v>1.0000000000000001E-5</v>
      </c>
      <c r="E94" s="9">
        <v>60763</v>
      </c>
      <c r="F94" s="9">
        <f t="shared" si="0"/>
        <v>60763.000010000003</v>
      </c>
      <c r="G94">
        <f t="shared" si="1"/>
        <v>0.52331820421837727</v>
      </c>
      <c r="H94">
        <f t="shared" si="2"/>
        <v>21.88464680248207</v>
      </c>
      <c r="I94">
        <f t="shared" si="3"/>
        <v>27.035723868947414</v>
      </c>
    </row>
    <row r="95" spans="2:9" x14ac:dyDescent="0.2">
      <c r="B95" t="s">
        <v>339</v>
      </c>
      <c r="C95" s="9">
        <v>213573</v>
      </c>
      <c r="D95">
        <v>1.0000000000000001E-5</v>
      </c>
      <c r="E95" s="9">
        <v>60506</v>
      </c>
      <c r="F95" s="9">
        <f t="shared" si="0"/>
        <v>60506.000010000003</v>
      </c>
      <c r="G95">
        <f t="shared" si="1"/>
        <v>0.28330360115744968</v>
      </c>
      <c r="H95">
        <f t="shared" si="2"/>
        <v>13.344463940501671</v>
      </c>
      <c r="I95">
        <f t="shared" si="3"/>
        <v>16.02915536975318</v>
      </c>
    </row>
    <row r="96" spans="2:9" x14ac:dyDescent="0.2">
      <c r="B96" t="s">
        <v>338</v>
      </c>
      <c r="C96" s="9">
        <v>200475</v>
      </c>
      <c r="D96">
        <v>1.0000000000000001E-5</v>
      </c>
      <c r="E96" s="9">
        <v>11771</v>
      </c>
      <c r="F96" s="9">
        <f t="shared" si="0"/>
        <v>11771.00001</v>
      </c>
      <c r="G96">
        <f t="shared" si="1"/>
        <v>5.8715550617283951E-2</v>
      </c>
      <c r="H96">
        <f t="shared" si="2"/>
        <v>5.2115299024256103</v>
      </c>
      <c r="I96">
        <f t="shared" si="3"/>
        <v>4.5456707627949262</v>
      </c>
    </row>
    <row r="97" spans="2:9" x14ac:dyDescent="0.2">
      <c r="B97" t="s">
        <v>337</v>
      </c>
      <c r="C97" s="9">
        <v>246465</v>
      </c>
      <c r="D97">
        <v>1.0000000000000001E-5</v>
      </c>
      <c r="E97" s="9">
        <v>30884</v>
      </c>
      <c r="F97" s="9">
        <f t="shared" si="0"/>
        <v>30884.00001</v>
      </c>
      <c r="G97">
        <f t="shared" si="1"/>
        <v>0.12530785308258779</v>
      </c>
      <c r="H97">
        <f t="shared" si="2"/>
        <v>7.6372990135093115</v>
      </c>
      <c r="I97">
        <f t="shared" si="3"/>
        <v>8.0946051345256489</v>
      </c>
    </row>
    <row r="98" spans="2:9" x14ac:dyDescent="0.2">
      <c r="B98" t="s">
        <v>336</v>
      </c>
      <c r="C98" s="9">
        <v>233739</v>
      </c>
      <c r="D98">
        <v>1.0000000000000001E-5</v>
      </c>
      <c r="E98" s="9">
        <v>19697</v>
      </c>
      <c r="F98" s="9">
        <f t="shared" si="0"/>
        <v>19697.00001</v>
      </c>
      <c r="G98">
        <f t="shared" si="1"/>
        <v>8.4269206294199941E-2</v>
      </c>
      <c r="H98">
        <f t="shared" si="2"/>
        <v>6.1438009555542239</v>
      </c>
      <c r="I98">
        <f t="shared" si="3"/>
        <v>5.9234556358412487</v>
      </c>
    </row>
    <row r="99" spans="2:9" x14ac:dyDescent="0.2">
      <c r="B99" t="s">
        <v>335</v>
      </c>
      <c r="C99" s="9">
        <v>251895</v>
      </c>
      <c r="D99">
        <v>1.0000000000000001E-5</v>
      </c>
      <c r="E99" s="9">
        <v>39997</v>
      </c>
      <c r="F99" s="9">
        <f t="shared" si="0"/>
        <v>39997.000010000003</v>
      </c>
      <c r="G99">
        <f t="shared" si="1"/>
        <v>0.15878441418051173</v>
      </c>
      <c r="H99">
        <f t="shared" si="2"/>
        <v>8.8522074822212353</v>
      </c>
      <c r="I99">
        <f t="shared" si="3"/>
        <v>9.8298214413502194</v>
      </c>
    </row>
    <row r="100" spans="2:9" x14ac:dyDescent="0.2">
      <c r="B100" t="s">
        <v>334</v>
      </c>
      <c r="C100" s="9">
        <v>167439</v>
      </c>
      <c r="D100">
        <v>1.0000000000000001E-5</v>
      </c>
      <c r="E100" s="9">
        <v>38483</v>
      </c>
      <c r="F100" s="9">
        <f t="shared" si="0"/>
        <v>38483.000010000003</v>
      </c>
      <c r="G100">
        <f t="shared" si="1"/>
        <v>0.22983295415046676</v>
      </c>
      <c r="H100">
        <f t="shared" si="2"/>
        <v>11.420570500958618</v>
      </c>
      <c r="I100">
        <f t="shared" si="3"/>
        <v>13.413723256575308</v>
      </c>
    </row>
    <row r="101" spans="2:9" x14ac:dyDescent="0.2">
      <c r="B101" t="s">
        <v>333</v>
      </c>
      <c r="C101" s="9">
        <v>311484</v>
      </c>
      <c r="D101">
        <v>1.0000000000000001E-5</v>
      </c>
      <c r="E101" s="9">
        <v>12758</v>
      </c>
      <c r="F101" s="9">
        <f t="shared" si="0"/>
        <v>12758.00001</v>
      </c>
      <c r="G101">
        <f t="shared" si="1"/>
        <v>4.0958765169318484E-2</v>
      </c>
      <c r="H101">
        <f t="shared" si="2"/>
        <v>4.5626670926000541</v>
      </c>
      <c r="I101">
        <f t="shared" si="3"/>
        <v>3.575999317565453</v>
      </c>
    </row>
    <row r="102" spans="2:9" x14ac:dyDescent="0.2">
      <c r="B102" t="s">
        <v>332</v>
      </c>
      <c r="C102" s="9">
        <v>236075</v>
      </c>
      <c r="D102">
        <v>1.0000000000000001E-5</v>
      </c>
      <c r="E102" s="9">
        <v>5570</v>
      </c>
      <c r="F102" s="9">
        <f t="shared" si="0"/>
        <v>5570.0000099999997</v>
      </c>
      <c r="G102">
        <f t="shared" si="1"/>
        <v>2.3594196801863813E-2</v>
      </c>
      <c r="H102">
        <f t="shared" si="2"/>
        <v>3.9273085990217473</v>
      </c>
      <c r="I102">
        <f t="shared" si="3"/>
        <v>2.6176562501413305</v>
      </c>
    </row>
    <row r="103" spans="2:9" x14ac:dyDescent="0.2">
      <c r="B103" t="s">
        <v>331</v>
      </c>
      <c r="C103" s="9">
        <v>257009</v>
      </c>
      <c r="D103">
        <v>1.0000000000000001E-5</v>
      </c>
      <c r="E103" s="9">
        <v>10373</v>
      </c>
      <c r="F103" s="9">
        <f t="shared" si="0"/>
        <v>10373.00001</v>
      </c>
      <c r="G103">
        <f t="shared" si="1"/>
        <v>4.0360454342065838E-2</v>
      </c>
      <c r="H103">
        <f t="shared" si="2"/>
        <v>4.540788899289419</v>
      </c>
      <c r="I103">
        <f t="shared" si="3"/>
        <v>3.5431466032488297</v>
      </c>
    </row>
    <row r="104" spans="2:9" x14ac:dyDescent="0.2">
      <c r="B104" t="s">
        <v>330</v>
      </c>
      <c r="C104" s="9">
        <v>162751</v>
      </c>
      <c r="D104">
        <v>1.0000000000000001E-5</v>
      </c>
      <c r="E104" s="9">
        <v>30208</v>
      </c>
      <c r="F104" s="9">
        <f t="shared" si="0"/>
        <v>30208.00001</v>
      </c>
      <c r="G104">
        <f t="shared" si="1"/>
        <v>0.18560869063784555</v>
      </c>
      <c r="H104">
        <f t="shared" si="2"/>
        <v>9.8234998309159565</v>
      </c>
      <c r="I104">
        <f t="shared" si="3"/>
        <v>11.198211262304323</v>
      </c>
    </row>
    <row r="105" spans="2:9" x14ac:dyDescent="0.2">
      <c r="B105" t="s">
        <v>329</v>
      </c>
      <c r="C105" s="9">
        <v>157270</v>
      </c>
      <c r="D105">
        <v>1.0000000000000001E-5</v>
      </c>
      <c r="E105" s="9">
        <v>55873</v>
      </c>
      <c r="F105" s="9">
        <f t="shared" si="0"/>
        <v>55873.000010000003</v>
      </c>
      <c r="G105">
        <f t="shared" si="1"/>
        <v>0.35526801049151141</v>
      </c>
      <c r="H105">
        <f t="shared" si="2"/>
        <v>15.921514849040541</v>
      </c>
      <c r="I105">
        <f t="shared" si="3"/>
        <v>19.448259008340624</v>
      </c>
    </row>
    <row r="106" spans="2:9" x14ac:dyDescent="0.2">
      <c r="B106" t="s">
        <v>328</v>
      </c>
      <c r="C106" s="9">
        <v>172854</v>
      </c>
      <c r="D106">
        <v>1.0000000000000001E-5</v>
      </c>
      <c r="E106" s="9">
        <v>21815</v>
      </c>
      <c r="F106" s="9">
        <f t="shared" si="0"/>
        <v>21815.00001</v>
      </c>
      <c r="G106">
        <f t="shared" si="1"/>
        <v>0.12620477402894928</v>
      </c>
      <c r="H106">
        <f t="shared" si="2"/>
        <v>7.6698891262244739</v>
      </c>
      <c r="I106">
        <f t="shared" si="3"/>
        <v>8.1415063677349799</v>
      </c>
    </row>
    <row r="107" spans="2:9" x14ac:dyDescent="0.2">
      <c r="B107" t="s">
        <v>327</v>
      </c>
      <c r="C107" s="9">
        <v>119939</v>
      </c>
      <c r="D107">
        <v>1.0000000000000001E-5</v>
      </c>
      <c r="E107" s="9">
        <v>68114</v>
      </c>
      <c r="F107" s="9">
        <f t="shared" si="0"/>
        <v>68114.000010000003</v>
      </c>
      <c r="G107">
        <f t="shared" si="1"/>
        <v>0.56790535197058511</v>
      </c>
      <c r="H107">
        <f t="shared" si="2"/>
        <v>23.453916209034571</v>
      </c>
      <c r="I107">
        <f t="shared" si="3"/>
        <v>28.965889940814215</v>
      </c>
    </row>
    <row r="108" spans="2:9" x14ac:dyDescent="0.2">
      <c r="B108" t="s">
        <v>326</v>
      </c>
      <c r="C108" s="9">
        <v>31690</v>
      </c>
      <c r="D108">
        <v>1.0000000000000001E-5</v>
      </c>
      <c r="E108" s="9">
        <v>45836</v>
      </c>
      <c r="F108" s="9">
        <f t="shared" si="0"/>
        <v>45836.000010000003</v>
      </c>
      <c r="G108">
        <f t="shared" si="1"/>
        <v>1.4463868731461029</v>
      </c>
      <c r="H108">
        <f t="shared" si="2"/>
        <v>53.271684648287227</v>
      </c>
      <c r="I108">
        <f t="shared" si="3"/>
        <v>61.996216445303482</v>
      </c>
    </row>
    <row r="109" spans="2:9" x14ac:dyDescent="0.2">
      <c r="B109" t="s">
        <v>325</v>
      </c>
      <c r="C109" s="9">
        <v>155663</v>
      </c>
      <c r="D109">
        <v>1.0000000000000001E-5</v>
      </c>
      <c r="E109" s="9">
        <v>121004</v>
      </c>
      <c r="F109" s="9">
        <f t="shared" si="0"/>
        <v>121004.00001</v>
      </c>
      <c r="G109">
        <f t="shared" si="1"/>
        <v>0.77734593326609414</v>
      </c>
      <c r="H109">
        <f t="shared" si="2"/>
        <v>30.753064322527596</v>
      </c>
      <c r="I109">
        <f t="shared" si="3"/>
        <v>37.634764684562946</v>
      </c>
    </row>
    <row r="110" spans="2:9" x14ac:dyDescent="0.2">
      <c r="B110" t="s">
        <v>324</v>
      </c>
      <c r="C110" s="9">
        <v>179566</v>
      </c>
      <c r="D110" s="9">
        <v>1594</v>
      </c>
      <c r="E110" s="9">
        <v>169307</v>
      </c>
      <c r="F110" s="9">
        <f t="shared" si="0"/>
        <v>170901</v>
      </c>
      <c r="G110">
        <f t="shared" si="1"/>
        <v>0.95174476237149574</v>
      </c>
      <c r="H110">
        <f t="shared" si="2"/>
        <v>36.740104006847687</v>
      </c>
      <c r="I110">
        <f t="shared" si="3"/>
        <v>44.419284502740361</v>
      </c>
    </row>
    <row r="111" spans="2:9" x14ac:dyDescent="0.2">
      <c r="B111" t="s">
        <v>323</v>
      </c>
      <c r="C111" s="9">
        <v>143112</v>
      </c>
      <c r="D111" s="9">
        <v>1371</v>
      </c>
      <c r="E111" s="9">
        <v>153771</v>
      </c>
      <c r="F111" s="9">
        <f t="shared" si="0"/>
        <v>155142</v>
      </c>
      <c r="G111">
        <f t="shared" si="1"/>
        <v>1.0840600368941808</v>
      </c>
      <c r="H111">
        <f t="shared" si="2"/>
        <v>41.227337237476711</v>
      </c>
      <c r="I111">
        <f t="shared" si="3"/>
        <v>49.342428979252652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07C5-4CA6-482D-9DE3-C564FAFF88F7}">
  <dimension ref="A1:T77"/>
  <sheetViews>
    <sheetView tabSelected="1" workbookViewId="0">
      <selection activeCell="D2" sqref="D2:Q25"/>
    </sheetView>
  </sheetViews>
  <sheetFormatPr baseColWidth="10" defaultColWidth="8.83203125" defaultRowHeight="15" x14ac:dyDescent="0.2"/>
  <cols>
    <col min="1" max="1" width="10.5" customWidth="1"/>
    <col min="2" max="2" width="18.6640625" customWidth="1"/>
    <col min="3" max="3" width="12.5" customWidth="1"/>
    <col min="4" max="4" width="9.33203125" customWidth="1"/>
    <col min="5" max="5" width="17.33203125" customWidth="1"/>
    <col min="6" max="6" width="9.83203125" customWidth="1"/>
    <col min="7" max="7" width="11.6640625" customWidth="1"/>
    <col min="8" max="8" width="9.6640625" customWidth="1"/>
    <col min="9" max="9" width="14.33203125" customWidth="1"/>
    <col min="10" max="10" width="10.6640625" customWidth="1"/>
    <col min="11" max="11" width="19.33203125" customWidth="1"/>
    <col min="12" max="12" width="10.1640625" customWidth="1"/>
    <col min="13" max="13" width="21.1640625" customWidth="1"/>
    <col min="14" max="14" width="18.6640625" customWidth="1"/>
    <col min="15" max="15" width="13.1640625" bestFit="1" customWidth="1"/>
    <col min="16" max="16" width="13.6640625" customWidth="1"/>
    <col min="18" max="18" width="12" bestFit="1" customWidth="1"/>
  </cols>
  <sheetData>
    <row r="1" spans="1:17" ht="64" x14ac:dyDescent="0.2">
      <c r="A1" s="7" t="s">
        <v>367</v>
      </c>
      <c r="B1" s="15" t="s">
        <v>5</v>
      </c>
      <c r="C1" s="15" t="s">
        <v>41</v>
      </c>
      <c r="D1" s="7" t="s">
        <v>117</v>
      </c>
      <c r="E1" s="7" t="s">
        <v>118</v>
      </c>
      <c r="F1" s="7" t="s">
        <v>122</v>
      </c>
      <c r="G1" s="15" t="s">
        <v>123</v>
      </c>
      <c r="H1" s="7" t="s">
        <v>124</v>
      </c>
      <c r="I1" t="s">
        <v>15</v>
      </c>
      <c r="J1" s="7" t="s">
        <v>129</v>
      </c>
      <c r="K1" s="7" t="s">
        <v>130</v>
      </c>
      <c r="L1" s="7" t="s">
        <v>20</v>
      </c>
      <c r="M1" s="7" t="s">
        <v>220</v>
      </c>
      <c r="N1" s="7" t="s">
        <v>22</v>
      </c>
      <c r="O1" s="7" t="s">
        <v>132</v>
      </c>
      <c r="P1" s="15" t="s">
        <v>134</v>
      </c>
      <c r="Q1" s="7" t="s">
        <v>135</v>
      </c>
    </row>
    <row r="2" spans="1:17" x14ac:dyDescent="0.2">
      <c r="A2" t="s">
        <v>382</v>
      </c>
      <c r="D2">
        <v>4.7091700000000003</v>
      </c>
      <c r="E2">
        <v>0.80815000000000003</v>
      </c>
      <c r="F2">
        <v>10.26341</v>
      </c>
      <c r="H2">
        <v>19.755130000000001</v>
      </c>
      <c r="I2">
        <v>7.2721200000000001</v>
      </c>
      <c r="J2">
        <v>1.0000000000000001E-5</v>
      </c>
      <c r="K2">
        <v>2.9527100000000002</v>
      </c>
      <c r="L2">
        <v>10.630699999999999</v>
      </c>
      <c r="M2">
        <v>24.791134305556412</v>
      </c>
      <c r="N2">
        <v>9.9999999999999995E-7</v>
      </c>
      <c r="O2">
        <v>1.5180199999999999</v>
      </c>
      <c r="Q2">
        <v>1.0000000000000001E-5</v>
      </c>
    </row>
    <row r="3" spans="1:17" x14ac:dyDescent="0.2">
      <c r="A3" t="s">
        <v>296</v>
      </c>
      <c r="D3">
        <v>6.3195399999999999</v>
      </c>
      <c r="E3">
        <v>0.81066000000000005</v>
      </c>
      <c r="F3">
        <v>10.620990000000001</v>
      </c>
      <c r="H3">
        <v>18.43113</v>
      </c>
      <c r="I3">
        <v>7.4134599999999997</v>
      </c>
      <c r="J3">
        <v>0.90039000000000002</v>
      </c>
      <c r="K3">
        <v>0.97553000000000001</v>
      </c>
      <c r="L3">
        <v>12.121270000000001</v>
      </c>
      <c r="M3">
        <v>18.368969565558096</v>
      </c>
      <c r="N3">
        <v>0.24734999999999999</v>
      </c>
      <c r="O3">
        <v>1.49153</v>
      </c>
      <c r="Q3">
        <v>1.0000000000000001E-5</v>
      </c>
    </row>
    <row r="4" spans="1:17" x14ac:dyDescent="0.2">
      <c r="A4" t="s">
        <v>389</v>
      </c>
      <c r="D4">
        <v>4.1800699999999997</v>
      </c>
      <c r="E4">
        <v>1.0000000000000001E-5</v>
      </c>
      <c r="F4">
        <v>11.461639999999999</v>
      </c>
      <c r="H4">
        <v>10.025169999999999</v>
      </c>
      <c r="I4">
        <v>9.7175100000000008</v>
      </c>
      <c r="J4">
        <v>1.0000000000000001E-5</v>
      </c>
      <c r="K4">
        <v>1.4169099999999999</v>
      </c>
      <c r="L4">
        <v>1.0000000000000001E-5</v>
      </c>
      <c r="M4">
        <v>38.903337187299599</v>
      </c>
      <c r="N4">
        <v>2.9206099999999999</v>
      </c>
      <c r="O4">
        <v>3.1803699999999999</v>
      </c>
      <c r="Q4">
        <v>1.0000000000000001E-5</v>
      </c>
    </row>
    <row r="5" spans="1:17" x14ac:dyDescent="0.2">
      <c r="A5" t="s">
        <v>373</v>
      </c>
      <c r="D5">
        <v>17.180330000000001</v>
      </c>
      <c r="E5">
        <v>0.80591999999999997</v>
      </c>
      <c r="F5">
        <v>20.37039</v>
      </c>
      <c r="H5">
        <v>14.655749999999999</v>
      </c>
      <c r="I5">
        <v>8.1081400000000006</v>
      </c>
      <c r="J5">
        <v>1.0000000000000001E-5</v>
      </c>
      <c r="K5">
        <v>2.0061100000000001</v>
      </c>
      <c r="L5">
        <v>1.0000000000000001E-5</v>
      </c>
      <c r="M5">
        <v>62.216833032342315</v>
      </c>
      <c r="N5">
        <v>0.6663</v>
      </c>
      <c r="O5">
        <v>3.27739</v>
      </c>
      <c r="Q5">
        <v>1.0000000000000001E-5</v>
      </c>
    </row>
    <row r="6" spans="1:17" x14ac:dyDescent="0.2">
      <c r="A6" t="s">
        <v>383</v>
      </c>
      <c r="D6">
        <v>4.4394</v>
      </c>
      <c r="E6">
        <v>0.81930000000000003</v>
      </c>
      <c r="F6">
        <v>12.71725</v>
      </c>
      <c r="H6">
        <v>9.1293500000000005</v>
      </c>
      <c r="I6">
        <v>10.13083</v>
      </c>
      <c r="J6">
        <v>1.0000000000000001E-5</v>
      </c>
      <c r="K6">
        <v>2.9561099999999998</v>
      </c>
      <c r="L6">
        <v>1099.53476</v>
      </c>
      <c r="M6">
        <v>34.560567044172714</v>
      </c>
      <c r="N6">
        <v>6.0340100000000003</v>
      </c>
      <c r="O6">
        <v>3.4226000000000001</v>
      </c>
      <c r="Q6">
        <v>1.0000000000000001E-5</v>
      </c>
    </row>
    <row r="7" spans="1:17" x14ac:dyDescent="0.2">
      <c r="A7" t="s">
        <v>384</v>
      </c>
      <c r="D7">
        <v>4.3592599999999999</v>
      </c>
      <c r="E7">
        <v>0.81394999999999995</v>
      </c>
      <c r="F7">
        <v>8.04617</v>
      </c>
      <c r="H7">
        <v>7.8816199999999998</v>
      </c>
      <c r="I7">
        <v>8.3235299999999999</v>
      </c>
      <c r="J7">
        <v>1.0000000000000001E-5</v>
      </c>
      <c r="K7">
        <v>3.1998700000000002</v>
      </c>
      <c r="L7">
        <v>205.74822</v>
      </c>
      <c r="M7">
        <v>26.93098493378605</v>
      </c>
      <c r="N7">
        <v>2.81168</v>
      </c>
      <c r="O7">
        <v>1.69421</v>
      </c>
      <c r="Q7">
        <v>1.0000000000000001E-5</v>
      </c>
    </row>
    <row r="8" spans="1:17" x14ac:dyDescent="0.2">
      <c r="A8" t="s">
        <v>370</v>
      </c>
      <c r="D8">
        <v>6.5611800000000002</v>
      </c>
      <c r="E8">
        <v>0.80739000000000005</v>
      </c>
      <c r="F8">
        <v>9.7419200000000004</v>
      </c>
      <c r="H8">
        <v>8.2953200000000002</v>
      </c>
      <c r="I8">
        <v>7.9282599999999999</v>
      </c>
      <c r="J8">
        <v>3.0404499999999999</v>
      </c>
      <c r="K8">
        <v>2.2427800000000002</v>
      </c>
      <c r="L8">
        <v>13.45063</v>
      </c>
      <c r="M8">
        <v>29.411981193777809</v>
      </c>
      <c r="N8">
        <v>0.45412999999999998</v>
      </c>
      <c r="O8">
        <v>1.86368</v>
      </c>
      <c r="Q8">
        <v>1.0000000000000001E-5</v>
      </c>
    </row>
    <row r="9" spans="1:17" x14ac:dyDescent="0.2">
      <c r="A9" t="s">
        <v>374</v>
      </c>
      <c r="D9">
        <v>6.2532699999999997</v>
      </c>
      <c r="E9">
        <v>0.81435000000000002</v>
      </c>
      <c r="F9">
        <v>10.920489999999999</v>
      </c>
      <c r="H9">
        <v>16.56945</v>
      </c>
      <c r="I9">
        <v>10.988619999999999</v>
      </c>
      <c r="J9">
        <v>1.0000000000000001E-5</v>
      </c>
      <c r="K9">
        <v>5.1663100000000002</v>
      </c>
      <c r="L9">
        <v>28.41018</v>
      </c>
      <c r="M9">
        <v>31.077141233922678</v>
      </c>
      <c r="N9">
        <v>3.4127900000000002</v>
      </c>
      <c r="O9">
        <v>2.1714899999999999</v>
      </c>
      <c r="Q9">
        <v>1.0000000000000001E-5</v>
      </c>
    </row>
    <row r="10" spans="1:17" x14ac:dyDescent="0.2">
      <c r="A10" t="s">
        <v>371</v>
      </c>
      <c r="D10">
        <v>7.2739399999999996</v>
      </c>
      <c r="E10">
        <v>0.80611999999999995</v>
      </c>
      <c r="F10">
        <v>9.7661200000000008</v>
      </c>
      <c r="H10">
        <v>7.47201</v>
      </c>
      <c r="I10">
        <v>7.6245000000000003</v>
      </c>
      <c r="J10">
        <v>1.6466700000000001</v>
      </c>
      <c r="K10">
        <v>1.01003</v>
      </c>
      <c r="L10">
        <v>8.9501299999999997</v>
      </c>
      <c r="M10">
        <v>11.171428134102104</v>
      </c>
      <c r="N10">
        <v>2.1720199999999998</v>
      </c>
      <c r="O10">
        <v>0.83587</v>
      </c>
      <c r="Q10">
        <v>1.0000000000000001E-5</v>
      </c>
    </row>
    <row r="11" spans="1:17" x14ac:dyDescent="0.2">
      <c r="A11" t="s">
        <v>390</v>
      </c>
      <c r="D11">
        <v>6.8440200000000004</v>
      </c>
      <c r="E11">
        <v>1.0000000000000001E-5</v>
      </c>
      <c r="F11">
        <v>15.984830000000001</v>
      </c>
      <c r="H11">
        <v>10.28701</v>
      </c>
      <c r="I11">
        <v>11.51116</v>
      </c>
      <c r="J11">
        <v>1.0000000000000001E-5</v>
      </c>
      <c r="K11">
        <v>2.0992500000000001</v>
      </c>
      <c r="L11">
        <v>74.7209</v>
      </c>
      <c r="M11">
        <v>51.006039410936509</v>
      </c>
      <c r="N11">
        <v>11.14724</v>
      </c>
      <c r="O11">
        <v>2.7031700000000001</v>
      </c>
      <c r="Q11">
        <v>1.0000000000000001E-5</v>
      </c>
    </row>
    <row r="12" spans="1:17" x14ac:dyDescent="0.2">
      <c r="A12" t="s">
        <v>385</v>
      </c>
      <c r="D12">
        <v>5.4197899999999999</v>
      </c>
      <c r="E12">
        <v>1.0000000000000001E-5</v>
      </c>
      <c r="F12">
        <v>11.45106</v>
      </c>
      <c r="H12">
        <v>10.692769999999999</v>
      </c>
      <c r="I12">
        <v>14.967879999999999</v>
      </c>
      <c r="J12">
        <v>1.0000000000000001E-5</v>
      </c>
      <c r="K12">
        <v>1.0000000000000001E-5</v>
      </c>
      <c r="L12">
        <v>1.0000000000000001E-5</v>
      </c>
      <c r="M12">
        <v>39.937466003871229</v>
      </c>
      <c r="N12">
        <v>7.2850400000000004</v>
      </c>
      <c r="O12">
        <v>3.40245</v>
      </c>
      <c r="Q12">
        <v>1.0000000000000001E-5</v>
      </c>
    </row>
    <row r="13" spans="1:17" x14ac:dyDescent="0.2">
      <c r="A13" t="s">
        <v>375</v>
      </c>
      <c r="D13">
        <v>8.6075700000000008</v>
      </c>
      <c r="E13">
        <v>0.81130999999999998</v>
      </c>
      <c r="F13">
        <v>11.497960000000001</v>
      </c>
      <c r="H13">
        <v>16.276029999999999</v>
      </c>
      <c r="I13">
        <v>11.947649999999999</v>
      </c>
      <c r="J13">
        <v>1.0000000000000001E-5</v>
      </c>
      <c r="K13">
        <v>1.4782200000000001</v>
      </c>
      <c r="L13">
        <v>18.64406</v>
      </c>
      <c r="M13">
        <v>21.030704768734022</v>
      </c>
      <c r="N13">
        <v>7.9037600000000001</v>
      </c>
      <c r="O13">
        <v>1.6543399999999999</v>
      </c>
      <c r="Q13">
        <v>1.0000000000000001E-5</v>
      </c>
    </row>
    <row r="14" spans="1:17" x14ac:dyDescent="0.2">
      <c r="A14" t="s">
        <v>372</v>
      </c>
      <c r="D14">
        <v>7.8098099999999997</v>
      </c>
      <c r="E14">
        <v>0.82416</v>
      </c>
      <c r="F14">
        <v>15.56423</v>
      </c>
      <c r="H14">
        <v>9.5190999999999999</v>
      </c>
      <c r="I14">
        <v>10.43892</v>
      </c>
      <c r="J14">
        <v>1.0000000000000001E-5</v>
      </c>
      <c r="K14">
        <v>2.0429400000000002</v>
      </c>
      <c r="L14">
        <v>13.26003</v>
      </c>
      <c r="M14">
        <v>24.979427760707818</v>
      </c>
      <c r="N14">
        <v>1.26054</v>
      </c>
      <c r="O14">
        <v>1.7316199999999999</v>
      </c>
      <c r="Q14">
        <v>1.42388</v>
      </c>
    </row>
    <row r="15" spans="1:17" x14ac:dyDescent="0.2">
      <c r="A15" t="s">
        <v>376</v>
      </c>
      <c r="D15">
        <v>7.2910199999999996</v>
      </c>
      <c r="E15">
        <v>0.81981999999999999</v>
      </c>
      <c r="F15">
        <v>13.37814</v>
      </c>
      <c r="H15">
        <v>7.9051200000000001</v>
      </c>
      <c r="I15">
        <v>8.5857200000000002</v>
      </c>
      <c r="J15">
        <v>1.0000000000000001E-5</v>
      </c>
      <c r="K15">
        <v>1.56043</v>
      </c>
      <c r="L15">
        <v>10.58821</v>
      </c>
      <c r="M15">
        <v>41.567967991934879</v>
      </c>
      <c r="N15">
        <v>7.9880000000000007E-2</v>
      </c>
      <c r="O15">
        <v>2.3495599999999999</v>
      </c>
      <c r="Q15">
        <v>1.0000000000000001E-5</v>
      </c>
    </row>
    <row r="16" spans="1:17" x14ac:dyDescent="0.2">
      <c r="A16" t="s">
        <v>386</v>
      </c>
      <c r="D16">
        <v>6.7604800000000003</v>
      </c>
      <c r="E16">
        <v>0.81688000000000005</v>
      </c>
      <c r="F16">
        <v>12.76313</v>
      </c>
      <c r="H16">
        <v>7.6074700000000002</v>
      </c>
      <c r="I16">
        <v>9.2227599999999992</v>
      </c>
      <c r="J16">
        <v>2.7198000000000002</v>
      </c>
      <c r="K16">
        <v>0.58499999999999996</v>
      </c>
      <c r="L16">
        <v>14.86214</v>
      </c>
      <c r="M16">
        <v>36.407522371521317</v>
      </c>
      <c r="N16">
        <v>1.3765000000000001</v>
      </c>
      <c r="O16">
        <v>1.6947300000000001</v>
      </c>
      <c r="Q16">
        <v>0.74233000000000005</v>
      </c>
    </row>
    <row r="17" spans="1:17" x14ac:dyDescent="0.2">
      <c r="A17" t="s">
        <v>391</v>
      </c>
      <c r="D17">
        <v>3.56758</v>
      </c>
      <c r="E17">
        <v>1.0000000000000001E-5</v>
      </c>
      <c r="F17">
        <v>13.260009999999999</v>
      </c>
      <c r="H17">
        <v>20.40663</v>
      </c>
      <c r="I17">
        <v>12.574730000000001</v>
      </c>
      <c r="J17">
        <v>1.0000000000000001E-5</v>
      </c>
      <c r="K17">
        <v>3.6369799999999999</v>
      </c>
      <c r="L17">
        <v>1.0000000000000001E-5</v>
      </c>
      <c r="M17">
        <v>63.674014568225743</v>
      </c>
      <c r="N17">
        <v>2.3561399999999999</v>
      </c>
      <c r="O17">
        <v>4.4945199999999996</v>
      </c>
      <c r="Q17">
        <v>2.3202500000000001</v>
      </c>
    </row>
    <row r="18" spans="1:17" x14ac:dyDescent="0.2">
      <c r="A18" t="s">
        <v>387</v>
      </c>
      <c r="D18">
        <v>5.6962400000000004</v>
      </c>
      <c r="E18">
        <v>0.80376999999999998</v>
      </c>
      <c r="F18">
        <v>9.5157600000000002</v>
      </c>
      <c r="H18">
        <v>7.2658500000000004</v>
      </c>
      <c r="I18">
        <v>6.4765800000000002</v>
      </c>
      <c r="J18">
        <v>1.7137800000000001</v>
      </c>
      <c r="K18">
        <v>1.0000000000000001E-5</v>
      </c>
      <c r="L18">
        <v>10.04698</v>
      </c>
      <c r="M18">
        <v>25.155958481116372</v>
      </c>
      <c r="N18">
        <v>9.9999999999999995E-7</v>
      </c>
      <c r="O18">
        <v>1.38916</v>
      </c>
      <c r="Q18">
        <v>1.0000000000000001E-5</v>
      </c>
    </row>
    <row r="19" spans="1:17" x14ac:dyDescent="0.2">
      <c r="A19" t="s">
        <v>377</v>
      </c>
      <c r="D19">
        <v>8.8336799999999993</v>
      </c>
      <c r="E19">
        <v>0.81630999999999998</v>
      </c>
      <c r="F19">
        <v>11.921010000000001</v>
      </c>
      <c r="H19">
        <v>9.1227499999999999</v>
      </c>
      <c r="I19">
        <v>7.1529600000000002</v>
      </c>
      <c r="J19">
        <v>1.0000000000000001E-5</v>
      </c>
      <c r="K19">
        <v>1.0000000000000001E-5</v>
      </c>
      <c r="L19">
        <v>1.0000000000000001E-5</v>
      </c>
      <c r="M19">
        <v>35.642777243928229</v>
      </c>
      <c r="N19">
        <v>8.7669999999999998E-2</v>
      </c>
      <c r="O19">
        <v>2.16445</v>
      </c>
      <c r="Q19">
        <v>1.0000000000000001E-5</v>
      </c>
    </row>
    <row r="20" spans="1:17" x14ac:dyDescent="0.2">
      <c r="A20" t="s">
        <v>378</v>
      </c>
      <c r="D20">
        <v>7.7051299999999996</v>
      </c>
      <c r="E20">
        <v>0.80867999999999995</v>
      </c>
      <c r="F20">
        <v>10.05186</v>
      </c>
      <c r="H20">
        <v>7.8830400000000003</v>
      </c>
      <c r="I20">
        <v>6.7126900000000003</v>
      </c>
      <c r="J20">
        <v>1.0000000000000001E-5</v>
      </c>
      <c r="K20">
        <v>1.0000000000000001E-5</v>
      </c>
      <c r="L20">
        <v>10.040469999999999</v>
      </c>
      <c r="M20">
        <v>22.276967292004599</v>
      </c>
      <c r="N20">
        <v>9.9999999999999995E-7</v>
      </c>
      <c r="O20">
        <v>1.7422</v>
      </c>
      <c r="Q20">
        <v>0.69259999999999999</v>
      </c>
    </row>
    <row r="21" spans="1:17" x14ac:dyDescent="0.2">
      <c r="A21" t="s">
        <v>388</v>
      </c>
      <c r="D21">
        <v>11.03444</v>
      </c>
      <c r="E21">
        <v>1.0000000000000001E-5</v>
      </c>
      <c r="F21">
        <v>27.680019999999999</v>
      </c>
      <c r="H21">
        <v>61.855670000000003</v>
      </c>
      <c r="I21">
        <v>45.602020000000003</v>
      </c>
      <c r="J21">
        <v>1.0000000000000001E-5</v>
      </c>
      <c r="K21">
        <v>1.0000000000000001E-5</v>
      </c>
      <c r="L21">
        <v>1.0000000000000001E-5</v>
      </c>
      <c r="M21">
        <v>216.54431565532761</v>
      </c>
      <c r="N21">
        <v>15.770659999999999</v>
      </c>
      <c r="O21">
        <v>21.354399999999998</v>
      </c>
      <c r="Q21">
        <v>6.7295499999999997</v>
      </c>
    </row>
    <row r="22" spans="1:17" x14ac:dyDescent="0.2">
      <c r="A22" t="s">
        <v>379</v>
      </c>
      <c r="D22">
        <v>9.3601899999999993</v>
      </c>
      <c r="E22">
        <v>0.82698000000000005</v>
      </c>
      <c r="F22">
        <v>11.57948</v>
      </c>
      <c r="H22">
        <v>8.1196000000000002</v>
      </c>
      <c r="I22">
        <v>41.383029999999998</v>
      </c>
      <c r="J22">
        <v>3.4058299999999999</v>
      </c>
      <c r="K22">
        <v>0.59330000000000005</v>
      </c>
      <c r="L22">
        <v>126.85371000000001</v>
      </c>
      <c r="M22">
        <v>16.756976866855716</v>
      </c>
      <c r="N22">
        <v>4.3825599999999998</v>
      </c>
      <c r="O22">
        <v>1.1670199999999999</v>
      </c>
      <c r="Q22">
        <v>1.0000000000000001E-5</v>
      </c>
    </row>
    <row r="23" spans="1:17" x14ac:dyDescent="0.2">
      <c r="A23" t="s">
        <v>380</v>
      </c>
      <c r="D23">
        <v>4.8722300000000001</v>
      </c>
      <c r="E23">
        <v>0.89049</v>
      </c>
      <c r="F23">
        <v>12.558680000000001</v>
      </c>
      <c r="H23">
        <v>6.8760399999999997</v>
      </c>
      <c r="I23">
        <v>20.648530000000001</v>
      </c>
      <c r="J23">
        <v>1.0000000000000001E-5</v>
      </c>
      <c r="K23">
        <v>0.71814999999999996</v>
      </c>
      <c r="L23">
        <v>466.31533000000002</v>
      </c>
      <c r="M23">
        <v>14.835183448501255</v>
      </c>
      <c r="N23">
        <v>8.8033599999999996</v>
      </c>
      <c r="O23">
        <v>1.04836</v>
      </c>
      <c r="Q23">
        <v>1.0000000000000001E-5</v>
      </c>
    </row>
    <row r="24" spans="1:17" x14ac:dyDescent="0.2">
      <c r="A24" t="s">
        <v>291</v>
      </c>
      <c r="D24">
        <v>8.3145900000000008</v>
      </c>
      <c r="E24">
        <v>0.92076999999999998</v>
      </c>
      <c r="F24">
        <v>20.777570000000001</v>
      </c>
      <c r="H24">
        <v>13.07484</v>
      </c>
      <c r="I24">
        <v>107.59267</v>
      </c>
      <c r="J24">
        <v>1.0000000000000001E-5</v>
      </c>
      <c r="K24">
        <v>2.7414000000000001</v>
      </c>
      <c r="L24">
        <v>60.88449</v>
      </c>
      <c r="M24">
        <v>33.866896124295309</v>
      </c>
      <c r="N24">
        <v>11.129849999999999</v>
      </c>
      <c r="O24">
        <v>2.50881</v>
      </c>
      <c r="Q24">
        <v>1.0000000000000001E-5</v>
      </c>
    </row>
    <row r="25" spans="1:17" x14ac:dyDescent="0.2">
      <c r="A25" t="s">
        <v>381</v>
      </c>
      <c r="D25">
        <v>10.69797</v>
      </c>
      <c r="E25">
        <v>1.0123800000000001</v>
      </c>
      <c r="F25">
        <v>13.42873</v>
      </c>
      <c r="H25">
        <v>4.8750299999999998</v>
      </c>
      <c r="I25">
        <v>46.829700000000003</v>
      </c>
      <c r="J25">
        <v>1.0000000000000001E-5</v>
      </c>
      <c r="K25">
        <v>1.12849</v>
      </c>
      <c r="L25">
        <v>597.52976000000001</v>
      </c>
      <c r="M25">
        <v>30.128748620272432</v>
      </c>
      <c r="N25">
        <v>13.59375</v>
      </c>
      <c r="O25">
        <v>1.9520999999999999</v>
      </c>
      <c r="Q25">
        <v>1.0000000000000001E-5</v>
      </c>
    </row>
    <row r="26" spans="1:17" x14ac:dyDescent="0.2">
      <c r="A26" t="s">
        <v>172</v>
      </c>
      <c r="D26">
        <v>21.754909999999999</v>
      </c>
      <c r="E26">
        <v>26.676580000000001</v>
      </c>
      <c r="F26">
        <v>26.100359999999998</v>
      </c>
      <c r="H26">
        <v>20.746120000000001</v>
      </c>
      <c r="I26">
        <v>18.148389999999999</v>
      </c>
      <c r="J26">
        <v>24.048179999999999</v>
      </c>
      <c r="K26">
        <v>24.074809999999999</v>
      </c>
      <c r="L26">
        <v>14.14692</v>
      </c>
      <c r="M26">
        <v>25.244599446145962</v>
      </c>
      <c r="N26">
        <v>23.514610000000001</v>
      </c>
      <c r="O26">
        <v>24.130320000000001</v>
      </c>
      <c r="Q26">
        <v>16.10643</v>
      </c>
    </row>
    <row r="27" spans="1:17" x14ac:dyDescent="0.2">
      <c r="A27" t="s">
        <v>173</v>
      </c>
      <c r="D27">
        <v>18.290929999999999</v>
      </c>
      <c r="E27">
        <v>26.474049999999998</v>
      </c>
      <c r="F27">
        <v>28.312570000000001</v>
      </c>
      <c r="H27">
        <v>25.813230000000001</v>
      </c>
      <c r="I27">
        <v>21.249790000000001</v>
      </c>
      <c r="J27">
        <v>27.44811</v>
      </c>
      <c r="K27">
        <v>33.732939999999999</v>
      </c>
      <c r="L27">
        <v>36.60642</v>
      </c>
      <c r="M27">
        <v>46.363445214636677</v>
      </c>
      <c r="N27">
        <v>23.23254</v>
      </c>
      <c r="O27">
        <v>28.709029999999998</v>
      </c>
      <c r="Q27">
        <v>20.956469999999999</v>
      </c>
    </row>
    <row r="29" spans="1:17" x14ac:dyDescent="0.2">
      <c r="A29" t="s">
        <v>119</v>
      </c>
    </row>
    <row r="30" spans="1:17" x14ac:dyDescent="0.2">
      <c r="A30" t="s">
        <v>120</v>
      </c>
      <c r="D30" t="s">
        <v>133</v>
      </c>
      <c r="E30" t="s">
        <v>174</v>
      </c>
      <c r="F30" t="s">
        <v>121</v>
      </c>
      <c r="H30" t="s">
        <v>121</v>
      </c>
      <c r="I30" t="s">
        <v>133</v>
      </c>
      <c r="J30" t="s">
        <v>121</v>
      </c>
      <c r="K30" t="s">
        <v>133</v>
      </c>
      <c r="L30" t="s">
        <v>133</v>
      </c>
      <c r="M30" t="s">
        <v>121</v>
      </c>
      <c r="N30" t="s">
        <v>121</v>
      </c>
      <c r="O30" t="s">
        <v>182</v>
      </c>
      <c r="Q30" t="s">
        <v>182</v>
      </c>
    </row>
    <row r="31" spans="1:17" x14ac:dyDescent="0.2">
      <c r="A31" t="s">
        <v>48</v>
      </c>
      <c r="D31">
        <v>0.99159450000000005</v>
      </c>
      <c r="E31">
        <v>0.99758930000000001</v>
      </c>
      <c r="F31">
        <v>0.99984720000000005</v>
      </c>
      <c r="H31">
        <v>0.99533300000000002</v>
      </c>
      <c r="I31">
        <v>0.99894539999999998</v>
      </c>
      <c r="J31">
        <v>0.9996197</v>
      </c>
      <c r="K31">
        <v>0.99145910000000004</v>
      </c>
      <c r="L31">
        <v>0.99430220000000002</v>
      </c>
      <c r="M31">
        <v>0.99760000000000004</v>
      </c>
      <c r="N31">
        <v>0.99991229999999998</v>
      </c>
      <c r="O31">
        <v>0.99452470000000004</v>
      </c>
      <c r="Q31">
        <v>0.99479919999999999</v>
      </c>
    </row>
    <row r="32" spans="1:17" x14ac:dyDescent="0.2">
      <c r="A32" t="s">
        <v>110</v>
      </c>
      <c r="D32">
        <v>25.969709999999999</v>
      </c>
      <c r="E32">
        <v>75.055329999999998</v>
      </c>
      <c r="F32">
        <v>61.018599999999999</v>
      </c>
      <c r="H32">
        <v>114.1071</v>
      </c>
      <c r="I32">
        <v>25.099710000000002</v>
      </c>
      <c r="J32">
        <v>58.83681</v>
      </c>
      <c r="K32">
        <v>31.61664</v>
      </c>
      <c r="L32">
        <v>81.338260000000005</v>
      </c>
      <c r="M32">
        <v>39.484409999999997</v>
      </c>
      <c r="N32">
        <v>65.000810000000001</v>
      </c>
      <c r="O32">
        <v>13.700290000000001</v>
      </c>
      <c r="Q32">
        <v>23.878119999999999</v>
      </c>
    </row>
    <row r="33" spans="1:20" x14ac:dyDescent="0.2">
      <c r="A33" t="s">
        <v>125</v>
      </c>
      <c r="D33">
        <v>0.25</v>
      </c>
      <c r="E33">
        <v>2.5</v>
      </c>
      <c r="F33">
        <v>0.25</v>
      </c>
      <c r="H33">
        <v>0.25</v>
      </c>
      <c r="I33">
        <v>5</v>
      </c>
      <c r="J33">
        <v>1</v>
      </c>
      <c r="K33">
        <v>0.25</v>
      </c>
      <c r="L33">
        <v>0.25</v>
      </c>
      <c r="M33">
        <v>0.25</v>
      </c>
      <c r="N33">
        <v>0.25</v>
      </c>
      <c r="O33">
        <v>0.25</v>
      </c>
      <c r="Q33">
        <v>0.25</v>
      </c>
    </row>
    <row r="34" spans="1:20" x14ac:dyDescent="0.2">
      <c r="A34" t="s">
        <v>126</v>
      </c>
      <c r="D34">
        <v>50</v>
      </c>
      <c r="E34">
        <v>100</v>
      </c>
      <c r="F34">
        <v>50</v>
      </c>
      <c r="H34">
        <v>100</v>
      </c>
      <c r="I34">
        <v>250</v>
      </c>
      <c r="J34">
        <v>50</v>
      </c>
      <c r="K34">
        <v>25</v>
      </c>
      <c r="L34">
        <v>500</v>
      </c>
      <c r="M34">
        <v>250</v>
      </c>
      <c r="N34">
        <v>50</v>
      </c>
      <c r="O34">
        <v>25</v>
      </c>
      <c r="Q34">
        <v>10</v>
      </c>
    </row>
    <row r="38" spans="1:20" x14ac:dyDescent="0.2">
      <c r="A38" t="s">
        <v>213</v>
      </c>
    </row>
    <row r="39" spans="1:20" x14ac:dyDescent="0.2">
      <c r="B39" t="s">
        <v>216</v>
      </c>
      <c r="C39" t="s">
        <v>214</v>
      </c>
      <c r="D39" t="s">
        <v>215</v>
      </c>
      <c r="E39" t="s">
        <v>213</v>
      </c>
      <c r="F39" t="s">
        <v>217</v>
      </c>
      <c r="G39" t="s">
        <v>223</v>
      </c>
      <c r="H39" t="s">
        <v>197</v>
      </c>
      <c r="I39" t="s">
        <v>218</v>
      </c>
      <c r="J39" t="s">
        <v>197</v>
      </c>
      <c r="K39" t="s">
        <v>219</v>
      </c>
      <c r="N39" t="s">
        <v>216</v>
      </c>
      <c r="O39" t="s">
        <v>214</v>
      </c>
      <c r="P39" t="s">
        <v>215</v>
      </c>
      <c r="Q39" t="s">
        <v>213</v>
      </c>
      <c r="R39" t="s">
        <v>217</v>
      </c>
    </row>
    <row r="40" spans="1:20" x14ac:dyDescent="0.2">
      <c r="A40" t="s">
        <v>296</v>
      </c>
      <c r="B40" s="9">
        <v>338018</v>
      </c>
      <c r="C40">
        <v>1.0000000000000001E-5</v>
      </c>
      <c r="D40" s="9">
        <v>112323</v>
      </c>
      <c r="E40" s="9">
        <f>D40+C40</f>
        <v>112323.00001</v>
      </c>
      <c r="F40">
        <f>E40/B40</f>
        <v>0.3322988716873066</v>
      </c>
      <c r="G40">
        <f>(-1.3576*(F40^2)) + 36.677*F40 + 3.0627</f>
        <v>15.100516076402108</v>
      </c>
      <c r="H40">
        <f>(-$C$71+(SQRT($C$72-(4*$C$73*($C$74-(F40))))))/(2*$C$73)</f>
        <v>18.368969565558096</v>
      </c>
      <c r="I40">
        <v>9.2774197565455626E-3</v>
      </c>
      <c r="J40" s="25">
        <f>(-1.3576*(I40^2)) + 36.677*I40 + 3.0627</f>
        <v>3.402851075076482</v>
      </c>
      <c r="K40">
        <f>J40/M40</f>
        <v>13.611404300305928</v>
      </c>
      <c r="M40">
        <v>0.25</v>
      </c>
      <c r="N40" s="9">
        <v>1059993</v>
      </c>
      <c r="O40" s="9">
        <v>2559</v>
      </c>
      <c r="P40" s="9">
        <v>7275</v>
      </c>
      <c r="Q40" s="9">
        <f>P40+O40</f>
        <v>9834</v>
      </c>
      <c r="R40">
        <f>Q40/N40</f>
        <v>9.2774197565455626E-3</v>
      </c>
      <c r="S40">
        <v>0.25</v>
      </c>
      <c r="T40">
        <f>(R40+R41)/2</f>
        <v>7.8948449044730449E-3</v>
      </c>
    </row>
    <row r="41" spans="1:20" x14ac:dyDescent="0.2">
      <c r="A41" t="s">
        <v>370</v>
      </c>
      <c r="B41" s="9">
        <v>347023</v>
      </c>
      <c r="C41" s="9">
        <v>2189</v>
      </c>
      <c r="D41" s="9">
        <v>198500</v>
      </c>
      <c r="E41" s="9">
        <f t="shared" ref="E41:E65" si="0">D41+C41</f>
        <v>200689</v>
      </c>
      <c r="F41">
        <f t="shared" ref="F41:F65" si="1">E41/B41</f>
        <v>0.57831613466542564</v>
      </c>
      <c r="G41">
        <f t="shared" ref="G41:G65" si="2">(-1.3576*(F41^2)) + 36.677*F41 + 3.0627</f>
        <v>23.819552159852162</v>
      </c>
      <c r="H41">
        <f t="shared" ref="H41:H65" si="3">(-$C$71+(SQRT($C$72-(4*$C$73*($C$74-(F41))))))/(2*$C$73)</f>
        <v>29.411981193777809</v>
      </c>
      <c r="I41">
        <v>6.5122700524005263E-3</v>
      </c>
      <c r="J41" s="25">
        <f t="shared" ref="J41:J59" si="4">(-1.3576*(I41^2)) + 36.677*I41 + 3.0627</f>
        <v>3.3014929533558011</v>
      </c>
      <c r="K41">
        <f t="shared" ref="K41:K59" si="5">J41/M41</f>
        <v>13.205971813423204</v>
      </c>
      <c r="M41">
        <v>0.25</v>
      </c>
      <c r="N41" s="9">
        <v>1051707</v>
      </c>
      <c r="O41" s="9">
        <v>1686</v>
      </c>
      <c r="P41" s="9">
        <v>5163</v>
      </c>
      <c r="Q41" s="9">
        <f t="shared" ref="Q41:Q61" si="6">P41+O41</f>
        <v>6849</v>
      </c>
      <c r="R41">
        <f t="shared" ref="R41:R61" si="7">Q41/N41</f>
        <v>6.5122700524005263E-3</v>
      </c>
      <c r="S41">
        <v>0.5</v>
      </c>
      <c r="T41">
        <f>(R43+R42)/2</f>
        <v>8.8892230598182024E-3</v>
      </c>
    </row>
    <row r="42" spans="1:20" x14ac:dyDescent="0.2">
      <c r="A42" t="s">
        <v>371</v>
      </c>
      <c r="B42" s="9">
        <v>409439</v>
      </c>
      <c r="C42">
        <v>1.0000000000000001E-5</v>
      </c>
      <c r="D42" s="9">
        <v>75779</v>
      </c>
      <c r="E42" s="9">
        <f t="shared" si="0"/>
        <v>75779.000010000003</v>
      </c>
      <c r="F42">
        <f t="shared" si="1"/>
        <v>0.18508007300232759</v>
      </c>
      <c r="G42">
        <f t="shared" si="2"/>
        <v>9.8043777471719196</v>
      </c>
      <c r="H42">
        <f t="shared" si="3"/>
        <v>11.171428134102104</v>
      </c>
      <c r="I42">
        <v>8.6363444402212924E-3</v>
      </c>
      <c r="J42" s="25">
        <f t="shared" si="4"/>
        <v>3.3793539464758706</v>
      </c>
      <c r="K42">
        <f t="shared" si="5"/>
        <v>6.7587078929517412</v>
      </c>
      <c r="M42">
        <v>0.5</v>
      </c>
      <c r="N42" s="9">
        <v>994518</v>
      </c>
      <c r="O42" s="9">
        <v>1265</v>
      </c>
      <c r="P42" s="9">
        <v>7324</v>
      </c>
      <c r="Q42" s="9">
        <f t="shared" si="6"/>
        <v>8589</v>
      </c>
      <c r="R42">
        <f t="shared" si="7"/>
        <v>8.6363444402212924E-3</v>
      </c>
      <c r="S42">
        <v>1</v>
      </c>
      <c r="T42">
        <f>(R44+R45)/2</f>
        <v>1.5055028758205014E-2</v>
      </c>
    </row>
    <row r="43" spans="1:20" x14ac:dyDescent="0.2">
      <c r="A43" t="s">
        <v>372</v>
      </c>
      <c r="B43" s="9">
        <v>294014</v>
      </c>
      <c r="C43" s="9">
        <v>1826</v>
      </c>
      <c r="D43" s="9">
        <v>138312</v>
      </c>
      <c r="E43" s="9">
        <f t="shared" si="0"/>
        <v>140138</v>
      </c>
      <c r="F43">
        <f t="shared" si="1"/>
        <v>0.47663716693762881</v>
      </c>
      <c r="G43">
        <f t="shared" si="2"/>
        <v>20.23589774603218</v>
      </c>
      <c r="H43">
        <f t="shared" si="3"/>
        <v>24.979427760707818</v>
      </c>
      <c r="I43">
        <v>9.1421016794151124E-3</v>
      </c>
      <c r="J43" s="25">
        <f t="shared" si="4"/>
        <v>3.3978913977717249</v>
      </c>
      <c r="K43">
        <f t="shared" si="5"/>
        <v>6.7957827955434498</v>
      </c>
      <c r="M43">
        <v>0.5</v>
      </c>
      <c r="N43" s="9">
        <v>1006005</v>
      </c>
      <c r="O43" s="9">
        <v>2817</v>
      </c>
      <c r="P43" s="9">
        <v>6380</v>
      </c>
      <c r="Q43" s="9">
        <f t="shared" si="6"/>
        <v>9197</v>
      </c>
      <c r="R43">
        <f t="shared" si="7"/>
        <v>9.1421016794151124E-3</v>
      </c>
      <c r="S43">
        <v>2.5</v>
      </c>
      <c r="T43">
        <f>(R47+R46)/2</f>
        <v>4.0813114758430039E-2</v>
      </c>
    </row>
    <row r="44" spans="1:20" x14ac:dyDescent="0.2">
      <c r="A44" t="s">
        <v>373</v>
      </c>
      <c r="B44" s="9">
        <v>248192</v>
      </c>
      <c r="C44">
        <v>1.0000000000000001E-5</v>
      </c>
      <c r="D44" s="9">
        <v>360620</v>
      </c>
      <c r="E44" s="9">
        <f t="shared" si="0"/>
        <v>360620.00001000002</v>
      </c>
      <c r="F44">
        <f t="shared" si="1"/>
        <v>1.4529880093234271</v>
      </c>
      <c r="G44">
        <f t="shared" si="2"/>
        <v>53.487811184804691</v>
      </c>
      <c r="H44">
        <f t="shared" si="3"/>
        <v>62.216833032342315</v>
      </c>
      <c r="I44">
        <v>1.8207313361450497E-2</v>
      </c>
      <c r="J44" s="25">
        <f t="shared" si="4"/>
        <v>3.7300395792595582</v>
      </c>
      <c r="K44">
        <f t="shared" si="5"/>
        <v>3.7300395792595582</v>
      </c>
      <c r="M44">
        <v>1</v>
      </c>
      <c r="N44" s="9">
        <v>919960</v>
      </c>
      <c r="O44" s="9">
        <v>5029</v>
      </c>
      <c r="P44" s="9">
        <v>11721</v>
      </c>
      <c r="Q44" s="9">
        <f t="shared" si="6"/>
        <v>16750</v>
      </c>
      <c r="R44">
        <f t="shared" si="7"/>
        <v>1.8207313361450497E-2</v>
      </c>
      <c r="S44">
        <v>5</v>
      </c>
      <c r="T44">
        <f>(R49+R48)/2</f>
        <v>7.870122724683315E-2</v>
      </c>
    </row>
    <row r="45" spans="1:20" x14ac:dyDescent="0.2">
      <c r="A45" t="s">
        <v>374</v>
      </c>
      <c r="B45" s="9">
        <v>253274</v>
      </c>
      <c r="C45">
        <v>1.0000000000000001E-5</v>
      </c>
      <c r="D45" s="9">
        <v>156404</v>
      </c>
      <c r="E45" s="9">
        <f t="shared" si="0"/>
        <v>156404.00000999999</v>
      </c>
      <c r="F45">
        <f t="shared" si="1"/>
        <v>0.61752884232096461</v>
      </c>
      <c r="G45">
        <f t="shared" si="2"/>
        <v>25.194095625603005</v>
      </c>
      <c r="H45">
        <f t="shared" si="3"/>
        <v>31.077141233922678</v>
      </c>
      <c r="I45">
        <v>1.1902744154959529E-2</v>
      </c>
      <c r="J45" s="25">
        <f t="shared" si="4"/>
        <v>3.4990646089591659</v>
      </c>
      <c r="K45">
        <f t="shared" si="5"/>
        <v>3.4990646089591659</v>
      </c>
      <c r="M45">
        <v>1</v>
      </c>
      <c r="N45" s="9">
        <v>938103</v>
      </c>
      <c r="O45" s="9">
        <v>3798</v>
      </c>
      <c r="P45" s="9">
        <v>7368</v>
      </c>
      <c r="Q45" s="9">
        <f t="shared" si="6"/>
        <v>11166</v>
      </c>
      <c r="R45">
        <f t="shared" si="7"/>
        <v>1.1902744154959529E-2</v>
      </c>
      <c r="S45">
        <v>10</v>
      </c>
      <c r="T45">
        <f>(R51+R50)/2</f>
        <v>0.13117810188700099</v>
      </c>
    </row>
    <row r="46" spans="1:20" x14ac:dyDescent="0.2">
      <c r="A46" t="s">
        <v>375</v>
      </c>
      <c r="B46" s="9">
        <v>238395</v>
      </c>
      <c r="C46">
        <v>1.0000000000000001E-5</v>
      </c>
      <c r="D46" s="9">
        <v>92823</v>
      </c>
      <c r="E46" s="9">
        <f t="shared" si="0"/>
        <v>92823.000010000003</v>
      </c>
      <c r="F46">
        <f t="shared" si="1"/>
        <v>0.38936638775981042</v>
      </c>
      <c r="G46">
        <f t="shared" si="2"/>
        <v>17.137670448580682</v>
      </c>
      <c r="H46">
        <f t="shared" si="3"/>
        <v>21.030704768734022</v>
      </c>
      <c r="I46">
        <v>4.6701366848631035E-2</v>
      </c>
      <c r="J46" s="25">
        <f t="shared" si="4"/>
        <v>4.7726050823245165</v>
      </c>
      <c r="K46">
        <f t="shared" si="5"/>
        <v>1.9090420329298066</v>
      </c>
      <c r="M46">
        <v>2.5</v>
      </c>
      <c r="N46" s="9">
        <v>945240</v>
      </c>
      <c r="O46" s="9">
        <v>15393</v>
      </c>
      <c r="P46" s="9">
        <v>28751</v>
      </c>
      <c r="Q46" s="9">
        <f t="shared" si="6"/>
        <v>44144</v>
      </c>
      <c r="R46">
        <f t="shared" si="7"/>
        <v>4.6701366848631035E-2</v>
      </c>
      <c r="S46">
        <v>25</v>
      </c>
      <c r="T46">
        <f>(R53+R52)/2</f>
        <v>0.40385422214801181</v>
      </c>
    </row>
    <row r="47" spans="1:20" x14ac:dyDescent="0.2">
      <c r="A47" t="s">
        <v>376</v>
      </c>
      <c r="B47" s="9">
        <v>367373</v>
      </c>
      <c r="C47" s="9">
        <v>2610</v>
      </c>
      <c r="D47" s="9">
        <v>319697</v>
      </c>
      <c r="E47" s="9">
        <f t="shared" si="0"/>
        <v>322307</v>
      </c>
      <c r="F47">
        <f t="shared" si="1"/>
        <v>0.87732903615671265</v>
      </c>
      <c r="G47">
        <f t="shared" si="2"/>
        <v>34.195543870840403</v>
      </c>
      <c r="H47">
        <f t="shared" si="3"/>
        <v>41.567967991934879</v>
      </c>
      <c r="I47">
        <v>3.4924862668229043E-2</v>
      </c>
      <c r="J47" s="25">
        <f t="shared" si="4"/>
        <v>4.3419832608690578</v>
      </c>
      <c r="K47">
        <f t="shared" si="5"/>
        <v>1.7367933043476231</v>
      </c>
      <c r="M47">
        <v>2.5</v>
      </c>
      <c r="N47" s="9">
        <v>787691</v>
      </c>
      <c r="O47" s="9">
        <v>10593</v>
      </c>
      <c r="P47" s="9">
        <v>16917</v>
      </c>
      <c r="Q47" s="9">
        <f t="shared" si="6"/>
        <v>27510</v>
      </c>
      <c r="R47">
        <f t="shared" si="7"/>
        <v>3.4924862668229043E-2</v>
      </c>
      <c r="S47">
        <v>50</v>
      </c>
      <c r="T47">
        <f>(R55+R54)/2</f>
        <v>1.1723340436772007</v>
      </c>
    </row>
    <row r="48" spans="1:20" x14ac:dyDescent="0.2">
      <c r="A48" t="s">
        <v>377</v>
      </c>
      <c r="B48" s="9">
        <v>317856</v>
      </c>
      <c r="C48">
        <v>1.0000000000000001E-5</v>
      </c>
      <c r="D48" s="9">
        <v>231364</v>
      </c>
      <c r="E48" s="9">
        <f t="shared" si="0"/>
        <v>231364.00000999999</v>
      </c>
      <c r="F48">
        <f t="shared" si="1"/>
        <v>0.7278893587347729</v>
      </c>
      <c r="G48">
        <f t="shared" si="2"/>
        <v>29.040210416079134</v>
      </c>
      <c r="H48">
        <f t="shared" si="3"/>
        <v>35.642777243928229</v>
      </c>
      <c r="I48">
        <v>8.165049884174623E-2</v>
      </c>
      <c r="J48" s="25">
        <f t="shared" si="4"/>
        <v>6.048344492961129</v>
      </c>
      <c r="K48">
        <f t="shared" si="5"/>
        <v>1.2096688985922257</v>
      </c>
      <c r="M48">
        <v>5</v>
      </c>
      <c r="N48" s="9">
        <v>977765</v>
      </c>
      <c r="O48" s="9">
        <v>29645</v>
      </c>
      <c r="P48" s="9">
        <v>50190</v>
      </c>
      <c r="Q48" s="9">
        <f t="shared" si="6"/>
        <v>79835</v>
      </c>
      <c r="R48">
        <f t="shared" si="7"/>
        <v>8.165049884174623E-2</v>
      </c>
      <c r="S48">
        <v>100</v>
      </c>
      <c r="T48">
        <f>(R57+R56)/2</f>
        <v>3.1056051596278746</v>
      </c>
    </row>
    <row r="49" spans="1:20" x14ac:dyDescent="0.2">
      <c r="A49" t="s">
        <v>378</v>
      </c>
      <c r="B49" s="9">
        <v>395203</v>
      </c>
      <c r="C49">
        <v>1.0000000000000001E-5</v>
      </c>
      <c r="D49" s="9">
        <v>164631</v>
      </c>
      <c r="E49" s="9">
        <f t="shared" si="0"/>
        <v>164631.00000999999</v>
      </c>
      <c r="F49">
        <f t="shared" si="1"/>
        <v>0.4165732547829849</v>
      </c>
      <c r="G49">
        <f t="shared" si="2"/>
        <v>18.105768489362713</v>
      </c>
      <c r="H49">
        <f t="shared" si="3"/>
        <v>22.276967292004599</v>
      </c>
      <c r="I49">
        <v>7.5751955651920083E-2</v>
      </c>
      <c r="J49" s="25">
        <f t="shared" si="4"/>
        <v>5.8332640815588341</v>
      </c>
      <c r="K49">
        <f t="shared" si="5"/>
        <v>1.1666528163117669</v>
      </c>
      <c r="M49">
        <v>5</v>
      </c>
      <c r="N49" s="9">
        <v>784521</v>
      </c>
      <c r="O49" s="9">
        <v>24513</v>
      </c>
      <c r="P49" s="9">
        <v>34916</v>
      </c>
      <c r="Q49" s="9">
        <f t="shared" si="6"/>
        <v>59429</v>
      </c>
      <c r="R49">
        <f t="shared" si="7"/>
        <v>7.5751955651920083E-2</v>
      </c>
      <c r="S49">
        <v>250</v>
      </c>
      <c r="T49">
        <f>(R59+R58)/2</f>
        <v>12.670505032964847</v>
      </c>
    </row>
    <row r="50" spans="1:20" x14ac:dyDescent="0.2">
      <c r="A50" t="s">
        <v>379</v>
      </c>
      <c r="B50" s="9">
        <v>344758</v>
      </c>
      <c r="C50">
        <v>1.0000000000000001E-5</v>
      </c>
      <c r="D50" s="9">
        <v>102885</v>
      </c>
      <c r="E50" s="9">
        <f t="shared" si="0"/>
        <v>102885.00001</v>
      </c>
      <c r="F50">
        <f t="shared" si="1"/>
        <v>0.2984267225416089</v>
      </c>
      <c r="G50">
        <f t="shared" si="2"/>
        <v>13.887191071210914</v>
      </c>
      <c r="H50">
        <f t="shared" si="3"/>
        <v>16.756976866855716</v>
      </c>
      <c r="I50">
        <v>0.14598773896350503</v>
      </c>
      <c r="J50" s="25">
        <f t="shared" si="4"/>
        <v>8.3881585606706608</v>
      </c>
      <c r="K50">
        <f t="shared" si="5"/>
        <v>0.8388158560670661</v>
      </c>
      <c r="M50">
        <v>10</v>
      </c>
      <c r="N50" s="9">
        <v>1152268</v>
      </c>
      <c r="O50" s="9">
        <v>69722</v>
      </c>
      <c r="P50" s="9">
        <v>98495</v>
      </c>
      <c r="Q50" s="9">
        <f t="shared" si="6"/>
        <v>168217</v>
      </c>
      <c r="R50">
        <f t="shared" si="7"/>
        <v>0.14598773896350503</v>
      </c>
      <c r="S50">
        <v>500</v>
      </c>
      <c r="T50">
        <f>(R61+R60)/2</f>
        <v>86.1374251248143</v>
      </c>
    </row>
    <row r="51" spans="1:20" x14ac:dyDescent="0.2">
      <c r="A51" t="s">
        <v>380</v>
      </c>
      <c r="B51" s="9">
        <v>325339</v>
      </c>
      <c r="C51" s="9">
        <v>1133</v>
      </c>
      <c r="D51" s="9">
        <v>83040</v>
      </c>
      <c r="E51" s="9">
        <f t="shared" si="0"/>
        <v>84173</v>
      </c>
      <c r="F51">
        <f t="shared" si="1"/>
        <v>0.25872397714384071</v>
      </c>
      <c r="G51">
        <f t="shared" si="2"/>
        <v>12.461044150101072</v>
      </c>
      <c r="H51">
        <f t="shared" si="3"/>
        <v>14.835183448501255</v>
      </c>
      <c r="I51">
        <v>0.11636846481049694</v>
      </c>
      <c r="J51" s="25">
        <f t="shared" si="4"/>
        <v>7.3123620810824441</v>
      </c>
      <c r="K51">
        <f t="shared" si="5"/>
        <v>0.73123620810824441</v>
      </c>
      <c r="M51">
        <v>10</v>
      </c>
      <c r="N51" s="9">
        <v>910513</v>
      </c>
      <c r="O51" s="9">
        <v>46097</v>
      </c>
      <c r="P51" s="9">
        <v>59858</v>
      </c>
      <c r="Q51" s="9">
        <f t="shared" si="6"/>
        <v>105955</v>
      </c>
      <c r="R51">
        <f t="shared" si="7"/>
        <v>0.11636846481049694</v>
      </c>
    </row>
    <row r="52" spans="1:20" x14ac:dyDescent="0.2">
      <c r="A52" t="s">
        <v>381</v>
      </c>
      <c r="B52" s="9">
        <v>238428</v>
      </c>
      <c r="C52">
        <v>1.0000000000000001E-5</v>
      </c>
      <c r="D52" s="9">
        <v>141895</v>
      </c>
      <c r="E52" s="9">
        <f t="shared" si="0"/>
        <v>141895.00000999999</v>
      </c>
      <c r="F52">
        <f t="shared" si="1"/>
        <v>0.59512725019712442</v>
      </c>
      <c r="G52">
        <f t="shared" si="2"/>
        <v>24.409352215204375</v>
      </c>
      <c r="H52">
        <f t="shared" si="3"/>
        <v>30.128748620272432</v>
      </c>
      <c r="I52">
        <v>0.46077215673348088</v>
      </c>
      <c r="J52" s="25">
        <f t="shared" si="4"/>
        <v>19.674207005494566</v>
      </c>
      <c r="K52">
        <f t="shared" si="5"/>
        <v>0.7869682802197826</v>
      </c>
      <c r="M52">
        <v>25</v>
      </c>
      <c r="N52" s="9">
        <v>955635</v>
      </c>
      <c r="O52" s="9">
        <v>174765</v>
      </c>
      <c r="P52" s="9">
        <v>265565</v>
      </c>
      <c r="Q52" s="9">
        <f t="shared" si="6"/>
        <v>440330</v>
      </c>
      <c r="R52">
        <f t="shared" si="7"/>
        <v>0.46077215673348088</v>
      </c>
    </row>
    <row r="53" spans="1:20" x14ac:dyDescent="0.2">
      <c r="A53" t="s">
        <v>382</v>
      </c>
      <c r="B53" s="9">
        <v>401774</v>
      </c>
      <c r="C53">
        <v>1.0000000000000001E-5</v>
      </c>
      <c r="D53" s="9">
        <v>189800</v>
      </c>
      <c r="E53" s="9">
        <f t="shared" si="0"/>
        <v>189800.00000999999</v>
      </c>
      <c r="F53">
        <f t="shared" si="1"/>
        <v>0.47240488436285072</v>
      </c>
      <c r="G53">
        <f t="shared" si="2"/>
        <v>20.086123273388687</v>
      </c>
      <c r="H53">
        <f t="shared" si="3"/>
        <v>24.791134305556412</v>
      </c>
      <c r="I53">
        <v>0.34693628756254274</v>
      </c>
      <c r="J53" s="25">
        <f t="shared" si="4"/>
        <v>15.623874983248042</v>
      </c>
      <c r="K53">
        <f t="shared" si="5"/>
        <v>0.62495499932992171</v>
      </c>
      <c r="M53">
        <v>25</v>
      </c>
      <c r="N53" s="9">
        <v>779267</v>
      </c>
      <c r="O53" s="9">
        <v>126644</v>
      </c>
      <c r="P53" s="9">
        <v>143712</v>
      </c>
      <c r="Q53" s="9">
        <f t="shared" si="6"/>
        <v>270356</v>
      </c>
      <c r="R53">
        <f t="shared" si="7"/>
        <v>0.34693628756254274</v>
      </c>
    </row>
    <row r="54" spans="1:20" x14ac:dyDescent="0.2">
      <c r="A54" t="s">
        <v>383</v>
      </c>
      <c r="B54" s="9">
        <v>172997</v>
      </c>
      <c r="C54">
        <v>1.0000000000000001E-5</v>
      </c>
      <c r="D54" s="9">
        <v>121332</v>
      </c>
      <c r="E54" s="9">
        <f t="shared" si="0"/>
        <v>121332.00001</v>
      </c>
      <c r="F54">
        <f t="shared" si="1"/>
        <v>0.70135320271449797</v>
      </c>
      <c r="G54">
        <f t="shared" si="2"/>
        <v>28.11843297877282</v>
      </c>
      <c r="H54">
        <f t="shared" si="3"/>
        <v>34.560567044172714</v>
      </c>
      <c r="I54">
        <v>1.1100042587485985</v>
      </c>
      <c r="J54" s="25">
        <f t="shared" si="4"/>
        <v>42.101614402774565</v>
      </c>
      <c r="K54">
        <f t="shared" si="5"/>
        <v>0.84203228805549135</v>
      </c>
      <c r="M54">
        <v>50</v>
      </c>
      <c r="N54" s="9">
        <v>894629</v>
      </c>
      <c r="O54" s="9">
        <v>402903</v>
      </c>
      <c r="P54" s="9">
        <v>590139</v>
      </c>
      <c r="Q54" s="9">
        <f t="shared" si="6"/>
        <v>993042</v>
      </c>
      <c r="R54">
        <f t="shared" si="7"/>
        <v>1.1100042587485985</v>
      </c>
    </row>
    <row r="55" spans="1:20" x14ac:dyDescent="0.2">
      <c r="A55" t="s">
        <v>384</v>
      </c>
      <c r="B55" s="9">
        <v>279947</v>
      </c>
      <c r="C55" s="9">
        <v>1158</v>
      </c>
      <c r="D55" s="9">
        <v>144672</v>
      </c>
      <c r="E55" s="9">
        <f t="shared" si="0"/>
        <v>145830</v>
      </c>
      <c r="F55">
        <f t="shared" si="1"/>
        <v>0.52092003129163733</v>
      </c>
      <c r="G55">
        <f t="shared" si="2"/>
        <v>21.800088802671784</v>
      </c>
      <c r="H55">
        <f t="shared" si="3"/>
        <v>26.93098493378605</v>
      </c>
      <c r="I55">
        <v>1.2346638286058027</v>
      </c>
      <c r="J55" s="25">
        <f t="shared" si="4"/>
        <v>46.276946902474371</v>
      </c>
      <c r="K55">
        <f t="shared" si="5"/>
        <v>0.92553893804948739</v>
      </c>
      <c r="M55">
        <v>50</v>
      </c>
      <c r="N55" s="9">
        <v>540275</v>
      </c>
      <c r="O55" s="9">
        <v>303416</v>
      </c>
      <c r="P55" s="9">
        <v>363642</v>
      </c>
      <c r="Q55" s="9">
        <f t="shared" si="6"/>
        <v>667058</v>
      </c>
      <c r="R55">
        <f t="shared" si="7"/>
        <v>1.2346638286058027</v>
      </c>
    </row>
    <row r="56" spans="1:20" x14ac:dyDescent="0.2">
      <c r="A56" t="s">
        <v>385</v>
      </c>
      <c r="B56" s="9">
        <v>40354</v>
      </c>
      <c r="C56">
        <v>1.0000000000000001E-5</v>
      </c>
      <c r="D56" s="9">
        <v>33716</v>
      </c>
      <c r="E56" s="9">
        <f t="shared" si="0"/>
        <v>33716.000010000003</v>
      </c>
      <c r="F56">
        <f t="shared" si="1"/>
        <v>0.83550577414878335</v>
      </c>
      <c r="G56">
        <f t="shared" si="2"/>
        <v>32.758845584066748</v>
      </c>
      <c r="H56">
        <f t="shared" si="3"/>
        <v>39.937466003871229</v>
      </c>
      <c r="I56">
        <v>3.694466334090587</v>
      </c>
      <c r="J56" s="25">
        <f t="shared" si="4"/>
        <v>120.03464869955432</v>
      </c>
      <c r="K56">
        <f t="shared" si="5"/>
        <v>1.2003464869955431</v>
      </c>
      <c r="M56">
        <v>100</v>
      </c>
      <c r="N56" s="9">
        <v>606578</v>
      </c>
      <c r="O56" s="9">
        <v>886296</v>
      </c>
      <c r="P56" s="9">
        <v>1354686</v>
      </c>
      <c r="Q56" s="9">
        <f t="shared" si="6"/>
        <v>2240982</v>
      </c>
      <c r="R56">
        <f t="shared" si="7"/>
        <v>3.694466334090587</v>
      </c>
    </row>
    <row r="57" spans="1:20" x14ac:dyDescent="0.2">
      <c r="A57" t="s">
        <v>386</v>
      </c>
      <c r="B57" s="9">
        <v>344901</v>
      </c>
      <c r="C57" s="9">
        <v>2831</v>
      </c>
      <c r="D57" s="9">
        <v>254735</v>
      </c>
      <c r="E57" s="9">
        <f t="shared" si="0"/>
        <v>257566</v>
      </c>
      <c r="F57">
        <f t="shared" si="1"/>
        <v>0.74678241002490575</v>
      </c>
      <c r="G57">
        <f t="shared" si="2"/>
        <v>29.695326697631735</v>
      </c>
      <c r="H57">
        <f t="shared" si="3"/>
        <v>36.407522371521317</v>
      </c>
      <c r="I57">
        <v>2.5167439851651623</v>
      </c>
      <c r="J57" s="25">
        <f t="shared" si="4"/>
        <v>86.770280354454698</v>
      </c>
      <c r="K57">
        <f t="shared" si="5"/>
        <v>0.86770280354454699</v>
      </c>
      <c r="M57">
        <v>100</v>
      </c>
      <c r="N57" s="9">
        <v>465391</v>
      </c>
      <c r="O57" s="9">
        <v>537831</v>
      </c>
      <c r="P57" s="9">
        <v>633439</v>
      </c>
      <c r="Q57" s="9">
        <f t="shared" si="6"/>
        <v>1171270</v>
      </c>
      <c r="R57">
        <f t="shared" si="7"/>
        <v>2.5167439851651623</v>
      </c>
    </row>
    <row r="58" spans="1:20" x14ac:dyDescent="0.2">
      <c r="A58" t="s">
        <v>387</v>
      </c>
      <c r="B58" s="9">
        <v>394899</v>
      </c>
      <c r="C58" s="9">
        <v>1940</v>
      </c>
      <c r="D58" s="9">
        <v>187853</v>
      </c>
      <c r="E58" s="9">
        <f t="shared" si="0"/>
        <v>189793</v>
      </c>
      <c r="F58">
        <f t="shared" si="1"/>
        <v>0.48061149812990156</v>
      </c>
      <c r="G58">
        <f t="shared" si="2"/>
        <v>20.376499406196373</v>
      </c>
      <c r="H58">
        <f t="shared" si="3"/>
        <v>25.155958481116372</v>
      </c>
      <c r="I58">
        <v>15.045529104556932</v>
      </c>
      <c r="J58" s="25">
        <f t="shared" si="4"/>
        <v>247.57044742926638</v>
      </c>
      <c r="K58">
        <f t="shared" si="5"/>
        <v>0.99028178971706549</v>
      </c>
      <c r="M58">
        <v>250</v>
      </c>
      <c r="N58" s="9">
        <v>348107</v>
      </c>
      <c r="O58" s="9">
        <v>1975220</v>
      </c>
      <c r="P58" s="9">
        <v>3262234</v>
      </c>
      <c r="Q58" s="9">
        <f t="shared" si="6"/>
        <v>5237454</v>
      </c>
      <c r="R58">
        <f t="shared" si="7"/>
        <v>15.045529104556932</v>
      </c>
    </row>
    <row r="59" spans="1:20" x14ac:dyDescent="0.2">
      <c r="A59" t="s">
        <v>388</v>
      </c>
      <c r="B59" s="9">
        <v>80725</v>
      </c>
      <c r="C59">
        <v>1.0000000000000001E-5</v>
      </c>
      <c r="D59" s="9">
        <v>682592</v>
      </c>
      <c r="E59" s="9">
        <f t="shared" si="0"/>
        <v>682592.00000999996</v>
      </c>
      <c r="F59">
        <f t="shared" si="1"/>
        <v>8.4557695882316501</v>
      </c>
      <c r="G59">
        <f t="shared" si="2"/>
        <v>216.12650779416447</v>
      </c>
      <c r="H59">
        <f t="shared" si="3"/>
        <v>216.54431565532761</v>
      </c>
      <c r="I59">
        <v>10.29548096137276</v>
      </c>
      <c r="J59" s="25">
        <f t="shared" si="4"/>
        <v>236.76862546066613</v>
      </c>
      <c r="K59">
        <f t="shared" si="5"/>
        <v>0.94707450184266451</v>
      </c>
      <c r="M59">
        <v>250</v>
      </c>
      <c r="N59" s="9">
        <v>272735</v>
      </c>
      <c r="O59" s="9">
        <v>1254971</v>
      </c>
      <c r="P59" s="9">
        <v>1552967</v>
      </c>
      <c r="Q59" s="9">
        <f t="shared" si="6"/>
        <v>2807938</v>
      </c>
      <c r="R59">
        <f t="shared" si="7"/>
        <v>10.29548096137276</v>
      </c>
    </row>
    <row r="60" spans="1:20" x14ac:dyDescent="0.2">
      <c r="A60" t="s">
        <v>291</v>
      </c>
      <c r="B60" s="9">
        <v>179113</v>
      </c>
      <c r="C60">
        <v>1.0000000000000001E-5</v>
      </c>
      <c r="D60" s="9">
        <v>122597</v>
      </c>
      <c r="E60" s="9">
        <f t="shared" si="0"/>
        <v>122597.00001</v>
      </c>
      <c r="F60">
        <f t="shared" si="1"/>
        <v>0.68446734748454885</v>
      </c>
      <c r="G60">
        <f t="shared" si="2"/>
        <v>27.530879345319605</v>
      </c>
      <c r="H60">
        <f t="shared" si="3"/>
        <v>33.866896124295309</v>
      </c>
      <c r="I60">
        <v>52.33751096758786</v>
      </c>
      <c r="M60">
        <v>500</v>
      </c>
      <c r="N60" s="9">
        <v>192613</v>
      </c>
      <c r="O60" s="9">
        <v>3703905</v>
      </c>
      <c r="P60" s="9">
        <v>6376980</v>
      </c>
      <c r="Q60" s="9">
        <f t="shared" si="6"/>
        <v>10080885</v>
      </c>
      <c r="R60">
        <f t="shared" si="7"/>
        <v>52.33751096758786</v>
      </c>
    </row>
    <row r="61" spans="1:20" x14ac:dyDescent="0.2">
      <c r="A61" t="s">
        <v>389</v>
      </c>
      <c r="B61" s="9">
        <v>201159</v>
      </c>
      <c r="C61">
        <v>1.0000000000000001E-5</v>
      </c>
      <c r="D61" s="9">
        <v>162789</v>
      </c>
      <c r="E61" s="9">
        <f t="shared" si="0"/>
        <v>162789.00000999999</v>
      </c>
      <c r="F61">
        <f t="shared" si="1"/>
        <v>0.80925536520861596</v>
      </c>
      <c r="G61">
        <f t="shared" si="2"/>
        <v>31.854674601225348</v>
      </c>
      <c r="H61">
        <f t="shared" si="3"/>
        <v>38.903337187299599</v>
      </c>
      <c r="I61">
        <v>119.93733928204074</v>
      </c>
      <c r="M61">
        <v>500</v>
      </c>
      <c r="N61" s="9">
        <v>155552</v>
      </c>
      <c r="O61" s="9">
        <v>5858480</v>
      </c>
      <c r="P61" s="9">
        <v>12798013</v>
      </c>
      <c r="Q61" s="9">
        <f t="shared" si="6"/>
        <v>18656493</v>
      </c>
      <c r="R61">
        <f t="shared" si="7"/>
        <v>119.93733928204074</v>
      </c>
    </row>
    <row r="62" spans="1:20" x14ac:dyDescent="0.2">
      <c r="A62" t="s">
        <v>390</v>
      </c>
      <c r="B62" s="9">
        <v>160356</v>
      </c>
      <c r="C62">
        <v>1.0000000000000001E-5</v>
      </c>
      <c r="D62" s="9">
        <v>181181</v>
      </c>
      <c r="E62" s="9">
        <f t="shared" si="0"/>
        <v>181181.00000999999</v>
      </c>
      <c r="F62">
        <f t="shared" si="1"/>
        <v>1.1298672953303899</v>
      </c>
      <c r="G62">
        <f t="shared" si="2"/>
        <v>42.769730488207038</v>
      </c>
      <c r="H62">
        <f t="shared" si="3"/>
        <v>51.006039410936509</v>
      </c>
    </row>
    <row r="63" spans="1:20" x14ac:dyDescent="0.2">
      <c r="A63" t="s">
        <v>391</v>
      </c>
      <c r="B63" s="9">
        <v>176049</v>
      </c>
      <c r="C63">
        <v>1.0000000000000001E-5</v>
      </c>
      <c r="D63" s="9">
        <v>263516</v>
      </c>
      <c r="E63" s="9">
        <f t="shared" si="0"/>
        <v>263516.00001000002</v>
      </c>
      <c r="F63">
        <f t="shared" si="1"/>
        <v>1.4968332680674132</v>
      </c>
      <c r="G63">
        <f t="shared" si="2"/>
        <v>54.920337624451271</v>
      </c>
      <c r="H63">
        <f t="shared" si="3"/>
        <v>63.674014568225743</v>
      </c>
    </row>
    <row r="64" spans="1:20" x14ac:dyDescent="0.2">
      <c r="A64" t="s">
        <v>172</v>
      </c>
      <c r="B64" s="9">
        <v>925935</v>
      </c>
      <c r="C64" s="9">
        <v>178573</v>
      </c>
      <c r="D64" s="9">
        <v>268292</v>
      </c>
      <c r="E64" s="9">
        <f t="shared" si="0"/>
        <v>446865</v>
      </c>
      <c r="F64">
        <f t="shared" si="1"/>
        <v>0.48260947042718982</v>
      </c>
      <c r="G64">
        <f t="shared" si="2"/>
        <v>20.447166350133735</v>
      </c>
      <c r="H64">
        <f t="shared" si="3"/>
        <v>25.244599446145962</v>
      </c>
    </row>
    <row r="65" spans="1:8" x14ac:dyDescent="0.2">
      <c r="A65" t="s">
        <v>173</v>
      </c>
      <c r="B65" s="9">
        <v>897812</v>
      </c>
      <c r="C65" s="9">
        <v>311798</v>
      </c>
      <c r="D65" s="9">
        <v>589082</v>
      </c>
      <c r="E65" s="9">
        <f t="shared" si="0"/>
        <v>900880</v>
      </c>
      <c r="F65">
        <f t="shared" si="1"/>
        <v>1.0034171964732037</v>
      </c>
      <c r="G65">
        <f t="shared" si="2"/>
        <v>38.498138290173848</v>
      </c>
      <c r="H65">
        <f t="shared" si="3"/>
        <v>46.363445214636677</v>
      </c>
    </row>
    <row r="70" spans="1:8" x14ac:dyDescent="0.2">
      <c r="B70" t="s">
        <v>221</v>
      </c>
    </row>
    <row r="71" spans="1:8" x14ac:dyDescent="0.2">
      <c r="B71" t="s">
        <v>143</v>
      </c>
      <c r="C71">
        <v>1.7500000000000002E-2</v>
      </c>
    </row>
    <row r="72" spans="1:8" x14ac:dyDescent="0.2">
      <c r="B72" t="s">
        <v>144</v>
      </c>
      <c r="C72">
        <f>C71^2</f>
        <v>3.0625000000000004E-4</v>
      </c>
    </row>
    <row r="73" spans="1:8" x14ac:dyDescent="0.2">
      <c r="B73" t="s">
        <v>145</v>
      </c>
      <c r="C73">
        <v>1E-4</v>
      </c>
    </row>
    <row r="74" spans="1:8" x14ac:dyDescent="0.2">
      <c r="B74" t="s">
        <v>146</v>
      </c>
      <c r="C74">
        <v>-2.29E-2</v>
      </c>
    </row>
    <row r="77" spans="1:8" x14ac:dyDescent="0.2">
      <c r="B77" t="s">
        <v>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4957-DDA9-444F-91A2-7A66C5E6E6B9}">
  <dimension ref="A1:H34"/>
  <sheetViews>
    <sheetView workbookViewId="0">
      <selection activeCell="B2" sqref="B2:E25"/>
    </sheetView>
  </sheetViews>
  <sheetFormatPr baseColWidth="10" defaultColWidth="8.83203125" defaultRowHeight="15" x14ac:dyDescent="0.2"/>
  <cols>
    <col min="1" max="1" width="21.1640625" bestFit="1" customWidth="1"/>
    <col min="2" max="2" width="11.5" style="26" customWidth="1"/>
    <col min="3" max="3" width="10.5" customWidth="1"/>
    <col min="4" max="4" width="17.6640625" customWidth="1"/>
    <col min="5" max="5" width="11.5" customWidth="1"/>
    <col min="6" max="6" width="10.5" customWidth="1"/>
    <col min="7" max="7" width="9.6640625" customWidth="1"/>
  </cols>
  <sheetData>
    <row r="1" spans="1:8" ht="32" x14ac:dyDescent="0.2">
      <c r="A1" s="7" t="s">
        <v>367</v>
      </c>
      <c r="B1" s="27" t="s">
        <v>108</v>
      </c>
      <c r="C1" s="7" t="s">
        <v>114</v>
      </c>
      <c r="D1" s="7" t="s">
        <v>115</v>
      </c>
      <c r="E1" s="7" t="s">
        <v>116</v>
      </c>
      <c r="F1" s="15" t="s">
        <v>38</v>
      </c>
      <c r="G1" s="15" t="s">
        <v>4</v>
      </c>
      <c r="H1" s="15" t="s">
        <v>19</v>
      </c>
    </row>
    <row r="2" spans="1:8" x14ac:dyDescent="0.2">
      <c r="A2" t="s">
        <v>382</v>
      </c>
      <c r="B2">
        <v>1.96163</v>
      </c>
      <c r="C2">
        <v>13.03932</v>
      </c>
      <c r="D2">
        <v>1.0580000000000001E-2</v>
      </c>
      <c r="E2">
        <v>1.0000000000000001E-5</v>
      </c>
    </row>
    <row r="3" spans="1:8" x14ac:dyDescent="0.2">
      <c r="A3" t="s">
        <v>296</v>
      </c>
      <c r="B3">
        <v>2.0662699999999998</v>
      </c>
      <c r="C3">
        <v>13.406140000000001</v>
      </c>
      <c r="D3">
        <v>3.1130000000000001E-2</v>
      </c>
      <c r="E3">
        <v>1.0000000000000001E-5</v>
      </c>
    </row>
    <row r="4" spans="1:8" x14ac:dyDescent="0.2">
      <c r="A4" t="s">
        <v>389</v>
      </c>
      <c r="B4">
        <v>1.8737299999999999</v>
      </c>
      <c r="C4">
        <v>12.461270000000001</v>
      </c>
      <c r="D4">
        <v>1.0000000000000001E-5</v>
      </c>
      <c r="E4">
        <v>1.0000000000000001E-5</v>
      </c>
    </row>
    <row r="5" spans="1:8" x14ac:dyDescent="0.2">
      <c r="A5" t="s">
        <v>373</v>
      </c>
      <c r="B5">
        <v>1.9753099999999999</v>
      </c>
      <c r="C5">
        <v>30.057950000000002</v>
      </c>
      <c r="D5">
        <v>1.306E-2</v>
      </c>
      <c r="E5">
        <v>5.9773699999999996</v>
      </c>
    </row>
    <row r="6" spans="1:8" x14ac:dyDescent="0.2">
      <c r="A6" t="s">
        <v>383</v>
      </c>
      <c r="B6">
        <v>-0.77154999999999996</v>
      </c>
      <c r="C6">
        <v>11.503869999999999</v>
      </c>
      <c r="D6">
        <v>1.0000000000000001E-5</v>
      </c>
      <c r="E6">
        <v>56.627220000000001</v>
      </c>
    </row>
    <row r="7" spans="1:8" x14ac:dyDescent="0.2">
      <c r="A7" t="s">
        <v>384</v>
      </c>
      <c r="B7">
        <v>2.7648899999999998</v>
      </c>
      <c r="C7">
        <v>14.122400000000001</v>
      </c>
      <c r="D7">
        <v>1.0000000000000001E-5</v>
      </c>
      <c r="E7">
        <v>36.301450000000003</v>
      </c>
    </row>
    <row r="8" spans="1:8" x14ac:dyDescent="0.2">
      <c r="A8" t="s">
        <v>370</v>
      </c>
      <c r="B8">
        <v>1.8451200000000001</v>
      </c>
      <c r="C8">
        <v>23.48705</v>
      </c>
      <c r="D8">
        <v>1.0000000000000001E-5</v>
      </c>
      <c r="E8">
        <v>4.7927299999999997</v>
      </c>
    </row>
    <row r="9" spans="1:8" x14ac:dyDescent="0.2">
      <c r="A9" t="s">
        <v>374</v>
      </c>
      <c r="B9">
        <v>1.8570500000000001</v>
      </c>
      <c r="C9">
        <v>18.849240000000002</v>
      </c>
      <c r="D9">
        <v>1.0000000000000001E-5</v>
      </c>
      <c r="E9">
        <v>7.9921300000000004</v>
      </c>
    </row>
    <row r="10" spans="1:8" x14ac:dyDescent="0.2">
      <c r="A10" t="s">
        <v>371</v>
      </c>
      <c r="B10">
        <v>1.81877</v>
      </c>
      <c r="C10">
        <v>19.774139999999999</v>
      </c>
      <c r="D10">
        <v>2.9049999999999999E-2</v>
      </c>
      <c r="E10">
        <v>21.871770000000001</v>
      </c>
    </row>
    <row r="11" spans="1:8" x14ac:dyDescent="0.2">
      <c r="A11" t="s">
        <v>390</v>
      </c>
      <c r="B11">
        <v>1.0000000000000001E-5</v>
      </c>
      <c r="C11">
        <v>34.709760000000003</v>
      </c>
      <c r="D11">
        <v>1.0000000000000001E-5</v>
      </c>
      <c r="E11">
        <v>16.971419999999998</v>
      </c>
    </row>
    <row r="12" spans="1:8" x14ac:dyDescent="0.2">
      <c r="A12" t="s">
        <v>385</v>
      </c>
      <c r="B12">
        <v>2.4870899999999998</v>
      </c>
      <c r="C12">
        <v>24.400860000000002</v>
      </c>
      <c r="D12">
        <v>1.0000000000000001E-5</v>
      </c>
      <c r="E12">
        <v>8.3341899999999995</v>
      </c>
    </row>
    <row r="13" spans="1:8" x14ac:dyDescent="0.2">
      <c r="A13" t="s">
        <v>375</v>
      </c>
      <c r="B13">
        <v>1.9087400000000001</v>
      </c>
      <c r="C13">
        <v>22.811520000000002</v>
      </c>
      <c r="D13">
        <v>5.3850000000000002E-2</v>
      </c>
      <c r="E13">
        <v>6.4581499999999998</v>
      </c>
    </row>
    <row r="14" spans="1:8" x14ac:dyDescent="0.2">
      <c r="A14" t="s">
        <v>372</v>
      </c>
      <c r="B14">
        <v>2.2061700000000002</v>
      </c>
      <c r="C14">
        <v>15.35083</v>
      </c>
      <c r="D14">
        <v>1.1950000000000001E-2</v>
      </c>
      <c r="E14">
        <v>5.4229599999999998</v>
      </c>
    </row>
    <row r="15" spans="1:8" x14ac:dyDescent="0.2">
      <c r="A15" t="s">
        <v>376</v>
      </c>
      <c r="B15">
        <v>1.0000000000000001E-5</v>
      </c>
      <c r="C15">
        <v>18.40793</v>
      </c>
      <c r="D15">
        <v>2.4709999999999999E-2</v>
      </c>
      <c r="E15">
        <v>4.5503900000000002</v>
      </c>
    </row>
    <row r="16" spans="1:8" x14ac:dyDescent="0.2">
      <c r="A16" t="s">
        <v>386</v>
      </c>
      <c r="B16">
        <v>1.83731</v>
      </c>
      <c r="C16">
        <v>21.162040000000001</v>
      </c>
      <c r="D16">
        <v>1.7700000000000001E-3</v>
      </c>
      <c r="E16">
        <v>5.0847499999999997</v>
      </c>
    </row>
    <row r="17" spans="1:5" x14ac:dyDescent="0.2">
      <c r="A17" t="s">
        <v>391</v>
      </c>
      <c r="B17">
        <v>1.9409400000000001</v>
      </c>
      <c r="C17">
        <v>15.5061</v>
      </c>
      <c r="D17">
        <v>1.0000000000000001E-5</v>
      </c>
      <c r="E17">
        <v>4.6820899999999996</v>
      </c>
    </row>
    <row r="18" spans="1:5" x14ac:dyDescent="0.2">
      <c r="A18" t="s">
        <v>387</v>
      </c>
      <c r="B18">
        <v>1.9948699999999999</v>
      </c>
      <c r="C18">
        <v>16.503329999999998</v>
      </c>
      <c r="D18">
        <v>1.0000000000000001E-5</v>
      </c>
      <c r="E18">
        <v>7.1625100000000002</v>
      </c>
    </row>
    <row r="19" spans="1:5" x14ac:dyDescent="0.2">
      <c r="A19" t="s">
        <v>377</v>
      </c>
      <c r="B19">
        <v>1.9815499999999999</v>
      </c>
      <c r="C19">
        <v>19.999379999999999</v>
      </c>
      <c r="D19">
        <v>1.0000000000000001E-5</v>
      </c>
      <c r="E19">
        <v>9.3499099999999995</v>
      </c>
    </row>
    <row r="20" spans="1:5" x14ac:dyDescent="0.2">
      <c r="A20" t="s">
        <v>378</v>
      </c>
      <c r="B20">
        <v>2.03241</v>
      </c>
      <c r="C20">
        <v>17.967600000000001</v>
      </c>
      <c r="D20">
        <v>1.0000000000000001E-5</v>
      </c>
      <c r="E20">
        <v>7.7137000000000002</v>
      </c>
    </row>
    <row r="21" spans="1:5" x14ac:dyDescent="0.2">
      <c r="A21" t="s">
        <v>388</v>
      </c>
      <c r="B21">
        <v>2.0212400000000001</v>
      </c>
      <c r="C21">
        <v>34.180250000000001</v>
      </c>
      <c r="D21">
        <v>1.0000000000000001E-5</v>
      </c>
      <c r="E21">
        <v>17.308420000000002</v>
      </c>
    </row>
    <row r="22" spans="1:5" x14ac:dyDescent="0.2">
      <c r="A22" t="s">
        <v>379</v>
      </c>
      <c r="B22">
        <v>2.9912399999999999</v>
      </c>
      <c r="C22">
        <v>24.845120000000001</v>
      </c>
      <c r="D22">
        <v>1.8027299999999999</v>
      </c>
      <c r="E22">
        <v>28.4254</v>
      </c>
    </row>
    <row r="23" spans="1:5" x14ac:dyDescent="0.2">
      <c r="A23" t="s">
        <v>380</v>
      </c>
      <c r="B23">
        <v>1.0000000000000001E-5</v>
      </c>
      <c r="C23">
        <v>15.70551</v>
      </c>
      <c r="D23">
        <v>2.4047100000000001</v>
      </c>
      <c r="E23">
        <v>45.659680000000002</v>
      </c>
    </row>
    <row r="24" spans="1:5" x14ac:dyDescent="0.2">
      <c r="A24" t="s">
        <v>291</v>
      </c>
      <c r="B24">
        <v>1.8907</v>
      </c>
      <c r="C24">
        <v>23.847750000000001</v>
      </c>
      <c r="D24">
        <v>1.0000000000000001E-5</v>
      </c>
      <c r="E24">
        <v>5.7543699999999998</v>
      </c>
    </row>
    <row r="25" spans="1:5" x14ac:dyDescent="0.2">
      <c r="A25" t="s">
        <v>381</v>
      </c>
      <c r="B25">
        <v>4.9076899999999997</v>
      </c>
      <c r="C25">
        <v>31.863980000000002</v>
      </c>
      <c r="D25">
        <v>8.5423799999999996</v>
      </c>
      <c r="E25">
        <v>83.236270000000005</v>
      </c>
    </row>
    <row r="26" spans="1:5" x14ac:dyDescent="0.2">
      <c r="A26" t="s">
        <v>172</v>
      </c>
      <c r="B26" s="26">
        <v>19.446490000000001</v>
      </c>
      <c r="C26">
        <v>18.259910000000001</v>
      </c>
      <c r="D26">
        <v>26.43676</v>
      </c>
      <c r="E26">
        <v>19.254629999999999</v>
      </c>
    </row>
    <row r="27" spans="1:5" x14ac:dyDescent="0.2">
      <c r="A27" t="s">
        <v>173</v>
      </c>
      <c r="B27" s="26">
        <v>16.77938</v>
      </c>
      <c r="C27">
        <v>17.438690000000001</v>
      </c>
      <c r="D27">
        <v>30.111049999999999</v>
      </c>
      <c r="E27">
        <v>28.799530000000001</v>
      </c>
    </row>
    <row r="29" spans="1:5" x14ac:dyDescent="0.2">
      <c r="A29" t="s">
        <v>119</v>
      </c>
    </row>
    <row r="30" spans="1:5" x14ac:dyDescent="0.2">
      <c r="A30" t="s">
        <v>120</v>
      </c>
      <c r="B30" s="26" t="s">
        <v>174</v>
      </c>
      <c r="C30" t="s">
        <v>133</v>
      </c>
      <c r="D30" t="s">
        <v>133</v>
      </c>
      <c r="E30" t="s">
        <v>174</v>
      </c>
    </row>
    <row r="31" spans="1:5" x14ac:dyDescent="0.2">
      <c r="A31" t="s">
        <v>48</v>
      </c>
      <c r="B31" s="26">
        <v>0.99949869999999996</v>
      </c>
      <c r="C31">
        <v>0.99787079999999995</v>
      </c>
      <c r="D31">
        <v>0.99959960000000003</v>
      </c>
      <c r="E31">
        <v>0.99758930000000001</v>
      </c>
    </row>
    <row r="32" spans="1:5" x14ac:dyDescent="0.2">
      <c r="A32" t="s">
        <v>110</v>
      </c>
      <c r="B32" s="26">
        <v>76.600880000000004</v>
      </c>
      <c r="C32">
        <v>25.56664</v>
      </c>
      <c r="D32">
        <v>1.63937</v>
      </c>
      <c r="E32">
        <v>75.055329999999998</v>
      </c>
    </row>
    <row r="33" spans="1:5" x14ac:dyDescent="0.2">
      <c r="A33" t="s">
        <v>125</v>
      </c>
      <c r="B33" s="26">
        <v>0.25</v>
      </c>
      <c r="C33">
        <v>0.25</v>
      </c>
      <c r="D33">
        <v>0.25</v>
      </c>
      <c r="E33">
        <v>2.5</v>
      </c>
    </row>
    <row r="34" spans="1:5" x14ac:dyDescent="0.2">
      <c r="A34" t="s">
        <v>126</v>
      </c>
      <c r="B34" s="26">
        <v>50</v>
      </c>
      <c r="C34">
        <v>100</v>
      </c>
      <c r="D34">
        <v>10</v>
      </c>
      <c r="E34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BF28E-CAA1-4605-A60F-02B1DB8F884F}">
  <ds:schemaRefs>
    <ds:schemaRef ds:uri="http://schemas.openxmlformats.org/package/2006/metadata/core-properties"/>
    <ds:schemaRef ds:uri="312aad96-96f5-469b-aa89-ed1395b471aa"/>
    <ds:schemaRef ds:uri="http://schemas.microsoft.com/office/2006/documentManagement/types"/>
    <ds:schemaRef ds:uri="59bdd577-87e5-408b-82ee-b778416b7e33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A0D563-8BBD-485E-8A9B-23BD56B2A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B802F-6A60-4A91-9AFC-4513EC7B099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LOD</vt:lpstr>
      <vt:lpstr>LOQ</vt:lpstr>
      <vt:lpstr>working-ISTD3</vt:lpstr>
      <vt:lpstr>AUG22-ISTD3</vt:lpstr>
      <vt:lpstr>Aug22-ISTD4</vt:lpstr>
      <vt:lpstr>Aug22-ISTD6</vt:lpstr>
      <vt:lpstr>FEB23-ISTD6</vt:lpstr>
      <vt:lpstr>Feb23-ISTD4</vt:lpstr>
      <vt:lpstr>FEB23-ISTD3</vt:lpstr>
      <vt:lpstr>terpinene</vt:lpstr>
      <vt:lpstr>linalool_high_split</vt:lpstr>
      <vt:lpstr>Linalool_output</vt:lpstr>
      <vt:lpstr>Feb23working-ISTD3</vt:lpstr>
      <vt:lpstr>Matrix effect-ISTD6</vt:lpstr>
      <vt:lpstr>matrix-ISTD4</vt:lpstr>
      <vt:lpstr>matrix-ISTD3</vt:lpstr>
      <vt:lpstr>matrix-workingISTD3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 Lomax</cp:lastModifiedBy>
  <dcterms:created xsi:type="dcterms:W3CDTF">2023-07-20T23:31:59Z</dcterms:created>
  <dcterms:modified xsi:type="dcterms:W3CDTF">2024-01-31T01:35:17Z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