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ORELLANA\Downloads\"/>
    </mc:Choice>
  </mc:AlternateContent>
  <xr:revisionPtr revIDLastSave="0" documentId="13_ncr:1_{12C89241-1260-4A18-BBEC-D60BF36392DD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Datos Personales" sheetId="6" r:id="rId1"/>
    <sheet name="Tema 1 &quot;M. Cualitativo punto&quot;" sheetId="13" r:id="rId2"/>
    <sheet name="Tema 2 &quot;Método de Costos&quot;" sheetId="16" r:id="rId3"/>
    <sheet name="Tema 3 &quot;Centro de Gravedad&quot;" sheetId="15" r:id="rId4"/>
    <sheet name="Conclusión General" sheetId="10" r:id="rId5"/>
  </sheets>
  <definedNames>
    <definedName name="_xlnm.Print_Area" localSheetId="0">'Datos Personales'!$A$1:$K$17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6" l="1"/>
  <c r="C54" i="16" s="1"/>
  <c r="C52" i="16"/>
  <c r="D34" i="16"/>
  <c r="I28" i="16"/>
  <c r="F28" i="16"/>
  <c r="C28" i="16"/>
  <c r="D20" i="16"/>
  <c r="D16" i="16"/>
  <c r="E12" i="16"/>
  <c r="D12" i="16"/>
  <c r="C37" i="16" s="1"/>
  <c r="C12" i="16"/>
  <c r="E11" i="16"/>
  <c r="D41" i="16" s="1"/>
  <c r="D11" i="16"/>
  <c r="C40" i="16" s="1"/>
  <c r="C11" i="16"/>
  <c r="B39" i="16" s="1"/>
  <c r="C33" i="16" l="1"/>
  <c r="B16" i="16"/>
  <c r="C17" i="16"/>
  <c r="D18" i="16"/>
  <c r="B20" i="16"/>
  <c r="C21" i="16"/>
  <c r="B34" i="16"/>
  <c r="C35" i="16"/>
  <c r="D36" i="16"/>
  <c r="B38" i="16"/>
  <c r="C39" i="16"/>
  <c r="D40" i="16"/>
  <c r="B42" i="16"/>
  <c r="C16" i="16"/>
  <c r="D17" i="16"/>
  <c r="B19" i="16"/>
  <c r="C20" i="16"/>
  <c r="D21" i="16"/>
  <c r="B33" i="16"/>
  <c r="C34" i="16"/>
  <c r="D35" i="16"/>
  <c r="B37" i="16"/>
  <c r="C38" i="16"/>
  <c r="D39" i="16"/>
  <c r="B41" i="16"/>
  <c r="C42" i="16"/>
  <c r="B40" i="16"/>
  <c r="C41" i="16"/>
  <c r="D42" i="16"/>
  <c r="B18" i="16"/>
  <c r="C19" i="16"/>
  <c r="B36" i="16"/>
  <c r="D38" i="16"/>
  <c r="B17" i="16"/>
  <c r="C18" i="16"/>
  <c r="D19" i="16"/>
  <c r="B21" i="16"/>
  <c r="D33" i="16"/>
  <c r="B35" i="16"/>
  <c r="C36" i="16"/>
  <c r="D37" i="16"/>
  <c r="B44" i="16" l="1"/>
  <c r="J12" i="15"/>
  <c r="N12" i="15"/>
  <c r="M12" i="15"/>
  <c r="L10" i="15"/>
  <c r="L66" i="15"/>
  <c r="L65" i="15"/>
  <c r="K66" i="15"/>
  <c r="K65" i="15"/>
  <c r="J66" i="15"/>
  <c r="J65" i="15"/>
  <c r="J52" i="15"/>
  <c r="J51" i="15"/>
  <c r="L43" i="15"/>
  <c r="K43" i="15"/>
  <c r="K46" i="15"/>
  <c r="K45" i="15"/>
  <c r="K44" i="15"/>
  <c r="L67" i="15"/>
  <c r="M6" i="15"/>
  <c r="J54" i="15"/>
  <c r="J53" i="15"/>
  <c r="L47" i="15"/>
  <c r="C20" i="15"/>
  <c r="C19" i="15"/>
  <c r="D14" i="15"/>
  <c r="C14" i="15"/>
  <c r="G5" i="15"/>
  <c r="F5" i="15"/>
  <c r="F9" i="15"/>
  <c r="F8" i="15"/>
  <c r="F7" i="15"/>
  <c r="F6" i="15"/>
  <c r="K68" i="15"/>
  <c r="L68" i="15" s="1"/>
  <c r="K67" i="15"/>
  <c r="C51" i="15"/>
  <c r="F51" i="15" s="1"/>
  <c r="C50" i="15"/>
  <c r="G50" i="15" s="1"/>
  <c r="G49" i="15"/>
  <c r="F49" i="15"/>
  <c r="C49" i="15"/>
  <c r="C48" i="15"/>
  <c r="G48" i="15" s="1"/>
  <c r="C36" i="15"/>
  <c r="G36" i="15" s="1"/>
  <c r="C35" i="15"/>
  <c r="F35" i="15" s="1"/>
  <c r="C34" i="15"/>
  <c r="G34" i="15" s="1"/>
  <c r="G33" i="15"/>
  <c r="F33" i="15"/>
  <c r="C33" i="15"/>
  <c r="C22" i="15"/>
  <c r="G22" i="15" s="1"/>
  <c r="C21" i="15"/>
  <c r="F21" i="15" s="1"/>
  <c r="G20" i="15"/>
  <c r="G19" i="15"/>
  <c r="F19" i="15"/>
  <c r="J9" i="15"/>
  <c r="J8" i="15"/>
  <c r="C8" i="15"/>
  <c r="J7" i="15"/>
  <c r="C7" i="15"/>
  <c r="J6" i="15"/>
  <c r="C6" i="15"/>
  <c r="C5" i="15"/>
  <c r="K10" i="15" l="1"/>
  <c r="L69" i="15"/>
  <c r="F48" i="15"/>
  <c r="F36" i="15"/>
  <c r="F22" i="15"/>
  <c r="F23" i="15"/>
  <c r="C28" i="15" s="1"/>
  <c r="K7" i="15" s="1"/>
  <c r="K6" i="15"/>
  <c r="G6" i="15"/>
  <c r="G7" i="15"/>
  <c r="G8" i="15"/>
  <c r="F20" i="15"/>
  <c r="G21" i="15"/>
  <c r="G23" i="15" s="1"/>
  <c r="D28" i="15" s="1"/>
  <c r="L7" i="15" s="1"/>
  <c r="N7" i="15" s="1"/>
  <c r="F34" i="15"/>
  <c r="F37" i="15" s="1"/>
  <c r="C42" i="15" s="1"/>
  <c r="K8" i="15" s="1"/>
  <c r="G35" i="15"/>
  <c r="G37" i="15" s="1"/>
  <c r="D42" i="15" s="1"/>
  <c r="L8" i="15" s="1"/>
  <c r="N8" i="15" s="1"/>
  <c r="F50" i="15"/>
  <c r="F52" i="15" s="1"/>
  <c r="C57" i="15" s="1"/>
  <c r="K9" i="15" s="1"/>
  <c r="G51" i="15"/>
  <c r="G52" i="15" s="1"/>
  <c r="D57" i="15" s="1"/>
  <c r="L9" i="15" s="1"/>
  <c r="N9" i="15" s="1"/>
  <c r="G9" i="15" l="1"/>
  <c r="L6" i="15" s="1"/>
  <c r="N6" i="15" s="1"/>
  <c r="M8" i="15"/>
  <c r="M9" i="15"/>
  <c r="M7" i="15"/>
  <c r="L46" i="15" l="1"/>
  <c r="L44" i="15"/>
  <c r="L45" i="15" l="1"/>
  <c r="I18" i="13" l="1"/>
  <c r="G18" i="13"/>
  <c r="E18" i="13"/>
  <c r="I17" i="13"/>
  <c r="G17" i="13"/>
  <c r="E17" i="13"/>
  <c r="I16" i="13"/>
  <c r="G16" i="13"/>
  <c r="E16" i="13"/>
  <c r="I15" i="13"/>
  <c r="G15" i="13"/>
  <c r="E15" i="13"/>
  <c r="I14" i="13"/>
  <c r="G14" i="13"/>
  <c r="E14" i="13"/>
  <c r="I19" i="13" l="1"/>
  <c r="E19" i="13"/>
  <c r="G19" i="13"/>
</calcChain>
</file>

<file path=xl/sharedStrings.xml><?xml version="1.0" encoding="utf-8"?>
<sst xmlns="http://schemas.openxmlformats.org/spreadsheetml/2006/main" count="192" uniqueCount="112">
  <si>
    <t>PESO</t>
  </si>
  <si>
    <t>Cercanía mercado</t>
  </si>
  <si>
    <t>Clima</t>
  </si>
  <si>
    <t>Alta Verapaz</t>
  </si>
  <si>
    <t>Ponderacion A</t>
  </si>
  <si>
    <t>Quetzaltenango</t>
  </si>
  <si>
    <t>Ponderacion B</t>
  </si>
  <si>
    <t>Escuintla</t>
  </si>
  <si>
    <t>Jutiapa</t>
  </si>
  <si>
    <t>SUMA</t>
  </si>
  <si>
    <t>Materia prima disponible</t>
  </si>
  <si>
    <t>Costo insumos</t>
  </si>
  <si>
    <t>Mano de obra disponible</t>
  </si>
  <si>
    <t>Porvenir</t>
  </si>
  <si>
    <t>Mixco</t>
  </si>
  <si>
    <t>Pinares</t>
  </si>
  <si>
    <t>Ponderacion C</t>
  </si>
  <si>
    <r>
      <rPr>
        <b/>
        <sz val="11"/>
        <color theme="1"/>
        <rFont val="Calibri"/>
        <family val="2"/>
        <scheme val="minor"/>
      </rPr>
      <t>Conclusión: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Selección de la mejor localización.</t>
    </r>
    <r>
      <rPr>
        <sz val="11"/>
        <color theme="1"/>
        <rFont val="Calibri"/>
        <family val="2"/>
        <scheme val="minor"/>
      </rPr>
      <t xml:space="preserve">
La ciudad con la puntuación más alta es Pinares, con una puntuación de 90.1. Por lo tanto, la mejor localización para la nueva instalación de la industria de producción de naranjas y distribución en Guatemala sería Pinares.</t>
    </r>
  </si>
  <si>
    <t>° Pinares obtiene la puntuación más alta debido a su alta calificación en los factores de materia prima disponible, cercanía al mercado y costo de insumos.</t>
  </si>
  <si>
    <t>° Aunque Mixco también tiene una puntuación alta, Pinares supera ligeramente en el cómputo total, lo que la convierte en la mejor elección.</t>
  </si>
  <si>
    <t>° Porvenir tiene la puntuación más baja debido a su calificación más baja en materia prima disponible y costo de insumos.</t>
  </si>
  <si>
    <t xml:space="preserve">Conclusión 2. </t>
  </si>
  <si>
    <t>Alquiler</t>
  </si>
  <si>
    <t>Sueldos</t>
  </si>
  <si>
    <t>Ingresos</t>
  </si>
  <si>
    <t>Costos Totales de Pinares</t>
  </si>
  <si>
    <t>Ganancias</t>
  </si>
  <si>
    <t>ALTA VERAPAZ</t>
  </si>
  <si>
    <t>CENTRO DE GRAVEDAD</t>
  </si>
  <si>
    <t>Municipio</t>
  </si>
  <si>
    <t>Demanda /mes</t>
  </si>
  <si>
    <t>x</t>
  </si>
  <si>
    <t>y</t>
  </si>
  <si>
    <t xml:space="preserve">Xi vi </t>
  </si>
  <si>
    <t>Yivi</t>
  </si>
  <si>
    <t>Cobán</t>
  </si>
  <si>
    <t>DEPARTAMENTO</t>
  </si>
  <si>
    <t>Santa Cruz</t>
  </si>
  <si>
    <t>San Cristóbal</t>
  </si>
  <si>
    <t>QUETZALTENANGO</t>
  </si>
  <si>
    <t>Panzós</t>
  </si>
  <si>
    <t>ESCUINTLA</t>
  </si>
  <si>
    <t xml:space="preserve">Total </t>
  </si>
  <si>
    <t>JUTIAPA</t>
  </si>
  <si>
    <t xml:space="preserve">Centro de gravedad </t>
  </si>
  <si>
    <t>TOTAL</t>
  </si>
  <si>
    <t>Xela</t>
  </si>
  <si>
    <t>Almolonga</t>
  </si>
  <si>
    <t>El Edén</t>
  </si>
  <si>
    <t>Palín</t>
  </si>
  <si>
    <t>San José</t>
  </si>
  <si>
    <t>Santa Lucía</t>
  </si>
  <si>
    <t>Tiquizate</t>
  </si>
  <si>
    <t xml:space="preserve">Distancias </t>
  </si>
  <si>
    <t>KM</t>
  </si>
  <si>
    <t>COSTO</t>
  </si>
  <si>
    <t>Costo con una planta</t>
  </si>
  <si>
    <t>Asunción Mita</t>
  </si>
  <si>
    <t>El Progreso</t>
  </si>
  <si>
    <t>Identificar las menores distancias para definicr los dos Centros de Gravedad</t>
  </si>
  <si>
    <t>Jalpatagua</t>
  </si>
  <si>
    <t>DISTANCIA</t>
  </si>
  <si>
    <t>Q/km</t>
  </si>
  <si>
    <t>ESCUINTLA A QUETZALTENANGO</t>
  </si>
  <si>
    <t>ALTAVERAPAZ A JUTIAPA</t>
  </si>
  <si>
    <t xml:space="preserve">ESCUINTLA  </t>
  </si>
  <si>
    <t>Costo con dos plantas</t>
  </si>
  <si>
    <t>Cabricán</t>
  </si>
  <si>
    <t>Moyura</t>
  </si>
  <si>
    <t>Escuinta</t>
  </si>
  <si>
    <t xml:space="preserve">QUETZALTENANGO </t>
  </si>
  <si>
    <t xml:space="preserve">JUTIAPA </t>
  </si>
  <si>
    <r>
      <t xml:space="preserve">El departamento que incurre en el menor costo de transporte desde la planta productora hasta las distribuidoras es </t>
    </r>
    <r>
      <rPr>
        <b/>
        <sz val="13"/>
        <color theme="1"/>
        <rFont val="Arial"/>
        <family val="2"/>
      </rPr>
      <t>Alta Verapaz</t>
    </r>
    <r>
      <rPr>
        <sz val="13"/>
        <color theme="1"/>
        <rFont val="Arial"/>
        <family val="2"/>
      </rPr>
      <t>, ya que tiene el costo de transporte más bajo desde cualquiera de las ubicaciones de la planta.</t>
    </r>
  </si>
  <si>
    <t>Escuintal</t>
  </si>
  <si>
    <t>Conclusión General</t>
  </si>
  <si>
    <t>La elección de la ubicación adecuada para una industria es una decisión crítica que afecta tanto a los costos como a la eficiencia de la operación. Los métodos cualitativos por puntos y el centro de gravedad son herramientas útiles para evaluar las ubicaciones óptimas, teniendo en cuenta factores cualitativos y cuantitativos.</t>
  </si>
  <si>
    <t>Los costos son un factor fundamental en la decisión de ubicación. En el segundo problema, se demostró cómo calcular los costos totales y cómo determinar la ubicación óptima para minimizar estos costos. La elección de la ubicación puede tener un impacto significativo en la rentabilidad de una industria.</t>
  </si>
  <si>
    <t>La toma de decisiones de ubicación no se basa solo en los costos de transporte, sino también en otros factores como la disponibilidad de recursos, regulaciones gubernamentales, mano de obra disponible y otros elementos cualitativos. Es importante considerar todos estos factores en conjunto.</t>
  </si>
  <si>
    <t>La elección de la ubicación óptima no es una decisión estática. Puede cambiar con el tiempo debido a cambios en los costos, la demanda del mercado y otros factores. Por lo tanto, es importante realizar análisis periódicos y ajustar la ubicación si es necesario.</t>
  </si>
  <si>
    <t>En la maximización de beneficios el objetivo principal al elegir una ubicación es maximizar los beneficios de la industria. Esto puede lograrse al minimizar los costos y optimizar la eficiencia de la cadena de suministro y distribución.</t>
  </si>
  <si>
    <t>Q18</t>
  </si>
  <si>
    <t>Servicios Básicos</t>
  </si>
  <si>
    <t>Gastos de Oficina</t>
  </si>
  <si>
    <t>Materia Prima</t>
  </si>
  <si>
    <t>Variables</t>
  </si>
  <si>
    <t xml:space="preserve">Insumos </t>
  </si>
  <si>
    <t>Mano de Obra</t>
  </si>
  <si>
    <t>A)</t>
  </si>
  <si>
    <t>Costos fijos</t>
  </si>
  <si>
    <t>Y= 23500 + 31x</t>
  </si>
  <si>
    <t>Y= 20200 + 32x</t>
  </si>
  <si>
    <t>Y=25000+ 28x</t>
  </si>
  <si>
    <t xml:space="preserve">23500 + 31x  =     20200 + 32x </t>
  </si>
  <si>
    <t>23500 + 31x  = 25000 + 28x</t>
  </si>
  <si>
    <t>20200 + 32x = 25000 + 28x</t>
  </si>
  <si>
    <t>31x - 32x = 20200 - 23500</t>
  </si>
  <si>
    <t>31x - 28x = 25000-23500</t>
  </si>
  <si>
    <t>32x -28x = 25000-20200</t>
  </si>
  <si>
    <t>X=</t>
  </si>
  <si>
    <t>x=</t>
  </si>
  <si>
    <t>Porvenir = Mixco</t>
  </si>
  <si>
    <t>Porvenir = Pinares</t>
  </si>
  <si>
    <t>Mixco = Pinares</t>
  </si>
  <si>
    <t>C)</t>
  </si>
  <si>
    <t xml:space="preserve">B) </t>
  </si>
  <si>
    <t>Costos Iguales</t>
  </si>
  <si>
    <t>D)</t>
  </si>
  <si>
    <t>Las ganancias que se podrán obtener para el nivel de producción de 164,240 unidades de naranjas en la ciudad de Pinares son Q. 1,666,280.00</t>
  </si>
  <si>
    <t>La ciudad más conveniente para la producción de 164200 naranjas es Pinares con un costo de Q. 4,622,600.00</t>
  </si>
  <si>
    <t>Costos Fijos (Q.)</t>
  </si>
  <si>
    <t>Costos Variables (Q. /unidad)</t>
  </si>
  <si>
    <t>PLANTILLA DE LOCALIZACIÓN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</si>
</sst>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164" formatCode="_-[$Q-100A]* #,##0.00_-;\-[$Q-100A]* #,##0.00_-;_-[$Q-100A]* &quot;-&quot;??_-;_-@_-"/>
    <numFmt numFmtId="165" formatCode="0.0000"/>
    <numFmt numFmtId="166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name val="Segoe U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2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36"/>
      <color theme="1"/>
      <name val="Arial Black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0" borderId="5" xfId="0" applyFont="1" applyBorder="1"/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9" fontId="6" fillId="4" borderId="6" xfId="0" applyNumberFormat="1" applyFont="1" applyFill="1" applyBorder="1" applyAlignment="1">
      <alignment horizontal="center" vertical="center"/>
    </xf>
    <xf numFmtId="9" fontId="6" fillId="4" borderId="8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5" borderId="13" xfId="0" applyFill="1" applyBorder="1" applyAlignment="1">
      <alignment horizontal="left" vertical="center" wrapText="1"/>
    </xf>
    <xf numFmtId="0" fontId="1" fillId="4" borderId="14" xfId="0" applyFont="1" applyFill="1" applyBorder="1"/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9" fillId="0" borderId="17" xfId="0" applyFont="1" applyBorder="1" applyAlignment="1">
      <alignment horizontal="left" vertical="center" inden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/>
    <xf numFmtId="0" fontId="0" fillId="4" borderId="18" xfId="0" applyFill="1" applyBorder="1"/>
    <xf numFmtId="0" fontId="10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44" fontId="0" fillId="0" borderId="8" xfId="0" applyNumberFormat="1" applyBorder="1"/>
    <xf numFmtId="1" fontId="0" fillId="0" borderId="8" xfId="0" applyNumberFormat="1" applyBorder="1"/>
    <xf numFmtId="0" fontId="0" fillId="0" borderId="8" xfId="0" applyBorder="1" applyAlignment="1">
      <alignment wrapText="1"/>
    </xf>
    <xf numFmtId="2" fontId="0" fillId="0" borderId="8" xfId="0" applyNumberFormat="1" applyBorder="1"/>
    <xf numFmtId="165" fontId="0" fillId="0" borderId="8" xfId="0" applyNumberFormat="1" applyBorder="1"/>
    <xf numFmtId="164" fontId="0" fillId="0" borderId="8" xfId="2" applyNumberFormat="1" applyFont="1" applyBorder="1"/>
    <xf numFmtId="2" fontId="0" fillId="0" borderId="8" xfId="2" applyNumberFormat="1" applyFont="1" applyFill="1" applyBorder="1"/>
    <xf numFmtId="0" fontId="0" fillId="0" borderId="26" xfId="0" applyBorder="1"/>
    <xf numFmtId="0" fontId="0" fillId="4" borderId="8" xfId="0" applyFill="1" applyBorder="1"/>
    <xf numFmtId="1" fontId="0" fillId="4" borderId="8" xfId="0" applyNumberFormat="1" applyFill="1" applyBorder="1"/>
    <xf numFmtId="1" fontId="0" fillId="4" borderId="0" xfId="0" applyNumberFormat="1" applyFill="1"/>
    <xf numFmtId="164" fontId="1" fillId="4" borderId="8" xfId="2" applyNumberFormat="1" applyFont="1" applyFill="1" applyBorder="1"/>
    <xf numFmtId="164" fontId="1" fillId="4" borderId="8" xfId="0" applyNumberFormat="1" applyFont="1" applyFill="1" applyBorder="1" applyAlignment="1">
      <alignment horizontal="center"/>
    </xf>
    <xf numFmtId="164" fontId="0" fillId="13" borderId="8" xfId="0" applyNumberFormat="1" applyFill="1" applyBorder="1"/>
    <xf numFmtId="2" fontId="1" fillId="13" borderId="8" xfId="2" applyNumberFormat="1" applyFont="1" applyFill="1" applyBorder="1"/>
    <xf numFmtId="0" fontId="0" fillId="0" borderId="13" xfId="0" applyBorder="1" applyAlignment="1">
      <alignment horizontal="center"/>
    </xf>
    <xf numFmtId="0" fontId="1" fillId="14" borderId="8" xfId="0" applyFont="1" applyFill="1" applyBorder="1"/>
    <xf numFmtId="1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15" borderId="0" xfId="0" applyFill="1"/>
    <xf numFmtId="0" fontId="1" fillId="0" borderId="0" xfId="0" applyFont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0" borderId="7" xfId="0" applyBorder="1"/>
    <xf numFmtId="0" fontId="0" fillId="4" borderId="9" xfId="0" applyFill="1" applyBorder="1"/>
    <xf numFmtId="0" fontId="0" fillId="0" borderId="21" xfId="0" applyBorder="1"/>
    <xf numFmtId="0" fontId="0" fillId="18" borderId="0" xfId="0" applyFill="1"/>
    <xf numFmtId="0" fontId="1" fillId="18" borderId="0" xfId="0" applyFont="1" applyFill="1"/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2" fillId="4" borderId="0" xfId="0" applyFont="1" applyFill="1"/>
    <xf numFmtId="44" fontId="1" fillId="21" borderId="23" xfId="1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1" borderId="23" xfId="0" applyFont="1" applyFill="1" applyBorder="1"/>
    <xf numFmtId="0" fontId="17" fillId="21" borderId="25" xfId="0" applyFont="1" applyFill="1" applyBorder="1" applyAlignment="1">
      <alignment horizontal="center"/>
    </xf>
    <xf numFmtId="0" fontId="17" fillId="21" borderId="25" xfId="0" applyFont="1" applyFill="1" applyBorder="1" applyAlignment="1">
      <alignment horizontal="left"/>
    </xf>
    <xf numFmtId="0" fontId="1" fillId="21" borderId="24" xfId="0" applyFont="1" applyFill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19" borderId="11" xfId="1" applyFont="1" applyFill="1" applyBorder="1" applyAlignment="1">
      <alignment horizontal="center"/>
    </xf>
    <xf numFmtId="44" fontId="0" fillId="19" borderId="12" xfId="1" applyFont="1" applyFill="1" applyBorder="1" applyAlignment="1">
      <alignment horizontal="center"/>
    </xf>
    <xf numFmtId="44" fontId="0" fillId="19" borderId="33" xfId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44" fontId="0" fillId="19" borderId="34" xfId="1" applyFont="1" applyFill="1" applyBorder="1" applyAlignment="1">
      <alignment horizontal="center"/>
    </xf>
    <xf numFmtId="44" fontId="0" fillId="19" borderId="6" xfId="1" applyFont="1" applyFill="1" applyBorder="1" applyAlignment="1">
      <alignment horizontal="center"/>
    </xf>
    <xf numFmtId="44" fontId="0" fillId="19" borderId="35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7" borderId="40" xfId="0" applyFill="1" applyBorder="1"/>
    <xf numFmtId="0" fontId="0" fillId="17" borderId="22" xfId="0" applyFill="1" applyBorder="1"/>
    <xf numFmtId="0" fontId="0" fillId="4" borderId="4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44" fontId="0" fillId="0" borderId="32" xfId="1" applyFont="1" applyBorder="1"/>
    <xf numFmtId="44" fontId="0" fillId="0" borderId="9" xfId="0" applyNumberFormat="1" applyBorder="1"/>
    <xf numFmtId="0" fontId="12" fillId="0" borderId="10" xfId="0" applyFont="1" applyBorder="1"/>
    <xf numFmtId="44" fontId="12" fillId="20" borderId="12" xfId="0" applyNumberFormat="1" applyFont="1" applyFill="1" applyBorder="1"/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3" fillId="20" borderId="14" xfId="0" applyFont="1" applyFill="1" applyBorder="1" applyAlignment="1">
      <alignment horizontal="center" vertical="center" wrapText="1"/>
    </xf>
    <xf numFmtId="0" fontId="13" fillId="20" borderId="15" xfId="0" applyFont="1" applyFill="1" applyBorder="1" applyAlignment="1">
      <alignment horizontal="center" vertical="center" wrapText="1"/>
    </xf>
    <xf numFmtId="0" fontId="13" fillId="20" borderId="16" xfId="0" applyFont="1" applyFill="1" applyBorder="1" applyAlignment="1">
      <alignment horizontal="center" vertical="center" wrapText="1"/>
    </xf>
    <xf numFmtId="0" fontId="13" fillId="20" borderId="17" xfId="0" applyFont="1" applyFill="1" applyBorder="1" applyAlignment="1">
      <alignment horizontal="center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13" fillId="20" borderId="20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1" fillId="16" borderId="14" xfId="0" applyFont="1" applyFill="1" applyBorder="1" applyAlignment="1">
      <alignment horizontal="center" vertical="center" wrapText="1"/>
    </xf>
    <xf numFmtId="0" fontId="11" fillId="16" borderId="15" xfId="0" applyFont="1" applyFill="1" applyBorder="1" applyAlignment="1">
      <alignment horizontal="center" vertical="center" wrapText="1"/>
    </xf>
    <xf numFmtId="0" fontId="11" fillId="16" borderId="16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6" borderId="0" xfId="0" applyFont="1" applyFill="1" applyAlignment="1">
      <alignment horizontal="center" vertical="center" wrapText="1"/>
    </xf>
    <xf numFmtId="0" fontId="11" fillId="16" borderId="18" xfId="0" applyFont="1" applyFill="1" applyBorder="1" applyAlignment="1">
      <alignment horizontal="center" vertical="center" wrapText="1"/>
    </xf>
    <xf numFmtId="0" fontId="11" fillId="16" borderId="19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6" borderId="20" xfId="0" applyFont="1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43" xfId="0" applyFill="1" applyBorder="1" applyAlignment="1">
      <alignment horizontal="center"/>
    </xf>
  </cellXfs>
  <cellStyles count="3">
    <cellStyle name="Moneda" xfId="1" builtinId="4"/>
    <cellStyle name="Moneda 2" xfId="2" xr:uid="{F3F99D23-3C2F-4976-9D50-26E96D976D90}"/>
    <cellStyle name="Normal" xfId="0" builtinId="0"/>
  </cellStyles>
  <dxfs count="0"/>
  <tableStyles count="0" defaultTableStyle="TableStyleMedium2" defaultPivotStyle="PivotStyleLight16"/>
  <colors>
    <mruColors>
      <color rgb="FFFF7C80"/>
      <color rgb="FFF085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'Tema 2 "Método de Costos"'!$B$32</c:f>
              <c:strCache>
                <c:ptCount val="1"/>
                <c:pt idx="0">
                  <c:v>Porvenir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'Tema 2 "Método de Costos"'!$A$33:$A$41</c:f>
              <c:numCache>
                <c:formatCode>General</c:formatCode>
                <c:ptCount val="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3300</c:v>
                </c:pt>
              </c:numCache>
            </c:numRef>
          </c:xVal>
          <c:yVal>
            <c:numRef>
              <c:f>'Tema 2 "Método de Costos"'!$B$33:$B$41</c:f>
              <c:numCache>
                <c:formatCode>General</c:formatCode>
                <c:ptCount val="9"/>
                <c:pt idx="0">
                  <c:v>39000</c:v>
                </c:pt>
                <c:pt idx="1">
                  <c:v>46750</c:v>
                </c:pt>
                <c:pt idx="2">
                  <c:v>54500</c:v>
                </c:pt>
                <c:pt idx="3">
                  <c:v>60700</c:v>
                </c:pt>
                <c:pt idx="4">
                  <c:v>70000</c:v>
                </c:pt>
                <c:pt idx="5">
                  <c:v>85500</c:v>
                </c:pt>
                <c:pt idx="6">
                  <c:v>101000</c:v>
                </c:pt>
                <c:pt idx="7">
                  <c:v>116500</c:v>
                </c:pt>
                <c:pt idx="8">
                  <c:v>125800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9-4B9B-B9CB-A804437FFBD0}"/>
            </c:ext>
          </c:extLst>
        </c:ser>
        <c:ser>
          <c:idx val="1"/>
          <c:order val="1"/>
          <c:tx>
            <c:strRef>
              <c:f>'Tema 2 "Método de Costos"'!$C$32</c:f>
              <c:strCache>
                <c:ptCount val="1"/>
                <c:pt idx="0">
                  <c:v>Mixco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'Tema 2 "Método de Costos"'!$A$33:$A$41</c:f>
              <c:numCache>
                <c:formatCode>General</c:formatCode>
                <c:ptCount val="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3300</c:v>
                </c:pt>
              </c:numCache>
            </c:numRef>
          </c:xVal>
          <c:yVal>
            <c:numRef>
              <c:f>'Tema 2 "Método de Costos"'!$C$33:$C$41</c:f>
              <c:numCache>
                <c:formatCode>General</c:formatCode>
                <c:ptCount val="9"/>
                <c:pt idx="0">
                  <c:v>37200</c:v>
                </c:pt>
                <c:pt idx="1">
                  <c:v>45700</c:v>
                </c:pt>
                <c:pt idx="2">
                  <c:v>54200</c:v>
                </c:pt>
                <c:pt idx="3">
                  <c:v>61000</c:v>
                </c:pt>
                <c:pt idx="4">
                  <c:v>71200</c:v>
                </c:pt>
                <c:pt idx="5">
                  <c:v>88200</c:v>
                </c:pt>
                <c:pt idx="6">
                  <c:v>105200</c:v>
                </c:pt>
                <c:pt idx="7">
                  <c:v>122200</c:v>
                </c:pt>
                <c:pt idx="8">
                  <c:v>132400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A9-4B9B-B9CB-A804437FFBD0}"/>
            </c:ext>
          </c:extLst>
        </c:ser>
        <c:ser>
          <c:idx val="2"/>
          <c:order val="2"/>
          <c:tx>
            <c:strRef>
              <c:f>'Tema 2 "Método de Costos"'!$D$32</c:f>
              <c:strCache>
                <c:ptCount val="1"/>
                <c:pt idx="0">
                  <c:v>Pinares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'Tema 2 "Método de Costos"'!$A$33:$A$41</c:f>
              <c:numCache>
                <c:formatCode>General</c:formatCode>
                <c:ptCount val="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3300</c:v>
                </c:pt>
              </c:numCache>
            </c:numRef>
          </c:xVal>
          <c:yVal>
            <c:numRef>
              <c:f>'Tema 2 "Método de Costos"'!$D$33:$D$41</c:f>
              <c:numCache>
                <c:formatCode>General</c:formatCode>
                <c:ptCount val="9"/>
                <c:pt idx="0">
                  <c:v>39000</c:v>
                </c:pt>
                <c:pt idx="1">
                  <c:v>46000</c:v>
                </c:pt>
                <c:pt idx="2">
                  <c:v>53000</c:v>
                </c:pt>
                <c:pt idx="3">
                  <c:v>58600</c:v>
                </c:pt>
                <c:pt idx="4">
                  <c:v>67000</c:v>
                </c:pt>
                <c:pt idx="5">
                  <c:v>81000</c:v>
                </c:pt>
                <c:pt idx="6">
                  <c:v>95000</c:v>
                </c:pt>
                <c:pt idx="7">
                  <c:v>109000</c:v>
                </c:pt>
                <c:pt idx="8">
                  <c:v>117400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9-4B9B-B9CB-A804437F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42248"/>
        <c:axId val="335539952"/>
      </c:scatterChart>
      <c:valAx>
        <c:axId val="3355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5539952"/>
        <c:crosses val="autoZero"/>
        <c:crossBetween val="midCat"/>
      </c:valAx>
      <c:valAx>
        <c:axId val="3355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3554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CENTRO</a:t>
            </a:r>
            <a:r>
              <a:rPr lang="es-GT" baseline="0"/>
              <a:t> DE GRAVEDAD </a:t>
            </a:r>
          </a:p>
        </c:rich>
      </c:tx>
      <c:layout>
        <c:manualLayout>
          <c:xMode val="edge"/>
          <c:yMode val="edge"/>
          <c:x val="0.28831365884611126"/>
          <c:y val="1.64175699023283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'Tema 3 "Centro de Gravedad"'!$I$7</c:f>
              <c:strCache>
                <c:ptCount val="1"/>
                <c:pt idx="0">
                  <c:v>QUETZALTENANGO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'Tema 3 "Centro de Gravedad"'!$K$7</c:f>
              <c:numCache>
                <c:formatCode>General</c:formatCode>
                <c:ptCount val="1"/>
                <c:pt idx="0">
                  <c:v>-148.24</c:v>
                </c:pt>
              </c:numCache>
            </c:numRef>
          </c:xVal>
          <c:yVal>
            <c:numRef>
              <c:f>'Tema 3 "Centro de Gravedad"'!$L$7</c:f>
              <c:numCache>
                <c:formatCode>General</c:formatCode>
                <c:ptCount val="1"/>
                <c:pt idx="0">
                  <c:v>25.32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F-4886-BD77-BFC24ACD73F7}"/>
            </c:ext>
          </c:extLst>
        </c:ser>
        <c:ser>
          <c:idx val="1"/>
          <c:order val="1"/>
          <c:tx>
            <c:strRef>
              <c:f>'Tema 3 "Centro de Gravedad"'!$I$8</c:f>
              <c:strCache>
                <c:ptCount val="1"/>
                <c:pt idx="0">
                  <c:v>ESCUINTLA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'Tema 3 "Centro de Gravedad"'!$K$8</c:f>
              <c:numCache>
                <c:formatCode>General</c:formatCode>
                <c:ptCount val="1"/>
                <c:pt idx="0">
                  <c:v>6.3599999999999994</c:v>
                </c:pt>
              </c:numCache>
            </c:numRef>
          </c:xVal>
          <c:yVal>
            <c:numRef>
              <c:f>'Tema 3 "Centro de Gravedad"'!$L$8</c:f>
              <c:numCache>
                <c:formatCode>General</c:formatCode>
                <c:ptCount val="1"/>
                <c:pt idx="0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F-4886-BD77-BFC24ACD73F7}"/>
            </c:ext>
          </c:extLst>
        </c:ser>
        <c:ser>
          <c:idx val="2"/>
          <c:order val="2"/>
          <c:tx>
            <c:strRef>
              <c:f>'Tema 3 "Centro de Gravedad"'!$I$9</c:f>
              <c:strCache>
                <c:ptCount val="1"/>
                <c:pt idx="0">
                  <c:v>JUTIAPA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'Tema 3 "Centro de Gravedad"'!$K$9</c:f>
              <c:numCache>
                <c:formatCode>General</c:formatCode>
                <c:ptCount val="1"/>
                <c:pt idx="0">
                  <c:v>79.02000000000001</c:v>
                </c:pt>
              </c:numCache>
            </c:numRef>
          </c:xVal>
          <c:yVal>
            <c:numRef>
              <c:f>'Tema 3 "Centro de Gravedad"'!$L$9</c:f>
              <c:numCache>
                <c:formatCode>General</c:formatCode>
                <c:ptCount val="1"/>
                <c:pt idx="0">
                  <c:v>-18.399999999999999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F-4886-BD77-BFC24ACD73F7}"/>
            </c:ext>
          </c:extLst>
        </c:ser>
        <c:ser>
          <c:idx val="3"/>
          <c:order val="3"/>
          <c:tx>
            <c:strRef>
              <c:f>'Tema 3 "Centro de Gravedad"'!$I$10</c:f>
              <c:strCache>
                <c:ptCount val="1"/>
                <c:pt idx="0">
                  <c:v>CENTRO DE GRAVEDAD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'Tema 3 "Centro de Gravedad"'!$K$10</c:f>
              <c:numCache>
                <c:formatCode>General</c:formatCode>
                <c:ptCount val="1"/>
                <c:pt idx="0">
                  <c:v>-17.393424657534251</c:v>
                </c:pt>
              </c:numCache>
            </c:numRef>
          </c:xVal>
          <c:yVal>
            <c:numRef>
              <c:f>'Tema 3 "Centro de Gravedad"'!$L$10</c:f>
              <c:numCache>
                <c:formatCode>General</c:formatCode>
                <c:ptCount val="1"/>
                <c:pt idx="0">
                  <c:v>-28.280248486779229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F-4886-BD77-BFC24ACD73F7}"/>
            </c:ext>
          </c:extLst>
        </c:ser>
        <c:ser>
          <c:idx val="4"/>
          <c:order val="4"/>
          <c:tx>
            <c:strRef>
              <c:f>'Tema 3 "Centro de Gravedad"'!$I$6</c:f>
              <c:strCache>
                <c:ptCount val="1"/>
                <c:pt idx="0">
                  <c:v>ALTA VERAPAZ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'Tema 3 "Centro de Gravedad"'!$K$6</c:f>
              <c:numCache>
                <c:formatCode>General</c:formatCode>
                <c:ptCount val="1"/>
                <c:pt idx="0">
                  <c:v>3.9</c:v>
                </c:pt>
              </c:numCache>
            </c:numRef>
          </c:xVal>
          <c:yVal>
            <c:numRef>
              <c:f>'Tema 3 "Centro de Gravedad"'!$L$6</c:f>
              <c:numCache>
                <c:formatCode>General</c:formatCode>
                <c:ptCount val="1"/>
                <c:pt idx="0">
                  <c:v>-61.97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F-4886-BD77-BFC24ACD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82383"/>
        <c:axId val="1274483215"/>
      </c:scatterChart>
      <c:valAx>
        <c:axId val="12744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4483215"/>
        <c:crosses val="autoZero"/>
        <c:crossBetween val="midCat"/>
      </c:valAx>
      <c:valAx>
        <c:axId val="1274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44823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1114425</xdr:colOff>
      <xdr:row>11</xdr:row>
      <xdr:rowOff>101740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1D347F-77A0-0AEF-C591-648CC1F1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6800" cy="2197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577215</xdr:colOff>
      <xdr:row>30</xdr:row>
      <xdr:rowOff>76200</xdr:rowOff>
    </xdr:from>
    <xdr:to>
      <xdr:col>10</xdr:col>
      <xdr:colOff>394335</xdr:colOff>
      <xdr:row>44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A73192-45D4-45B0-A124-F4F91AEA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13</xdr:row>
      <xdr:rowOff>11867</xdr:rowOff>
    </xdr:from>
    <xdr:to>
      <xdr:col>13</xdr:col>
      <xdr:colOff>117458</xdr:colOff>
      <xdr:row>34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0A0F2-A672-49C2-9668-0D3D77F16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K22"/>
  <sheetViews>
    <sheetView showGridLines="0" view="pageBreakPreview" zoomScaleNormal="100" zoomScaleSheetLayoutView="100" workbookViewId="0">
      <selection activeCell="G3" sqref="G3"/>
    </sheetView>
  </sheetViews>
  <sheetFormatPr baseColWidth="10" defaultColWidth="11.42578125" defaultRowHeight="15" x14ac:dyDescent="0.25"/>
  <cols>
    <col min="1" max="1" width="10.5703125" customWidth="1"/>
  </cols>
  <sheetData>
    <row r="1" spans="1:11" x14ac:dyDescent="0.25">
      <c r="A1" s="118"/>
      <c r="B1" s="118"/>
      <c r="C1" s="118"/>
      <c r="D1" s="118"/>
    </row>
    <row r="2" spans="1:11" x14ac:dyDescent="0.25">
      <c r="A2" s="118"/>
      <c r="B2" s="118"/>
      <c r="C2" s="118"/>
      <c r="D2" s="118"/>
    </row>
    <row r="3" spans="1:11" x14ac:dyDescent="0.25">
      <c r="A3" s="118"/>
      <c r="B3" s="118"/>
      <c r="C3" s="118"/>
      <c r="D3" s="118"/>
    </row>
    <row r="4" spans="1:11" x14ac:dyDescent="0.25">
      <c r="A4" s="118"/>
      <c r="B4" s="118"/>
      <c r="C4" s="118"/>
      <c r="D4" s="118"/>
    </row>
    <row r="5" spans="1:11" x14ac:dyDescent="0.25">
      <c r="A5" s="118"/>
      <c r="B5" s="118"/>
      <c r="C5" s="118"/>
      <c r="D5" s="118"/>
    </row>
    <row r="6" spans="1:11" x14ac:dyDescent="0.25">
      <c r="A6" s="119" t="s">
        <v>111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</row>
    <row r="7" spans="1:11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</row>
    <row r="8" spans="1:1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</row>
    <row r="9" spans="1:11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</row>
    <row r="10" spans="1:11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</row>
    <row r="11" spans="1:11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</row>
    <row r="12" spans="1:11" ht="36.75" customHeight="1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</row>
    <row r="13" spans="1:11" x14ac:dyDescent="0.25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</row>
    <row r="14" spans="1:11" x14ac:dyDescent="0.25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1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1" ht="30" customHeight="1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</row>
    <row r="20" spans="2:2" ht="23.25" x14ac:dyDescent="0.35">
      <c r="B20" s="2"/>
    </row>
    <row r="22" spans="2:2" x14ac:dyDescent="0.25">
      <c r="B22" s="1"/>
    </row>
  </sheetData>
  <mergeCells count="10">
    <mergeCell ref="A6:K12"/>
    <mergeCell ref="A14:K14"/>
    <mergeCell ref="A15:K15"/>
    <mergeCell ref="A16:K16"/>
    <mergeCell ref="A13:K13"/>
    <mergeCell ref="A1:D1"/>
    <mergeCell ref="A2:D2"/>
    <mergeCell ref="A3:D3"/>
    <mergeCell ref="A4:D4"/>
    <mergeCell ref="A5:D5"/>
  </mergeCells>
  <pageMargins left="0.7" right="0.7" top="0.75" bottom="0.75" header="0.3" footer="0.3"/>
  <pageSetup scale="54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688-D20C-4013-ABA9-68B491080342}">
  <sheetPr>
    <tabColor rgb="FFF08510"/>
  </sheetPr>
  <dimension ref="A12:O28"/>
  <sheetViews>
    <sheetView showGridLines="0" workbookViewId="0">
      <selection activeCell="B13" sqref="B13"/>
    </sheetView>
  </sheetViews>
  <sheetFormatPr baseColWidth="10" defaultColWidth="9.140625" defaultRowHeight="15" x14ac:dyDescent="0.25"/>
  <cols>
    <col min="2" max="2" width="37.7109375" bestFit="1" customWidth="1"/>
    <col min="3" max="3" width="9.5703125" customWidth="1"/>
    <col min="4" max="4" width="18.28515625" customWidth="1"/>
    <col min="5" max="5" width="16.85546875" customWidth="1"/>
    <col min="6" max="6" width="19.140625" customWidth="1"/>
    <col min="7" max="7" width="16.42578125" customWidth="1"/>
    <col min="8" max="8" width="12.42578125" customWidth="1"/>
    <col min="9" max="9" width="21.7109375" customWidth="1"/>
    <col min="11" max="11" width="14.7109375" bestFit="1" customWidth="1"/>
    <col min="12" max="12" width="9.140625" customWidth="1"/>
  </cols>
  <sheetData>
    <row r="12" spans="2:14" ht="15.75" thickBot="1" x14ac:dyDescent="0.3"/>
    <row r="13" spans="2:14" ht="17.25" customHeight="1" thickBot="1" x14ac:dyDescent="0.35">
      <c r="B13" s="5"/>
      <c r="C13" s="6" t="s">
        <v>0</v>
      </c>
      <c r="D13" s="6" t="s">
        <v>13</v>
      </c>
      <c r="E13" s="6" t="s">
        <v>4</v>
      </c>
      <c r="F13" s="6" t="s">
        <v>14</v>
      </c>
      <c r="G13" s="6" t="s">
        <v>6</v>
      </c>
      <c r="H13" s="6" t="s">
        <v>15</v>
      </c>
      <c r="I13" s="6" t="s">
        <v>16</v>
      </c>
      <c r="J13" s="16"/>
      <c r="K13" s="17"/>
      <c r="L13" s="17"/>
      <c r="M13" s="17"/>
      <c r="N13" s="16"/>
    </row>
    <row r="14" spans="2:14" ht="16.5" x14ac:dyDescent="0.3">
      <c r="B14" s="7" t="s">
        <v>10</v>
      </c>
      <c r="C14" s="18">
        <v>0.15</v>
      </c>
      <c r="D14" s="8">
        <v>90</v>
      </c>
      <c r="E14" s="8">
        <f>D14*C14</f>
        <v>13.5</v>
      </c>
      <c r="F14" s="8">
        <v>86</v>
      </c>
      <c r="G14" s="8">
        <f>C14*F14</f>
        <v>12.9</v>
      </c>
      <c r="H14" s="9">
        <v>93</v>
      </c>
      <c r="I14" s="8">
        <f>H14*C14</f>
        <v>13.95</v>
      </c>
      <c r="J14" s="16"/>
      <c r="K14" s="17"/>
      <c r="L14" s="17"/>
      <c r="M14" s="17"/>
      <c r="N14" s="16"/>
    </row>
    <row r="15" spans="2:14" ht="16.5" x14ac:dyDescent="0.3">
      <c r="B15" s="10" t="s">
        <v>1</v>
      </c>
      <c r="C15" s="19">
        <v>0.3</v>
      </c>
      <c r="D15" s="11">
        <v>92</v>
      </c>
      <c r="E15" s="11">
        <f t="shared" ref="E15:E18" si="0">D15*C15</f>
        <v>27.599999999999998</v>
      </c>
      <c r="F15" s="11">
        <v>88</v>
      </c>
      <c r="G15" s="11">
        <f t="shared" ref="G15:G18" si="1">C15*F15</f>
        <v>26.4</v>
      </c>
      <c r="H15" s="11">
        <v>90</v>
      </c>
      <c r="I15" s="11">
        <f t="shared" ref="I15:I18" si="2">H15*C15</f>
        <v>27</v>
      </c>
      <c r="J15" s="16"/>
      <c r="K15" s="17"/>
      <c r="L15" s="17"/>
      <c r="M15" s="17"/>
      <c r="N15" s="16"/>
    </row>
    <row r="16" spans="2:14" ht="16.5" x14ac:dyDescent="0.3">
      <c r="B16" s="10" t="s">
        <v>11</v>
      </c>
      <c r="C16" s="19">
        <v>0.2</v>
      </c>
      <c r="D16" s="11">
        <v>81</v>
      </c>
      <c r="E16" s="11">
        <f t="shared" si="0"/>
        <v>16.2</v>
      </c>
      <c r="F16" s="11">
        <v>92</v>
      </c>
      <c r="G16" s="11">
        <f t="shared" si="1"/>
        <v>18.400000000000002</v>
      </c>
      <c r="H16" s="11">
        <v>90</v>
      </c>
      <c r="I16" s="11">
        <f t="shared" si="2"/>
        <v>18</v>
      </c>
      <c r="J16" s="16"/>
      <c r="K16" s="17"/>
      <c r="L16" s="17"/>
      <c r="M16" s="17"/>
      <c r="N16" s="16"/>
    </row>
    <row r="17" spans="1:15" ht="16.5" x14ac:dyDescent="0.3">
      <c r="B17" s="10" t="s">
        <v>2</v>
      </c>
      <c r="C17" s="19">
        <v>0.15</v>
      </c>
      <c r="D17" s="11">
        <v>85</v>
      </c>
      <c r="E17" s="11">
        <f t="shared" si="0"/>
        <v>12.75</v>
      </c>
      <c r="F17" s="11">
        <v>89</v>
      </c>
      <c r="G17" s="11">
        <f t="shared" si="1"/>
        <v>13.35</v>
      </c>
      <c r="H17" s="11">
        <v>89</v>
      </c>
      <c r="I17" s="11">
        <f t="shared" si="2"/>
        <v>13.35</v>
      </c>
      <c r="J17" s="16"/>
      <c r="K17" s="17"/>
      <c r="L17" s="17"/>
      <c r="M17" s="17"/>
      <c r="N17" s="16"/>
    </row>
    <row r="18" spans="1:15" ht="16.5" x14ac:dyDescent="0.3">
      <c r="B18" s="10" t="s">
        <v>12</v>
      </c>
      <c r="C18" s="19">
        <v>0.2</v>
      </c>
      <c r="D18" s="11">
        <v>94</v>
      </c>
      <c r="E18" s="11">
        <f t="shared" si="0"/>
        <v>18.8</v>
      </c>
      <c r="F18" s="11">
        <v>95</v>
      </c>
      <c r="G18" s="11">
        <f t="shared" si="1"/>
        <v>19</v>
      </c>
      <c r="H18" s="11">
        <v>89</v>
      </c>
      <c r="I18" s="11">
        <f t="shared" si="2"/>
        <v>17.8</v>
      </c>
      <c r="J18" s="16"/>
      <c r="K18" s="17"/>
      <c r="L18" s="17"/>
      <c r="M18" s="17"/>
      <c r="N18" s="16"/>
    </row>
    <row r="19" spans="1:15" ht="15.75" thickBot="1" x14ac:dyDescent="0.3">
      <c r="B19" s="12" t="s">
        <v>9</v>
      </c>
      <c r="C19" s="13"/>
      <c r="D19" s="13"/>
      <c r="E19" s="13">
        <f>SUM(E14:E18)</f>
        <v>88.85</v>
      </c>
      <c r="F19" s="13"/>
      <c r="G19" s="13">
        <f>SUM(G14:G18)</f>
        <v>90.05</v>
      </c>
      <c r="H19" s="13"/>
      <c r="I19" s="14">
        <f>SUM(I14:I18)</f>
        <v>90.1</v>
      </c>
      <c r="J19" s="16"/>
      <c r="K19" s="16"/>
      <c r="L19" s="16"/>
      <c r="M19" s="16"/>
      <c r="N19" s="16"/>
    </row>
    <row r="20" spans="1:15" ht="15.75" thickBot="1" x14ac:dyDescent="0.3">
      <c r="B20" s="16"/>
      <c r="C20" s="17"/>
      <c r="D20" s="17"/>
      <c r="E20" s="17"/>
      <c r="F20" s="16"/>
      <c r="G20" s="16"/>
      <c r="H20" s="16"/>
      <c r="I20" s="16"/>
      <c r="J20" s="16"/>
      <c r="K20" s="16"/>
      <c r="L20" s="16"/>
      <c r="M20" s="16"/>
      <c r="N20" s="16"/>
    </row>
    <row r="21" spans="1:15" ht="120.75" thickBot="1" x14ac:dyDescent="0.3">
      <c r="B21" s="22" t="s">
        <v>17</v>
      </c>
      <c r="C21" s="17"/>
      <c r="D21" s="21"/>
      <c r="E21" s="17"/>
      <c r="F21" s="16"/>
      <c r="G21" s="16"/>
      <c r="H21" s="16"/>
      <c r="I21" s="16"/>
      <c r="J21" s="16"/>
      <c r="K21" s="16"/>
      <c r="L21" s="16"/>
      <c r="M21" s="16"/>
      <c r="N21" s="16"/>
    </row>
    <row r="22" spans="1:15" x14ac:dyDescent="0.25">
      <c r="A22" s="16"/>
      <c r="B22" s="20"/>
      <c r="C22" s="17"/>
      <c r="D22" s="21"/>
      <c r="E22" s="17"/>
      <c r="F22" s="16"/>
      <c r="G22" s="16"/>
      <c r="H22" s="16"/>
      <c r="I22" s="16"/>
      <c r="J22" s="16"/>
      <c r="K22" s="16"/>
      <c r="L22" s="16"/>
      <c r="M22" s="16"/>
      <c r="N22" s="16"/>
    </row>
    <row r="23" spans="1:15" ht="15.75" thickBot="1" x14ac:dyDescent="0.3">
      <c r="A23" s="16"/>
      <c r="B23" s="20"/>
      <c r="C23" s="17"/>
      <c r="D23" s="21"/>
      <c r="E23" s="17"/>
      <c r="F23" s="16"/>
      <c r="G23" s="16"/>
      <c r="H23" s="16"/>
      <c r="I23" s="16"/>
      <c r="J23" s="16"/>
      <c r="K23" s="16"/>
      <c r="L23" s="16"/>
      <c r="M23" s="16"/>
      <c r="N23" s="16"/>
    </row>
    <row r="24" spans="1:15" x14ac:dyDescent="0.25">
      <c r="B24" s="23" t="s">
        <v>21</v>
      </c>
      <c r="C24" s="24"/>
      <c r="D24" s="24"/>
      <c r="E24" s="24"/>
      <c r="F24" s="25"/>
      <c r="G24" s="25"/>
      <c r="H24" s="25"/>
      <c r="I24" s="25"/>
      <c r="J24" s="26"/>
      <c r="K24" s="16"/>
    </row>
    <row r="25" spans="1:15" x14ac:dyDescent="0.25">
      <c r="B25" s="27" t="s">
        <v>18</v>
      </c>
      <c r="C25" s="28"/>
      <c r="D25" s="28"/>
      <c r="E25" s="28"/>
      <c r="F25" s="29"/>
      <c r="G25" s="29"/>
      <c r="H25" s="29"/>
      <c r="I25" s="29"/>
      <c r="J25" s="30"/>
      <c r="K25" s="16"/>
    </row>
    <row r="26" spans="1:15" x14ac:dyDescent="0.25">
      <c r="B26" s="27" t="s">
        <v>19</v>
      </c>
      <c r="C26" s="31"/>
      <c r="D26" s="31"/>
      <c r="E26" s="31"/>
      <c r="F26" s="31"/>
      <c r="G26" s="31"/>
      <c r="H26" s="31"/>
      <c r="I26" s="31"/>
      <c r="J26" s="32"/>
      <c r="M26" s="15"/>
      <c r="N26" s="15"/>
      <c r="O26" s="15"/>
    </row>
    <row r="27" spans="1:15" x14ac:dyDescent="0.25">
      <c r="B27" s="27" t="s">
        <v>20</v>
      </c>
      <c r="C27" s="31"/>
      <c r="D27" s="31"/>
      <c r="E27" s="31"/>
      <c r="F27" s="31"/>
      <c r="G27" s="31"/>
      <c r="H27" s="31"/>
      <c r="I27" s="31"/>
      <c r="J27" s="32"/>
    </row>
    <row r="28" spans="1:15" ht="15.75" thickBot="1" x14ac:dyDescent="0.3">
      <c r="B28" s="33"/>
      <c r="C28" s="3"/>
      <c r="D28" s="3"/>
      <c r="E28" s="3"/>
      <c r="F28" s="3"/>
      <c r="G28" s="3"/>
      <c r="H28" s="3"/>
      <c r="I28" s="3"/>
      <c r="J28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A3E4-CD26-4B0A-B289-659A04A6C1AB}">
  <sheetPr>
    <tabColor theme="4" tint="-0.249977111117893"/>
  </sheetPr>
  <dimension ref="A1:L60"/>
  <sheetViews>
    <sheetView showGridLines="0" zoomScale="80" zoomScaleNormal="80" workbookViewId="0">
      <selection activeCell="N25" sqref="N25"/>
    </sheetView>
  </sheetViews>
  <sheetFormatPr baseColWidth="10" defaultRowHeight="15" x14ac:dyDescent="0.25"/>
  <cols>
    <col min="2" max="2" width="25.85546875" customWidth="1"/>
    <col min="3" max="3" width="15.28515625" bestFit="1" customWidth="1"/>
    <col min="4" max="5" width="12.7109375" bestFit="1" customWidth="1"/>
    <col min="6" max="6" width="16.5703125" customWidth="1"/>
    <col min="9" max="9" width="14.85546875" customWidth="1"/>
    <col min="11" max="11" width="19.140625" customWidth="1"/>
  </cols>
  <sheetData>
    <row r="1" spans="1:7" ht="15.75" thickBot="1" x14ac:dyDescent="0.3">
      <c r="C1" s="103" t="s">
        <v>13</v>
      </c>
      <c r="D1" s="104" t="s">
        <v>14</v>
      </c>
      <c r="E1" s="105" t="s">
        <v>15</v>
      </c>
      <c r="G1" s="89">
        <v>24</v>
      </c>
    </row>
    <row r="2" spans="1:7" ht="15.75" thickBot="1" x14ac:dyDescent="0.3">
      <c r="A2" s="131" t="s">
        <v>109</v>
      </c>
      <c r="B2" s="63" t="s">
        <v>23</v>
      </c>
      <c r="C2" s="83">
        <v>8500</v>
      </c>
      <c r="D2" s="83">
        <v>8500</v>
      </c>
      <c r="E2" s="84">
        <v>8500</v>
      </c>
      <c r="G2" s="90" t="s">
        <v>80</v>
      </c>
    </row>
    <row r="3" spans="1:7" x14ac:dyDescent="0.25">
      <c r="A3" s="132"/>
      <c r="B3" s="69" t="s">
        <v>22</v>
      </c>
      <c r="C3" s="37">
        <v>6000</v>
      </c>
      <c r="D3" s="37">
        <v>3100</v>
      </c>
      <c r="E3" s="97">
        <v>6700</v>
      </c>
    </row>
    <row r="4" spans="1:7" x14ac:dyDescent="0.25">
      <c r="A4" s="132"/>
      <c r="B4" s="69" t="s">
        <v>81</v>
      </c>
      <c r="C4" s="37">
        <v>3750</v>
      </c>
      <c r="D4" s="37">
        <v>3500</v>
      </c>
      <c r="E4" s="97">
        <v>4100</v>
      </c>
    </row>
    <row r="5" spans="1:7" x14ac:dyDescent="0.25">
      <c r="A5" s="132"/>
      <c r="B5" s="69" t="s">
        <v>82</v>
      </c>
      <c r="C5" s="37">
        <v>5250</v>
      </c>
      <c r="D5" s="37">
        <v>5100</v>
      </c>
      <c r="E5" s="97">
        <v>5700</v>
      </c>
    </row>
    <row r="6" spans="1:7" x14ac:dyDescent="0.25">
      <c r="A6" s="132" t="s">
        <v>110</v>
      </c>
      <c r="B6" s="69" t="s">
        <v>83</v>
      </c>
      <c r="C6" s="37">
        <v>12</v>
      </c>
      <c r="D6" s="37">
        <v>14</v>
      </c>
      <c r="E6" s="97">
        <v>10</v>
      </c>
    </row>
    <row r="7" spans="1:7" x14ac:dyDescent="0.25">
      <c r="A7" s="132"/>
      <c r="B7" s="69" t="s">
        <v>85</v>
      </c>
      <c r="C7" s="37">
        <v>10</v>
      </c>
      <c r="D7" s="37">
        <v>12</v>
      </c>
      <c r="E7" s="97">
        <v>9</v>
      </c>
    </row>
    <row r="8" spans="1:7" ht="15.75" thickBot="1" x14ac:dyDescent="0.3">
      <c r="A8" s="133"/>
      <c r="B8" s="101" t="s">
        <v>86</v>
      </c>
      <c r="C8" s="106">
        <v>9</v>
      </c>
      <c r="D8" s="106">
        <v>8</v>
      </c>
      <c r="E8" s="107">
        <v>9</v>
      </c>
    </row>
    <row r="9" spans="1:7" ht="15.75" thickBot="1" x14ac:dyDescent="0.3"/>
    <row r="10" spans="1:7" ht="15.75" thickBot="1" x14ac:dyDescent="0.3">
      <c r="A10" s="74" t="s">
        <v>87</v>
      </c>
      <c r="B10" s="60"/>
      <c r="C10" s="94" t="s">
        <v>13</v>
      </c>
      <c r="D10" s="95" t="s">
        <v>14</v>
      </c>
      <c r="E10" s="56" t="s">
        <v>15</v>
      </c>
    </row>
    <row r="11" spans="1:7" x14ac:dyDescent="0.25">
      <c r="B11" s="89" t="s">
        <v>88</v>
      </c>
      <c r="C11" s="91">
        <f>SUM(C2:C5)</f>
        <v>23500</v>
      </c>
      <c r="D11" s="92">
        <f>SUM(D2:D5)</f>
        <v>20200</v>
      </c>
      <c r="E11" s="93">
        <f>SUM(E2:E5)</f>
        <v>25000</v>
      </c>
    </row>
    <row r="12" spans="1:7" ht="15.75" thickBot="1" x14ac:dyDescent="0.3">
      <c r="B12" s="90" t="s">
        <v>84</v>
      </c>
      <c r="C12" s="88">
        <f>SUM(C6:C8)</f>
        <v>31</v>
      </c>
      <c r="D12" s="86">
        <f>SUM(D6:D8)</f>
        <v>34</v>
      </c>
      <c r="E12" s="87">
        <f>SUM(E6:E8)</f>
        <v>28</v>
      </c>
    </row>
    <row r="14" spans="1:7" ht="15.75" thickBot="1" x14ac:dyDescent="0.3"/>
    <row r="15" spans="1:7" x14ac:dyDescent="0.25">
      <c r="A15" s="96" t="s">
        <v>31</v>
      </c>
      <c r="B15" s="83" t="s">
        <v>13</v>
      </c>
      <c r="C15" s="83" t="s">
        <v>14</v>
      </c>
      <c r="D15" s="84" t="s">
        <v>15</v>
      </c>
    </row>
    <row r="16" spans="1:7" x14ac:dyDescent="0.25">
      <c r="A16" s="85">
        <v>4</v>
      </c>
      <c r="B16" s="37">
        <f>C11+(C12*A16)</f>
        <v>23624</v>
      </c>
      <c r="C16" s="37">
        <f>D11+(D12*A16)</f>
        <v>20336</v>
      </c>
      <c r="D16" s="97">
        <f>E11+(E12*A16)</f>
        <v>25112</v>
      </c>
    </row>
    <row r="17" spans="1:9" x14ac:dyDescent="0.25">
      <c r="A17" s="85">
        <v>8</v>
      </c>
      <c r="B17" s="37">
        <f>C11+(C12*A17)</f>
        <v>23748</v>
      </c>
      <c r="C17" s="37">
        <f>D11+(D12*A17)</f>
        <v>20472</v>
      </c>
      <c r="D17" s="97">
        <f>E11+(E12*A17)</f>
        <v>25224</v>
      </c>
      <c r="F17" t="s">
        <v>89</v>
      </c>
      <c r="H17" t="s">
        <v>13</v>
      </c>
    </row>
    <row r="18" spans="1:9" x14ac:dyDescent="0.25">
      <c r="A18" s="85">
        <v>12</v>
      </c>
      <c r="B18" s="37">
        <f>C11+(C12*A18)</f>
        <v>23872</v>
      </c>
      <c r="C18" s="37">
        <f>D11+(D12*A18)</f>
        <v>20608</v>
      </c>
      <c r="D18" s="97">
        <f>E11+(E12*A18)</f>
        <v>25336</v>
      </c>
      <c r="F18" t="s">
        <v>90</v>
      </c>
      <c r="H18" t="s">
        <v>14</v>
      </c>
    </row>
    <row r="19" spans="1:9" x14ac:dyDescent="0.25">
      <c r="A19" s="85">
        <v>16</v>
      </c>
      <c r="B19" s="37">
        <f>C11+(C12*A19)</f>
        <v>23996</v>
      </c>
      <c r="C19" s="37">
        <f>D11+(D12*A19)</f>
        <v>20744</v>
      </c>
      <c r="D19" s="97">
        <f>E11+(E12*A19)</f>
        <v>25448</v>
      </c>
      <c r="F19" t="s">
        <v>91</v>
      </c>
      <c r="H19" t="s">
        <v>15</v>
      </c>
    </row>
    <row r="20" spans="1:9" x14ac:dyDescent="0.25">
      <c r="A20" s="85">
        <v>20</v>
      </c>
      <c r="B20" s="37">
        <f>C11+(C12*A20)</f>
        <v>24120</v>
      </c>
      <c r="C20" s="37">
        <f>D11+(D12*A20)</f>
        <v>20880</v>
      </c>
      <c r="D20" s="97">
        <f>E11+(E12*A20)</f>
        <v>25560</v>
      </c>
    </row>
    <row r="21" spans="1:9" ht="15.75" thickBot="1" x14ac:dyDescent="0.3">
      <c r="A21" s="98">
        <v>24</v>
      </c>
      <c r="B21" s="99">
        <f>C11+(C12*A21)</f>
        <v>24244</v>
      </c>
      <c r="C21" s="99">
        <f>D11+(D12*A21)</f>
        <v>21016</v>
      </c>
      <c r="D21" s="100">
        <f>E11+(E12*A21)</f>
        <v>25672</v>
      </c>
    </row>
    <row r="24" spans="1:9" x14ac:dyDescent="0.25">
      <c r="A24" s="72"/>
      <c r="B24" s="73" t="s">
        <v>104</v>
      </c>
      <c r="C24" s="134" t="s">
        <v>105</v>
      </c>
      <c r="D24" s="134"/>
      <c r="E24" s="134"/>
      <c r="F24" s="134"/>
      <c r="G24" s="134"/>
      <c r="H24" s="134"/>
      <c r="I24" s="72"/>
    </row>
    <row r="25" spans="1:9" ht="15.75" thickBot="1" x14ac:dyDescent="0.3"/>
    <row r="26" spans="1:9" x14ac:dyDescent="0.25">
      <c r="B26" s="60" t="s">
        <v>92</v>
      </c>
      <c r="C26" s="61"/>
      <c r="E26" s="60" t="s">
        <v>93</v>
      </c>
      <c r="F26" s="61"/>
      <c r="H26" s="60" t="s">
        <v>94</v>
      </c>
      <c r="I26" s="61"/>
    </row>
    <row r="27" spans="1:9" x14ac:dyDescent="0.25">
      <c r="B27" s="62" t="s">
        <v>95</v>
      </c>
      <c r="C27" s="32"/>
      <c r="E27" s="62" t="s">
        <v>96</v>
      </c>
      <c r="F27" s="32"/>
      <c r="H27" s="62" t="s">
        <v>97</v>
      </c>
      <c r="I27" s="32"/>
    </row>
    <row r="28" spans="1:9" ht="15.75" thickBot="1" x14ac:dyDescent="0.3">
      <c r="B28" s="101" t="s">
        <v>98</v>
      </c>
      <c r="C28" s="102">
        <f>-3300/-1</f>
        <v>3300</v>
      </c>
      <c r="E28" s="101" t="s">
        <v>99</v>
      </c>
      <c r="F28" s="102">
        <f>1500/3</f>
        <v>500</v>
      </c>
      <c r="H28" s="101" t="s">
        <v>99</v>
      </c>
      <c r="I28" s="102">
        <f>4800/4</f>
        <v>1200</v>
      </c>
    </row>
    <row r="29" spans="1:9" x14ac:dyDescent="0.25">
      <c r="B29" s="135" t="s">
        <v>100</v>
      </c>
      <c r="C29" s="135"/>
      <c r="E29" s="136" t="s">
        <v>101</v>
      </c>
      <c r="F29" s="136"/>
      <c r="H29" s="135" t="s">
        <v>102</v>
      </c>
      <c r="I29" s="135"/>
    </row>
    <row r="31" spans="1:9" ht="15.75" thickBot="1" x14ac:dyDescent="0.3">
      <c r="A31" s="78" t="s">
        <v>103</v>
      </c>
    </row>
    <row r="32" spans="1:9" x14ac:dyDescent="0.25">
      <c r="A32" s="63" t="s">
        <v>31</v>
      </c>
      <c r="B32" s="64" t="s">
        <v>13</v>
      </c>
      <c r="C32" s="64" t="s">
        <v>14</v>
      </c>
      <c r="D32" s="65" t="s">
        <v>15</v>
      </c>
    </row>
    <row r="33" spans="1:4" x14ac:dyDescent="0.25">
      <c r="A33" s="66">
        <v>500</v>
      </c>
      <c r="B33" s="67">
        <f>$C$11+($C$12*A33)</f>
        <v>39000</v>
      </c>
      <c r="C33" s="35">
        <f>$D$11+($D$12*A33)</f>
        <v>37200</v>
      </c>
      <c r="D33" s="68">
        <f>$E$11+($E$12*A33)</f>
        <v>39000</v>
      </c>
    </row>
    <row r="34" spans="1:4" x14ac:dyDescent="0.25">
      <c r="A34" s="69">
        <v>750</v>
      </c>
      <c r="B34" s="46">
        <f t="shared" ref="B34:B42" si="0">$C$11+($C$12*A34)</f>
        <v>46750</v>
      </c>
      <c r="C34" s="35">
        <f t="shared" ref="C34:C42" si="1">$D$11+($D$12*A34)</f>
        <v>45700</v>
      </c>
      <c r="D34" s="70">
        <f>$E$11+($E$12*A34)</f>
        <v>46000</v>
      </c>
    </row>
    <row r="35" spans="1:4" x14ac:dyDescent="0.25">
      <c r="A35" s="69">
        <v>1000</v>
      </c>
      <c r="B35" s="46">
        <f t="shared" si="0"/>
        <v>54500</v>
      </c>
      <c r="C35" s="35">
        <f t="shared" si="1"/>
        <v>54200</v>
      </c>
      <c r="D35" s="70">
        <f t="shared" ref="D35:D42" si="2">$E$11+($E$12*A35)</f>
        <v>53000</v>
      </c>
    </row>
    <row r="36" spans="1:4" x14ac:dyDescent="0.25">
      <c r="A36" s="66">
        <v>1200</v>
      </c>
      <c r="B36" s="46">
        <f t="shared" si="0"/>
        <v>60700</v>
      </c>
      <c r="C36" s="67">
        <f t="shared" si="1"/>
        <v>61000</v>
      </c>
      <c r="D36" s="68">
        <f t="shared" si="2"/>
        <v>58600</v>
      </c>
    </row>
    <row r="37" spans="1:4" x14ac:dyDescent="0.25">
      <c r="A37" s="69">
        <v>1500</v>
      </c>
      <c r="B37" s="46">
        <f t="shared" si="0"/>
        <v>70000</v>
      </c>
      <c r="C37" s="35">
        <f t="shared" si="1"/>
        <v>71200</v>
      </c>
      <c r="D37" s="70">
        <f t="shared" si="2"/>
        <v>67000</v>
      </c>
    </row>
    <row r="38" spans="1:4" x14ac:dyDescent="0.25">
      <c r="A38" s="69">
        <v>2000</v>
      </c>
      <c r="B38" s="46">
        <f t="shared" si="0"/>
        <v>85500</v>
      </c>
      <c r="C38" s="35">
        <f t="shared" si="1"/>
        <v>88200</v>
      </c>
      <c r="D38" s="70">
        <f t="shared" si="2"/>
        <v>81000</v>
      </c>
    </row>
    <row r="39" spans="1:4" x14ac:dyDescent="0.25">
      <c r="A39" s="69">
        <v>2500</v>
      </c>
      <c r="B39" s="46">
        <f>$C$11+($C$12*A39)</f>
        <v>101000</v>
      </c>
      <c r="C39" s="35">
        <f>$D$11+($D$12*A39)</f>
        <v>105200</v>
      </c>
      <c r="D39" s="70">
        <f t="shared" si="2"/>
        <v>95000</v>
      </c>
    </row>
    <row r="40" spans="1:4" x14ac:dyDescent="0.25">
      <c r="A40" s="69">
        <v>3000</v>
      </c>
      <c r="B40" s="46">
        <f t="shared" si="0"/>
        <v>116500</v>
      </c>
      <c r="C40" s="35">
        <f t="shared" si="1"/>
        <v>122200</v>
      </c>
      <c r="D40" s="70">
        <f t="shared" si="2"/>
        <v>109000</v>
      </c>
    </row>
    <row r="41" spans="1:4" ht="15.75" thickBot="1" x14ac:dyDescent="0.3">
      <c r="A41" s="108">
        <v>3300</v>
      </c>
      <c r="B41" s="109">
        <f t="shared" si="0"/>
        <v>125800</v>
      </c>
      <c r="C41" s="109">
        <f t="shared" si="1"/>
        <v>132400</v>
      </c>
      <c r="D41" s="110">
        <f t="shared" si="2"/>
        <v>117400</v>
      </c>
    </row>
    <row r="42" spans="1:4" ht="15.75" thickBot="1" x14ac:dyDescent="0.3">
      <c r="A42" s="111">
        <v>164200</v>
      </c>
      <c r="B42" s="112">
        <f t="shared" si="0"/>
        <v>5113700</v>
      </c>
      <c r="C42" s="112">
        <f t="shared" si="1"/>
        <v>5603000</v>
      </c>
      <c r="D42" s="113">
        <f t="shared" si="2"/>
        <v>4622600</v>
      </c>
    </row>
    <row r="43" spans="1:4" ht="15.75" thickBot="1" x14ac:dyDescent="0.3">
      <c r="C43" s="71"/>
    </row>
    <row r="44" spans="1:4" ht="15.75" thickBot="1" x14ac:dyDescent="0.3">
      <c r="B44" s="77">
        <f>MIN(B42:D42)</f>
        <v>4622600</v>
      </c>
      <c r="C44" s="56" t="s">
        <v>15</v>
      </c>
    </row>
    <row r="48" spans="1:4" ht="15.75" thickBot="1" x14ac:dyDescent="0.3"/>
    <row r="49" spans="1:12" ht="19.5" thickBot="1" x14ac:dyDescent="0.35">
      <c r="A49" s="79"/>
      <c r="B49" s="80" t="s">
        <v>103</v>
      </c>
      <c r="C49" s="81" t="s">
        <v>108</v>
      </c>
      <c r="D49" s="81"/>
      <c r="E49" s="81"/>
      <c r="F49" s="81"/>
      <c r="G49" s="81"/>
      <c r="H49" s="81"/>
      <c r="I49" s="81"/>
      <c r="J49" s="81"/>
      <c r="K49" s="82"/>
      <c r="L49" s="1"/>
    </row>
    <row r="51" spans="1:12" ht="15.75" thickBot="1" x14ac:dyDescent="0.3"/>
    <row r="52" spans="1:12" x14ac:dyDescent="0.25">
      <c r="A52" s="75" t="s">
        <v>106</v>
      </c>
      <c r="B52" s="63" t="s">
        <v>24</v>
      </c>
      <c r="C52" s="114">
        <f>18*164240</f>
        <v>2956320</v>
      </c>
    </row>
    <row r="53" spans="1:12" x14ac:dyDescent="0.25">
      <c r="B53" s="69" t="s">
        <v>25</v>
      </c>
      <c r="C53" s="115">
        <f>+B44</f>
        <v>4622600</v>
      </c>
    </row>
    <row r="54" spans="1:12" ht="15.75" thickBot="1" x14ac:dyDescent="0.3">
      <c r="B54" s="116" t="s">
        <v>26</v>
      </c>
      <c r="C54" s="117">
        <f>C53-C52</f>
        <v>1666280</v>
      </c>
    </row>
    <row r="55" spans="1:12" ht="15.75" thickBot="1" x14ac:dyDescent="0.3"/>
    <row r="56" spans="1:12" ht="16.5" customHeight="1" x14ac:dyDescent="0.25">
      <c r="B56" s="122" t="s">
        <v>107</v>
      </c>
      <c r="C56" s="123"/>
      <c r="D56" s="123"/>
      <c r="E56" s="123"/>
      <c r="F56" s="123"/>
      <c r="G56" s="124"/>
      <c r="H56" s="76"/>
      <c r="I56" s="76"/>
    </row>
    <row r="57" spans="1:12" x14ac:dyDescent="0.25">
      <c r="B57" s="125"/>
      <c r="C57" s="126"/>
      <c r="D57" s="126"/>
      <c r="E57" s="126"/>
      <c r="F57" s="126"/>
      <c r="G57" s="127"/>
    </row>
    <row r="58" spans="1:12" x14ac:dyDescent="0.25">
      <c r="B58" s="125"/>
      <c r="C58" s="126"/>
      <c r="D58" s="126"/>
      <c r="E58" s="126"/>
      <c r="F58" s="126"/>
      <c r="G58" s="127"/>
    </row>
    <row r="59" spans="1:12" x14ac:dyDescent="0.25">
      <c r="B59" s="125"/>
      <c r="C59" s="126"/>
      <c r="D59" s="126"/>
      <c r="E59" s="126"/>
      <c r="F59" s="126"/>
      <c r="G59" s="127"/>
    </row>
    <row r="60" spans="1:12" ht="15.75" thickBot="1" x14ac:dyDescent="0.3">
      <c r="B60" s="128"/>
      <c r="C60" s="129"/>
      <c r="D60" s="129"/>
      <c r="E60" s="129"/>
      <c r="F60" s="129"/>
      <c r="G60" s="130"/>
    </row>
  </sheetData>
  <mergeCells count="7">
    <mergeCell ref="B56:G60"/>
    <mergeCell ref="A2:A5"/>
    <mergeCell ref="A6:A8"/>
    <mergeCell ref="C24:H24"/>
    <mergeCell ref="B29:C29"/>
    <mergeCell ref="E29:F29"/>
    <mergeCell ref="H29:I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EFE-A916-45AB-9C41-557B8DCFAD98}">
  <sheetPr>
    <tabColor rgb="FF92D050"/>
  </sheetPr>
  <dimension ref="A2:O69"/>
  <sheetViews>
    <sheetView showGridLines="0" tabSelected="1" topLeftCell="A39" zoomScaleNormal="100" workbookViewId="0">
      <selection activeCell="O15" sqref="O15"/>
    </sheetView>
  </sheetViews>
  <sheetFormatPr baseColWidth="10" defaultColWidth="11.42578125" defaultRowHeight="15" x14ac:dyDescent="0.25"/>
  <cols>
    <col min="1" max="1" width="4.85546875" customWidth="1"/>
    <col min="2" max="2" width="13.5703125" customWidth="1"/>
    <col min="3" max="3" width="14.85546875" customWidth="1"/>
    <col min="4" max="4" width="10.140625" customWidth="1"/>
    <col min="5" max="5" width="9.5703125" customWidth="1"/>
    <col min="6" max="7" width="11" customWidth="1"/>
    <col min="8" max="8" width="5.42578125" customWidth="1"/>
    <col min="9" max="9" width="30" customWidth="1"/>
    <col min="10" max="10" width="14.42578125" customWidth="1"/>
    <col min="11" max="11" width="11.42578125" customWidth="1"/>
    <col min="12" max="12" width="13" customWidth="1"/>
  </cols>
  <sheetData>
    <row r="2" spans="1:14" ht="15.75" customHeight="1" x14ac:dyDescent="0.35">
      <c r="B2" s="2"/>
    </row>
    <row r="3" spans="1:14" x14ac:dyDescent="0.25">
      <c r="B3" s="153" t="s">
        <v>7</v>
      </c>
      <c r="C3" s="153"/>
      <c r="D3" s="153"/>
      <c r="E3" s="153"/>
      <c r="F3" s="153"/>
      <c r="G3" s="153"/>
      <c r="I3" s="164" t="s">
        <v>28</v>
      </c>
      <c r="J3" s="165"/>
      <c r="K3" s="165"/>
      <c r="L3" s="165"/>
      <c r="M3" s="165"/>
      <c r="N3" s="166"/>
    </row>
    <row r="4" spans="1:14" x14ac:dyDescent="0.25">
      <c r="B4" s="46" t="s">
        <v>29</v>
      </c>
      <c r="C4" s="46" t="s">
        <v>30</v>
      </c>
      <c r="D4" s="46" t="s">
        <v>31</v>
      </c>
      <c r="E4" s="46" t="s">
        <v>32</v>
      </c>
      <c r="F4" s="46" t="s">
        <v>33</v>
      </c>
      <c r="G4" s="46" t="s">
        <v>34</v>
      </c>
    </row>
    <row r="5" spans="1:14" x14ac:dyDescent="0.25">
      <c r="B5" s="46" t="s">
        <v>49</v>
      </c>
      <c r="C5" s="47">
        <f>C9*0.33</f>
        <v>300.3</v>
      </c>
      <c r="D5" s="46">
        <v>3</v>
      </c>
      <c r="E5" s="46">
        <v>-72</v>
      </c>
      <c r="F5" s="46">
        <f>C5*D5</f>
        <v>900.90000000000009</v>
      </c>
      <c r="G5" s="46">
        <f>C5*E5</f>
        <v>-21621.600000000002</v>
      </c>
      <c r="I5" s="35" t="s">
        <v>36</v>
      </c>
      <c r="J5" s="35" t="s">
        <v>30</v>
      </c>
      <c r="K5" s="35" t="s">
        <v>31</v>
      </c>
      <c r="L5" s="35" t="s">
        <v>32</v>
      </c>
      <c r="M5" s="35" t="s">
        <v>33</v>
      </c>
      <c r="N5" s="35" t="s">
        <v>34</v>
      </c>
    </row>
    <row r="6" spans="1:14" x14ac:dyDescent="0.25">
      <c r="B6" s="46" t="s">
        <v>50</v>
      </c>
      <c r="C6" s="47">
        <f>C9*0.22</f>
        <v>200.2</v>
      </c>
      <c r="D6" s="46">
        <v>8</v>
      </c>
      <c r="E6" s="46">
        <v>-53</v>
      </c>
      <c r="F6" s="46">
        <f>C6*D6</f>
        <v>1601.6</v>
      </c>
      <c r="G6" s="46">
        <f t="shared" ref="G6:G8" si="0">C6*E6</f>
        <v>-10610.599999999999</v>
      </c>
      <c r="I6" s="35" t="s">
        <v>27</v>
      </c>
      <c r="J6" s="39">
        <f>C9</f>
        <v>910</v>
      </c>
      <c r="K6" s="35">
        <f>C14</f>
        <v>3.9</v>
      </c>
      <c r="L6" s="35">
        <f>D14</f>
        <v>-61.97</v>
      </c>
      <c r="M6" s="35">
        <f>J6*K6</f>
        <v>3549</v>
      </c>
      <c r="N6" s="35">
        <f>J6*L6</f>
        <v>-56392.7</v>
      </c>
    </row>
    <row r="7" spans="1:14" x14ac:dyDescent="0.25">
      <c r="B7" s="46" t="s">
        <v>51</v>
      </c>
      <c r="C7" s="46">
        <f>C9*0.2</f>
        <v>182</v>
      </c>
      <c r="D7" s="46">
        <v>7</v>
      </c>
      <c r="E7" s="46">
        <v>-54</v>
      </c>
      <c r="F7" s="46">
        <f>C7*D7</f>
        <v>1274</v>
      </c>
      <c r="G7" s="46">
        <f t="shared" si="0"/>
        <v>-9828</v>
      </c>
      <c r="I7" s="35" t="s">
        <v>39</v>
      </c>
      <c r="J7" s="39">
        <f>C23</f>
        <v>825</v>
      </c>
      <c r="K7" s="35">
        <f>C28</f>
        <v>-148.24</v>
      </c>
      <c r="L7" s="35">
        <f>D28</f>
        <v>25.32</v>
      </c>
      <c r="M7" s="35">
        <f t="shared" ref="M7:M9" si="1">J7*K7</f>
        <v>-122298.00000000001</v>
      </c>
      <c r="N7" s="35">
        <f t="shared" ref="N7:N9" si="2">J7*L7</f>
        <v>20889</v>
      </c>
    </row>
    <row r="8" spans="1:14" x14ac:dyDescent="0.25">
      <c r="B8" s="46" t="s">
        <v>52</v>
      </c>
      <c r="C8" s="47">
        <f>C9*0.25</f>
        <v>227.5</v>
      </c>
      <c r="D8" s="46">
        <v>-1</v>
      </c>
      <c r="E8" s="46">
        <v>-63</v>
      </c>
      <c r="F8" s="46">
        <f>C8*D8</f>
        <v>-227.5</v>
      </c>
      <c r="G8" s="46">
        <f t="shared" si="0"/>
        <v>-14332.5</v>
      </c>
      <c r="I8" s="35" t="s">
        <v>41</v>
      </c>
      <c r="J8" s="39">
        <f>C37</f>
        <v>644</v>
      </c>
      <c r="K8" s="35">
        <f>C42</f>
        <v>6.3599999999999994</v>
      </c>
      <c r="L8" s="35">
        <f>D42</f>
        <v>-61</v>
      </c>
      <c r="M8" s="35">
        <f t="shared" si="1"/>
        <v>4095.8399999999997</v>
      </c>
      <c r="N8" s="35">
        <f t="shared" si="2"/>
        <v>-39284</v>
      </c>
    </row>
    <row r="9" spans="1:14" x14ac:dyDescent="0.25">
      <c r="B9" s="46" t="s">
        <v>42</v>
      </c>
      <c r="C9" s="46">
        <v>910</v>
      </c>
      <c r="D9" s="48"/>
      <c r="E9" s="46" t="s">
        <v>42</v>
      </c>
      <c r="F9" s="46">
        <f>SUM(F5:F8)</f>
        <v>3549</v>
      </c>
      <c r="G9" s="46">
        <f>SUM(G5:G8)</f>
        <v>-56392.7</v>
      </c>
      <c r="I9" s="35" t="s">
        <v>43</v>
      </c>
      <c r="J9" s="39">
        <f>C52</f>
        <v>760</v>
      </c>
      <c r="K9" s="35">
        <f>C57</f>
        <v>79.02000000000001</v>
      </c>
      <c r="L9" s="35">
        <f>D57</f>
        <v>-18.399999999999999</v>
      </c>
      <c r="M9" s="35">
        <f t="shared" si="1"/>
        <v>60055.200000000004</v>
      </c>
      <c r="N9" s="35">
        <f t="shared" si="2"/>
        <v>-13983.999999999998</v>
      </c>
    </row>
    <row r="10" spans="1:14" x14ac:dyDescent="0.25">
      <c r="B10" s="16"/>
      <c r="C10" s="16"/>
      <c r="D10" s="16"/>
      <c r="E10" s="16"/>
      <c r="F10" s="16"/>
      <c r="G10" s="16"/>
      <c r="I10" s="35" t="s">
        <v>28</v>
      </c>
      <c r="J10" s="35"/>
      <c r="K10" s="54">
        <f>M12/J12</f>
        <v>-17.393424657534251</v>
      </c>
      <c r="L10" s="54">
        <f>N12/J12</f>
        <v>-28.280248486779229</v>
      </c>
    </row>
    <row r="11" spans="1:14" ht="15.75" thickBot="1" x14ac:dyDescent="0.3">
      <c r="B11" s="16"/>
      <c r="C11" s="153" t="s">
        <v>7</v>
      </c>
      <c r="D11" s="153"/>
      <c r="E11" s="16"/>
      <c r="F11" s="16"/>
      <c r="G11" s="16"/>
    </row>
    <row r="12" spans="1:14" ht="15.75" thickBot="1" x14ac:dyDescent="0.3">
      <c r="B12" s="16"/>
      <c r="C12" s="137" t="s">
        <v>44</v>
      </c>
      <c r="D12" s="137"/>
      <c r="E12" s="16"/>
      <c r="F12" s="16"/>
      <c r="G12" s="16"/>
      <c r="J12" s="55">
        <f>SUM(J6:J9)</f>
        <v>3139</v>
      </c>
      <c r="L12" s="53" t="s">
        <v>45</v>
      </c>
      <c r="M12" s="57">
        <f>SUM(M6:M9)</f>
        <v>-54597.960000000014</v>
      </c>
      <c r="N12" s="56">
        <f>SUM(N6:N9)</f>
        <v>-88771.7</v>
      </c>
    </row>
    <row r="13" spans="1:14" x14ac:dyDescent="0.25">
      <c r="B13" s="16"/>
      <c r="C13" s="46" t="s">
        <v>31</v>
      </c>
      <c r="D13" s="46" t="s">
        <v>32</v>
      </c>
      <c r="E13" s="16"/>
      <c r="F13" s="16"/>
      <c r="G13" s="16"/>
      <c r="J13" s="135"/>
      <c r="K13" s="135"/>
    </row>
    <row r="14" spans="1:14" x14ac:dyDescent="0.25">
      <c r="B14" s="16"/>
      <c r="C14" s="46">
        <f>F9/C9</f>
        <v>3.9</v>
      </c>
      <c r="D14" s="46">
        <f>G9/C9</f>
        <v>-61.97</v>
      </c>
      <c r="E14" s="16"/>
      <c r="F14" s="16"/>
      <c r="G14" s="16"/>
    </row>
    <row r="16" spans="1:14" x14ac:dyDescent="0.25">
      <c r="A16" s="16"/>
      <c r="B16" s="16"/>
      <c r="C16" s="16"/>
      <c r="D16" s="16"/>
      <c r="E16" s="16"/>
      <c r="F16" s="16"/>
      <c r="G16" s="16"/>
    </row>
    <row r="17" spans="1:7" x14ac:dyDescent="0.25">
      <c r="A17" s="16"/>
      <c r="B17" s="152" t="s">
        <v>39</v>
      </c>
      <c r="C17" s="152"/>
      <c r="D17" s="152"/>
      <c r="E17" s="152"/>
      <c r="F17" s="152"/>
      <c r="G17" s="152"/>
    </row>
    <row r="18" spans="1:7" x14ac:dyDescent="0.25">
      <c r="A18" s="16"/>
      <c r="B18" s="46" t="s">
        <v>29</v>
      </c>
      <c r="C18" s="46" t="s">
        <v>30</v>
      </c>
      <c r="D18" s="46" t="s">
        <v>31</v>
      </c>
      <c r="E18" s="46" t="s">
        <v>32</v>
      </c>
      <c r="F18" s="46" t="s">
        <v>33</v>
      </c>
      <c r="G18" s="46" t="s">
        <v>34</v>
      </c>
    </row>
    <row r="19" spans="1:7" x14ac:dyDescent="0.25">
      <c r="A19" s="16"/>
      <c r="B19" s="46" t="s">
        <v>46</v>
      </c>
      <c r="C19" s="47">
        <f>C23*0.24</f>
        <v>198</v>
      </c>
      <c r="D19" s="46">
        <v>-142</v>
      </c>
      <c r="E19" s="46">
        <v>22</v>
      </c>
      <c r="F19" s="46">
        <f>C19*D19</f>
        <v>-28116</v>
      </c>
      <c r="G19" s="46">
        <f>C19*E19</f>
        <v>4356</v>
      </c>
    </row>
    <row r="20" spans="1:7" x14ac:dyDescent="0.25">
      <c r="A20" s="16"/>
      <c r="B20" s="46" t="s">
        <v>47</v>
      </c>
      <c r="C20" s="47">
        <f>C23*0.24</f>
        <v>198</v>
      </c>
      <c r="D20" s="46">
        <v>-151</v>
      </c>
      <c r="E20" s="46">
        <v>21</v>
      </c>
      <c r="F20" s="46">
        <f t="shared" ref="F20:F22" si="3">C20*D20</f>
        <v>-29898</v>
      </c>
      <c r="G20" s="46">
        <f t="shared" ref="G20:G22" si="4">C20*E20</f>
        <v>4158</v>
      </c>
    </row>
    <row r="21" spans="1:7" x14ac:dyDescent="0.25">
      <c r="A21" s="16"/>
      <c r="B21" s="46" t="s">
        <v>67</v>
      </c>
      <c r="C21" s="46">
        <f>C23*0.32</f>
        <v>264</v>
      </c>
      <c r="D21" s="46">
        <v>-146</v>
      </c>
      <c r="E21" s="46">
        <v>30</v>
      </c>
      <c r="F21" s="46">
        <f t="shared" si="3"/>
        <v>-38544</v>
      </c>
      <c r="G21" s="46">
        <f t="shared" si="4"/>
        <v>7920</v>
      </c>
    </row>
    <row r="22" spans="1:7" x14ac:dyDescent="0.25">
      <c r="A22" s="16"/>
      <c r="B22" s="46" t="s">
        <v>48</v>
      </c>
      <c r="C22" s="47">
        <f>C23*0.2</f>
        <v>165</v>
      </c>
      <c r="D22" s="46">
        <v>-156</v>
      </c>
      <c r="E22" s="46">
        <v>27</v>
      </c>
      <c r="F22" s="46">
        <f t="shared" si="3"/>
        <v>-25740</v>
      </c>
      <c r="G22" s="46">
        <f t="shared" si="4"/>
        <v>4455</v>
      </c>
    </row>
    <row r="23" spans="1:7" x14ac:dyDescent="0.25">
      <c r="A23" s="16"/>
      <c r="B23" s="46" t="s">
        <v>42</v>
      </c>
      <c r="C23" s="46">
        <v>825</v>
      </c>
      <c r="D23" s="48"/>
      <c r="E23" s="46" t="s">
        <v>42</v>
      </c>
      <c r="F23" s="46">
        <f>SUM(F19:F22)</f>
        <v>-122298</v>
      </c>
      <c r="G23" s="46">
        <f>SUM(G19:G22)</f>
        <v>20889</v>
      </c>
    </row>
    <row r="24" spans="1:7" x14ac:dyDescent="0.25">
      <c r="A24" s="16"/>
      <c r="B24" s="16"/>
      <c r="C24" s="16"/>
      <c r="D24" s="16"/>
      <c r="E24" s="16"/>
      <c r="F24" s="16"/>
      <c r="G24" s="16"/>
    </row>
    <row r="25" spans="1:7" x14ac:dyDescent="0.25">
      <c r="A25" s="16"/>
      <c r="B25" s="16"/>
      <c r="C25" s="152" t="s">
        <v>39</v>
      </c>
      <c r="D25" s="152"/>
      <c r="E25" s="16"/>
      <c r="F25" s="16"/>
      <c r="G25" s="16"/>
    </row>
    <row r="26" spans="1:7" x14ac:dyDescent="0.25">
      <c r="A26" s="16"/>
      <c r="B26" s="16"/>
      <c r="C26" s="137" t="s">
        <v>44</v>
      </c>
      <c r="D26" s="137"/>
      <c r="E26" s="16"/>
      <c r="F26" s="16"/>
      <c r="G26" s="16"/>
    </row>
    <row r="27" spans="1:7" x14ac:dyDescent="0.25">
      <c r="A27" s="16"/>
      <c r="B27" s="16"/>
      <c r="C27" s="46" t="s">
        <v>31</v>
      </c>
      <c r="D27" s="46" t="s">
        <v>32</v>
      </c>
      <c r="E27" s="16"/>
      <c r="F27" s="16"/>
      <c r="G27" s="16"/>
    </row>
    <row r="28" spans="1:7" x14ac:dyDescent="0.25">
      <c r="A28" s="16"/>
      <c r="B28" s="16"/>
      <c r="C28" s="46">
        <f>F23/C23</f>
        <v>-148.24</v>
      </c>
      <c r="D28" s="46">
        <f>G23/C23</f>
        <v>25.32</v>
      </c>
      <c r="E28" s="16"/>
      <c r="F28" s="16"/>
      <c r="G28" s="16"/>
    </row>
    <row r="30" spans="1:7" x14ac:dyDescent="0.25">
      <c r="A30" s="16"/>
      <c r="B30" s="16"/>
      <c r="C30" s="16"/>
      <c r="D30" s="16"/>
      <c r="E30" s="16"/>
      <c r="F30" s="16"/>
      <c r="G30" s="16"/>
    </row>
    <row r="31" spans="1:7" x14ac:dyDescent="0.25">
      <c r="A31" s="16"/>
      <c r="B31" s="138" t="s">
        <v>3</v>
      </c>
      <c r="C31" s="138"/>
      <c r="D31" s="138"/>
      <c r="E31" s="138"/>
      <c r="F31" s="138"/>
      <c r="G31" s="138"/>
    </row>
    <row r="32" spans="1:7" x14ac:dyDescent="0.25">
      <c r="A32" s="16"/>
      <c r="B32" s="46" t="s">
        <v>29</v>
      </c>
      <c r="C32" s="46" t="s">
        <v>30</v>
      </c>
      <c r="D32" s="46" t="s">
        <v>31</v>
      </c>
      <c r="E32" s="46" t="s">
        <v>32</v>
      </c>
      <c r="F32" s="46" t="s">
        <v>33</v>
      </c>
      <c r="G32" s="46" t="s">
        <v>34</v>
      </c>
    </row>
    <row r="33" spans="1:12" x14ac:dyDescent="0.25">
      <c r="A33" s="16"/>
      <c r="B33" s="46" t="s">
        <v>35</v>
      </c>
      <c r="C33" s="47">
        <f>C37*0.17</f>
        <v>109.48</v>
      </c>
      <c r="D33" s="46">
        <v>2</v>
      </c>
      <c r="E33" s="46">
        <v>-61</v>
      </c>
      <c r="F33" s="46">
        <f>C33*D33</f>
        <v>218.96</v>
      </c>
      <c r="G33" s="46">
        <f>C33*E33</f>
        <v>-6678.2800000000007</v>
      </c>
    </row>
    <row r="34" spans="1:12" x14ac:dyDescent="0.25">
      <c r="A34" s="16"/>
      <c r="B34" s="46" t="s">
        <v>37</v>
      </c>
      <c r="C34" s="47">
        <f>C37*0.19</f>
        <v>122.36</v>
      </c>
      <c r="D34" s="46">
        <v>6</v>
      </c>
      <c r="E34" s="46">
        <v>-57</v>
      </c>
      <c r="F34" s="46">
        <f t="shared" ref="F34:F36" si="5">C34*D34</f>
        <v>734.16</v>
      </c>
      <c r="G34" s="46">
        <f t="shared" ref="G34:G36" si="6">C34*E34</f>
        <v>-6974.5199999999995</v>
      </c>
    </row>
    <row r="35" spans="1:12" x14ac:dyDescent="0.25">
      <c r="A35" s="16"/>
      <c r="B35" s="46" t="s">
        <v>38</v>
      </c>
      <c r="C35" s="47">
        <f>C37*0.35</f>
        <v>225.39999999999998</v>
      </c>
      <c r="D35" s="46">
        <v>4</v>
      </c>
      <c r="E35" s="46">
        <v>-64</v>
      </c>
      <c r="F35" s="46">
        <f t="shared" si="5"/>
        <v>901.59999999999991</v>
      </c>
      <c r="G35" s="46">
        <f t="shared" si="6"/>
        <v>-14425.599999999999</v>
      </c>
    </row>
    <row r="36" spans="1:12" x14ac:dyDescent="0.25">
      <c r="A36" s="16"/>
      <c r="B36" s="46" t="s">
        <v>40</v>
      </c>
      <c r="C36" s="47">
        <f>C37*0.29</f>
        <v>186.76</v>
      </c>
      <c r="D36" s="46">
        <v>12</v>
      </c>
      <c r="E36" s="46">
        <v>-60</v>
      </c>
      <c r="F36" s="46">
        <f t="shared" si="5"/>
        <v>2241.12</v>
      </c>
      <c r="G36" s="46">
        <f t="shared" si="6"/>
        <v>-11205.599999999999</v>
      </c>
    </row>
    <row r="37" spans="1:12" x14ac:dyDescent="0.25">
      <c r="A37" s="16"/>
      <c r="B37" s="46" t="s">
        <v>42</v>
      </c>
      <c r="C37" s="46">
        <v>644</v>
      </c>
      <c r="D37" s="48"/>
      <c r="E37" s="46" t="s">
        <v>42</v>
      </c>
      <c r="F37" s="46">
        <f>SUM(F33:F36)</f>
        <v>4095.8399999999997</v>
      </c>
      <c r="G37" s="46">
        <f>SUM(G33:G36)</f>
        <v>-39284</v>
      </c>
    </row>
    <row r="38" spans="1:12" x14ac:dyDescent="0.25">
      <c r="A38" s="16"/>
      <c r="B38" s="16"/>
      <c r="C38" s="16"/>
      <c r="D38" s="16"/>
      <c r="E38" s="16"/>
      <c r="F38" s="16"/>
      <c r="G38" s="16"/>
    </row>
    <row r="39" spans="1:12" x14ac:dyDescent="0.25">
      <c r="A39" s="16"/>
      <c r="B39" s="16"/>
      <c r="C39" s="138" t="s">
        <v>3</v>
      </c>
      <c r="D39" s="138"/>
      <c r="E39" s="16"/>
      <c r="F39" s="16"/>
      <c r="G39" s="16"/>
    </row>
    <row r="40" spans="1:12" x14ac:dyDescent="0.25">
      <c r="A40" s="16"/>
      <c r="B40" s="16"/>
      <c r="C40" s="137" t="s">
        <v>44</v>
      </c>
      <c r="D40" s="137"/>
      <c r="E40" s="16"/>
      <c r="F40" s="16"/>
      <c r="G40" s="16"/>
    </row>
    <row r="41" spans="1:12" x14ac:dyDescent="0.25">
      <c r="A41" s="16"/>
      <c r="B41" s="16"/>
      <c r="C41" s="46" t="s">
        <v>31</v>
      </c>
      <c r="D41" s="46" t="s">
        <v>32</v>
      </c>
      <c r="E41" s="16"/>
      <c r="F41" s="16"/>
      <c r="G41" s="16"/>
    </row>
    <row r="42" spans="1:12" x14ac:dyDescent="0.25">
      <c r="A42" s="16"/>
      <c r="B42" s="16"/>
      <c r="C42" s="46">
        <f>F37/C37</f>
        <v>6.3599999999999994</v>
      </c>
      <c r="D42" s="46">
        <f>G37/C37</f>
        <v>-61</v>
      </c>
      <c r="E42" s="16"/>
      <c r="F42" s="16"/>
      <c r="G42" s="16"/>
      <c r="I42" s="139" t="s">
        <v>53</v>
      </c>
      <c r="J42" s="139"/>
      <c r="K42" s="40" t="s">
        <v>54</v>
      </c>
      <c r="L42" s="35" t="s">
        <v>55</v>
      </c>
    </row>
    <row r="43" spans="1:12" x14ac:dyDescent="0.25">
      <c r="A43" s="16"/>
      <c r="B43" s="16"/>
      <c r="C43" s="16"/>
      <c r="D43" s="16"/>
      <c r="E43" s="16"/>
      <c r="F43" s="16"/>
      <c r="G43" s="16"/>
      <c r="I43" s="35" t="s">
        <v>69</v>
      </c>
      <c r="J43" s="41">
        <v>12.65</v>
      </c>
      <c r="K43" s="42">
        <f>J43*5</f>
        <v>63.25</v>
      </c>
      <c r="L43" s="43">
        <f>0.15*K43</f>
        <v>9.4874999999999989</v>
      </c>
    </row>
    <row r="44" spans="1:12" x14ac:dyDescent="0.25">
      <c r="B44" s="16"/>
      <c r="C44" s="16"/>
      <c r="D44" s="16"/>
      <c r="E44" s="16"/>
      <c r="F44" s="16"/>
      <c r="G44" s="16"/>
      <c r="I44" s="35" t="s">
        <v>70</v>
      </c>
      <c r="J44" s="41">
        <v>12.94</v>
      </c>
      <c r="K44" s="42">
        <f>J44*5</f>
        <v>64.7</v>
      </c>
      <c r="L44" s="43">
        <f t="shared" ref="L44:L46" si="7">0.15*K44</f>
        <v>9.7050000000000001</v>
      </c>
    </row>
    <row r="45" spans="1:12" x14ac:dyDescent="0.25">
      <c r="B45" s="16"/>
      <c r="C45" s="16"/>
      <c r="D45" s="16"/>
      <c r="E45" s="16"/>
      <c r="F45" s="16"/>
      <c r="G45" s="16"/>
      <c r="I45" s="35" t="s">
        <v>3</v>
      </c>
      <c r="J45" s="41">
        <v>13.1</v>
      </c>
      <c r="K45" s="42">
        <f>J45*5</f>
        <v>65.5</v>
      </c>
      <c r="L45" s="43">
        <f t="shared" si="7"/>
        <v>9.8249999999999993</v>
      </c>
    </row>
    <row r="46" spans="1:12" x14ac:dyDescent="0.25">
      <c r="B46" s="140" t="s">
        <v>43</v>
      </c>
      <c r="C46" s="140"/>
      <c r="D46" s="140"/>
      <c r="E46" s="140"/>
      <c r="F46" s="140"/>
      <c r="G46" s="140"/>
      <c r="I46" s="35" t="s">
        <v>71</v>
      </c>
      <c r="J46" s="41">
        <v>13.15</v>
      </c>
      <c r="K46" s="42">
        <f>J46*5</f>
        <v>65.75</v>
      </c>
      <c r="L46" s="43">
        <f t="shared" si="7"/>
        <v>9.8624999999999989</v>
      </c>
    </row>
    <row r="47" spans="1:12" x14ac:dyDescent="0.25">
      <c r="B47" s="46" t="s">
        <v>29</v>
      </c>
      <c r="C47" s="46" t="s">
        <v>30</v>
      </c>
      <c r="D47" s="46" t="s">
        <v>31</v>
      </c>
      <c r="E47" s="46" t="s">
        <v>32</v>
      </c>
      <c r="F47" s="46" t="s">
        <v>33</v>
      </c>
      <c r="G47" s="46" t="s">
        <v>34</v>
      </c>
      <c r="J47" s="141" t="s">
        <v>56</v>
      </c>
      <c r="K47" s="141"/>
      <c r="L47" s="50">
        <f>SUM(L43:L46)</f>
        <v>38.879999999999995</v>
      </c>
    </row>
    <row r="48" spans="1:12" x14ac:dyDescent="0.25">
      <c r="B48" s="46" t="s">
        <v>57</v>
      </c>
      <c r="C48" s="47">
        <f>C52*0.27</f>
        <v>205.20000000000002</v>
      </c>
      <c r="D48" s="46">
        <v>83</v>
      </c>
      <c r="E48" s="46">
        <v>-21</v>
      </c>
      <c r="F48" s="46">
        <f>C48*D48</f>
        <v>17031.600000000002</v>
      </c>
      <c r="G48" s="46">
        <f>C48*E48</f>
        <v>-4309.2000000000007</v>
      </c>
    </row>
    <row r="49" spans="2:15" x14ac:dyDescent="0.25">
      <c r="B49" s="46" t="s">
        <v>58</v>
      </c>
      <c r="C49" s="47">
        <f>C52*0.15</f>
        <v>114</v>
      </c>
      <c r="D49" s="46">
        <v>77</v>
      </c>
      <c r="E49" s="46">
        <v>-17</v>
      </c>
      <c r="F49" s="46">
        <f t="shared" ref="F49:F51" si="8">C49*D49</f>
        <v>8778</v>
      </c>
      <c r="G49" s="46">
        <f t="shared" ref="G49:G51" si="9">C49*E49</f>
        <v>-1938</v>
      </c>
    </row>
    <row r="50" spans="2:15" x14ac:dyDescent="0.25">
      <c r="B50" s="46" t="s">
        <v>68</v>
      </c>
      <c r="C50" s="47">
        <f>C52*0.28</f>
        <v>212.8</v>
      </c>
      <c r="D50" s="46">
        <v>87</v>
      </c>
      <c r="E50" s="46">
        <v>-16</v>
      </c>
      <c r="F50" s="46">
        <f t="shared" si="8"/>
        <v>18513.600000000002</v>
      </c>
      <c r="G50" s="46">
        <f t="shared" si="9"/>
        <v>-3404.8</v>
      </c>
      <c r="I50" s="142" t="s">
        <v>59</v>
      </c>
      <c r="J50" s="142"/>
      <c r="K50" s="142"/>
      <c r="L50" s="142"/>
      <c r="M50" s="4"/>
      <c r="N50" s="4"/>
      <c r="O50" s="4"/>
    </row>
    <row r="51" spans="2:15" x14ac:dyDescent="0.25">
      <c r="B51" s="46" t="s">
        <v>60</v>
      </c>
      <c r="C51" s="47">
        <f>C52*0.3</f>
        <v>228</v>
      </c>
      <c r="D51" s="46">
        <v>69</v>
      </c>
      <c r="E51" s="46">
        <v>-19</v>
      </c>
      <c r="F51" s="46">
        <f t="shared" si="8"/>
        <v>15732</v>
      </c>
      <c r="G51" s="46">
        <f t="shared" si="9"/>
        <v>-4332</v>
      </c>
      <c r="I51" s="51" t="s">
        <v>7</v>
      </c>
      <c r="J51" s="52">
        <f>J45</f>
        <v>13.1</v>
      </c>
    </row>
    <row r="52" spans="2:15" x14ac:dyDescent="0.25">
      <c r="B52" s="46" t="s">
        <v>42</v>
      </c>
      <c r="C52" s="46">
        <v>760</v>
      </c>
      <c r="D52" s="48"/>
      <c r="E52" s="46" t="s">
        <v>42</v>
      </c>
      <c r="F52" s="46">
        <f>SUM(F48:F51)</f>
        <v>60055.200000000004</v>
      </c>
      <c r="G52" s="46">
        <f>SUM(G48:G51)</f>
        <v>-13984</v>
      </c>
      <c r="I52" s="51" t="s">
        <v>3</v>
      </c>
      <c r="J52" s="52">
        <f>J43</f>
        <v>12.65</v>
      </c>
    </row>
    <row r="53" spans="2:15" x14ac:dyDescent="0.25">
      <c r="B53" s="16"/>
      <c r="C53" s="16"/>
      <c r="D53" s="16"/>
      <c r="E53" s="16"/>
      <c r="F53" s="16"/>
      <c r="G53" s="16"/>
      <c r="I53" s="36" t="s">
        <v>8</v>
      </c>
      <c r="J53" s="44">
        <f>J46</f>
        <v>13.15</v>
      </c>
    </row>
    <row r="54" spans="2:15" x14ac:dyDescent="0.25">
      <c r="B54" s="16"/>
      <c r="C54" s="140" t="s">
        <v>43</v>
      </c>
      <c r="D54" s="140"/>
      <c r="E54" s="16"/>
      <c r="F54" s="16"/>
      <c r="G54" s="16"/>
      <c r="I54" s="36" t="s">
        <v>5</v>
      </c>
      <c r="J54" s="44">
        <f>J44</f>
        <v>12.94</v>
      </c>
    </row>
    <row r="55" spans="2:15" x14ac:dyDescent="0.25">
      <c r="B55" s="16"/>
      <c r="C55" s="137" t="s">
        <v>44</v>
      </c>
      <c r="D55" s="137"/>
      <c r="E55" s="16"/>
      <c r="F55" s="16"/>
      <c r="G55" s="16"/>
    </row>
    <row r="56" spans="2:15" x14ac:dyDescent="0.25">
      <c r="B56" s="16"/>
      <c r="C56" s="46" t="s">
        <v>31</v>
      </c>
      <c r="D56" s="46" t="s">
        <v>32</v>
      </c>
      <c r="E56" s="16"/>
      <c r="F56" s="16"/>
      <c r="G56" s="16"/>
    </row>
    <row r="57" spans="2:15" x14ac:dyDescent="0.25">
      <c r="B57" s="16"/>
      <c r="C57" s="46">
        <f>F52/C52</f>
        <v>79.02000000000001</v>
      </c>
      <c r="D57" s="46">
        <f>G52/C52</f>
        <v>-18.399999999999999</v>
      </c>
      <c r="E57" s="16"/>
      <c r="F57" s="16"/>
      <c r="G57" s="16"/>
      <c r="I57" s="35" t="s">
        <v>36</v>
      </c>
      <c r="J57" s="35" t="s">
        <v>30</v>
      </c>
      <c r="K57" s="35" t="s">
        <v>31</v>
      </c>
      <c r="L57" s="35" t="s">
        <v>32</v>
      </c>
    </row>
    <row r="58" spans="2:15" x14ac:dyDescent="0.25">
      <c r="B58" s="16"/>
      <c r="C58" s="16"/>
      <c r="D58" s="16"/>
      <c r="E58" s="16"/>
      <c r="F58" s="16"/>
      <c r="G58" s="16"/>
      <c r="I58" s="35" t="s">
        <v>73</v>
      </c>
      <c r="J58" s="35">
        <v>910</v>
      </c>
      <c r="K58" s="35">
        <v>3.9</v>
      </c>
      <c r="L58" s="35">
        <v>-61.97</v>
      </c>
    </row>
    <row r="59" spans="2:15" ht="15.75" thickBot="1" x14ac:dyDescent="0.3">
      <c r="I59" s="35" t="s">
        <v>39</v>
      </c>
      <c r="J59" s="35">
        <v>825</v>
      </c>
      <c r="K59" s="35">
        <v>-148.23999999999998</v>
      </c>
      <c r="L59" s="35">
        <v>25.319999999999997</v>
      </c>
    </row>
    <row r="60" spans="2:15" ht="15" customHeight="1" x14ac:dyDescent="0.25">
      <c r="B60" s="143" t="s">
        <v>72</v>
      </c>
      <c r="C60" s="144"/>
      <c r="D60" s="144"/>
      <c r="E60" s="144"/>
      <c r="F60" s="144"/>
      <c r="G60" s="145"/>
      <c r="I60" s="35" t="s">
        <v>3</v>
      </c>
      <c r="J60" s="35">
        <v>644</v>
      </c>
      <c r="K60" s="35">
        <v>6.36</v>
      </c>
      <c r="L60" s="35">
        <v>-61</v>
      </c>
    </row>
    <row r="61" spans="2:15" x14ac:dyDescent="0.25">
      <c r="B61" s="146"/>
      <c r="C61" s="147"/>
      <c r="D61" s="147"/>
      <c r="E61" s="147"/>
      <c r="F61" s="147"/>
      <c r="G61" s="148"/>
      <c r="I61" s="35" t="s">
        <v>43</v>
      </c>
      <c r="J61" s="35">
        <v>760</v>
      </c>
      <c r="K61" s="35">
        <v>79.02</v>
      </c>
      <c r="L61" s="35">
        <v>-18.399999999999999</v>
      </c>
    </row>
    <row r="62" spans="2:15" x14ac:dyDescent="0.25">
      <c r="B62" s="146"/>
      <c r="C62" s="147"/>
      <c r="D62" s="147"/>
      <c r="E62" s="147"/>
      <c r="F62" s="147"/>
      <c r="G62" s="148"/>
    </row>
    <row r="63" spans="2:15" x14ac:dyDescent="0.25">
      <c r="B63" s="146"/>
      <c r="C63" s="147"/>
      <c r="D63" s="147"/>
      <c r="E63" s="147"/>
      <c r="F63" s="147"/>
      <c r="G63" s="148"/>
    </row>
    <row r="64" spans="2:15" ht="15.75" thickBot="1" x14ac:dyDescent="0.3">
      <c r="B64" s="149"/>
      <c r="C64" s="150"/>
      <c r="D64" s="150"/>
      <c r="E64" s="150"/>
      <c r="F64" s="150"/>
      <c r="G64" s="151"/>
      <c r="J64" s="35" t="s">
        <v>61</v>
      </c>
      <c r="K64" s="35" t="s">
        <v>54</v>
      </c>
      <c r="L64" s="35" t="s">
        <v>62</v>
      </c>
    </row>
    <row r="65" spans="9:12" x14ac:dyDescent="0.25">
      <c r="I65" s="45" t="s">
        <v>63</v>
      </c>
      <c r="J65" s="41">
        <f>((K60-K59)^2+(L60-L59)^2)^(1/2)</f>
        <v>177.06581375296588</v>
      </c>
      <c r="K65" s="41">
        <f>J65*5</f>
        <v>885.32906876482934</v>
      </c>
      <c r="L65" s="38">
        <f>K65*0.15</f>
        <v>132.7993603147244</v>
      </c>
    </row>
    <row r="66" spans="9:12" x14ac:dyDescent="0.25">
      <c r="I66" s="45" t="s">
        <v>64</v>
      </c>
      <c r="J66" s="41">
        <f>((K58-K61)^2+(L58-L61)^2)^(1/2)</f>
        <v>86.841000109395324</v>
      </c>
      <c r="K66" s="41">
        <f>J66*5</f>
        <v>434.20500054697663</v>
      </c>
      <c r="L66" s="38">
        <f>K66*0.15</f>
        <v>65.13075008204649</v>
      </c>
    </row>
    <row r="67" spans="9:12" x14ac:dyDescent="0.25">
      <c r="I67" s="45" t="s">
        <v>65</v>
      </c>
      <c r="J67" s="35">
        <v>0</v>
      </c>
      <c r="K67" s="35">
        <f>J67*5</f>
        <v>0</v>
      </c>
      <c r="L67" s="38">
        <f>K67*0.015</f>
        <v>0</v>
      </c>
    </row>
    <row r="68" spans="9:12" x14ac:dyDescent="0.25">
      <c r="I68" s="45" t="s">
        <v>27</v>
      </c>
      <c r="J68" s="35">
        <v>0</v>
      </c>
      <c r="K68" s="35">
        <f>J68*5</f>
        <v>0</v>
      </c>
      <c r="L68" s="38">
        <f t="shared" ref="L68" si="10">K68*0.015</f>
        <v>0</v>
      </c>
    </row>
    <row r="69" spans="9:12" x14ac:dyDescent="0.25">
      <c r="J69" s="137" t="s">
        <v>66</v>
      </c>
      <c r="K69" s="137"/>
      <c r="L69" s="49">
        <f>SUM(L65:L68)</f>
        <v>197.93011039677089</v>
      </c>
    </row>
  </sheetData>
  <mergeCells count="19">
    <mergeCell ref="C25:D25"/>
    <mergeCell ref="I3:N3"/>
    <mergeCell ref="B3:G3"/>
    <mergeCell ref="C11:D11"/>
    <mergeCell ref="C12:D12"/>
    <mergeCell ref="J13:K13"/>
    <mergeCell ref="B17:G17"/>
    <mergeCell ref="J69:K69"/>
    <mergeCell ref="C26:D26"/>
    <mergeCell ref="B31:G31"/>
    <mergeCell ref="C39:D39"/>
    <mergeCell ref="C40:D40"/>
    <mergeCell ref="I42:J42"/>
    <mergeCell ref="B46:G46"/>
    <mergeCell ref="J47:K47"/>
    <mergeCell ref="I50:L50"/>
    <mergeCell ref="C54:D54"/>
    <mergeCell ref="C55:D55"/>
    <mergeCell ref="B60:G6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D808-AFE1-4589-B3E8-D0B0A315C3B4}">
  <sheetPr>
    <tabColor rgb="FF002060"/>
  </sheetPr>
  <dimension ref="A1:G54"/>
  <sheetViews>
    <sheetView showGridLines="0" workbookViewId="0">
      <selection activeCell="L53" sqref="L53"/>
    </sheetView>
  </sheetViews>
  <sheetFormatPr baseColWidth="10" defaultRowHeight="15" x14ac:dyDescent="0.25"/>
  <sheetData>
    <row r="1" spans="1:7" x14ac:dyDescent="0.25">
      <c r="A1" s="58"/>
      <c r="B1" s="58"/>
      <c r="C1" s="58"/>
      <c r="D1" s="58"/>
      <c r="E1" s="58"/>
      <c r="F1" s="58"/>
      <c r="G1" s="58"/>
    </row>
    <row r="2" spans="1:7" x14ac:dyDescent="0.25">
      <c r="A2" s="58"/>
      <c r="B2" s="58"/>
      <c r="C2" s="58"/>
      <c r="D2" s="58"/>
      <c r="E2" s="58"/>
      <c r="F2" s="58"/>
      <c r="G2" s="58"/>
    </row>
    <row r="3" spans="1:7" ht="39.75" x14ac:dyDescent="0.8">
      <c r="A3" s="163" t="s">
        <v>74</v>
      </c>
      <c r="B3" s="163"/>
      <c r="C3" s="163"/>
      <c r="D3" s="163"/>
      <c r="E3" s="163"/>
      <c r="F3" s="163"/>
      <c r="G3" s="163"/>
    </row>
    <row r="4" spans="1:7" x14ac:dyDescent="0.25">
      <c r="A4" s="58"/>
      <c r="B4" s="58"/>
      <c r="C4" s="58"/>
      <c r="D4" s="58"/>
      <c r="E4" s="58"/>
      <c r="F4" s="58"/>
      <c r="G4" s="58"/>
    </row>
    <row r="5" spans="1:7" x14ac:dyDescent="0.25">
      <c r="A5" s="58"/>
      <c r="B5" s="58"/>
      <c r="C5" s="58"/>
      <c r="D5" s="58"/>
      <c r="E5" s="58"/>
      <c r="F5" s="58"/>
      <c r="G5" s="58"/>
    </row>
    <row r="6" spans="1:7" ht="15.75" thickBot="1" x14ac:dyDescent="0.3"/>
    <row r="7" spans="1:7" ht="17.25" customHeight="1" x14ac:dyDescent="0.25">
      <c r="A7" s="59">
        <v>1</v>
      </c>
      <c r="B7" s="154" t="s">
        <v>75</v>
      </c>
      <c r="C7" s="155"/>
      <c r="D7" s="155"/>
      <c r="E7" s="155"/>
      <c r="F7" s="155"/>
      <c r="G7" s="156"/>
    </row>
    <row r="8" spans="1:7" x14ac:dyDescent="0.25">
      <c r="B8" s="157"/>
      <c r="C8" s="158"/>
      <c r="D8" s="158"/>
      <c r="E8" s="158"/>
      <c r="F8" s="158"/>
      <c r="G8" s="159"/>
    </row>
    <row r="9" spans="1:7" x14ac:dyDescent="0.25">
      <c r="B9" s="157"/>
      <c r="C9" s="158"/>
      <c r="D9" s="158"/>
      <c r="E9" s="158"/>
      <c r="F9" s="158"/>
      <c r="G9" s="159"/>
    </row>
    <row r="10" spans="1:7" x14ac:dyDescent="0.25">
      <c r="B10" s="157"/>
      <c r="C10" s="158"/>
      <c r="D10" s="158"/>
      <c r="E10" s="158"/>
      <c r="F10" s="158"/>
      <c r="G10" s="159"/>
    </row>
    <row r="11" spans="1:7" x14ac:dyDescent="0.25">
      <c r="B11" s="157"/>
      <c r="C11" s="158"/>
      <c r="D11" s="158"/>
      <c r="E11" s="158"/>
      <c r="F11" s="158"/>
      <c r="G11" s="159"/>
    </row>
    <row r="12" spans="1:7" x14ac:dyDescent="0.25">
      <c r="B12" s="157"/>
      <c r="C12" s="158"/>
      <c r="D12" s="158"/>
      <c r="E12" s="158"/>
      <c r="F12" s="158"/>
      <c r="G12" s="159"/>
    </row>
    <row r="13" spans="1:7" x14ac:dyDescent="0.25">
      <c r="B13" s="157"/>
      <c r="C13" s="158"/>
      <c r="D13" s="158"/>
      <c r="E13" s="158"/>
      <c r="F13" s="158"/>
      <c r="G13" s="159"/>
    </row>
    <row r="14" spans="1:7" x14ac:dyDescent="0.25">
      <c r="B14" s="157"/>
      <c r="C14" s="158"/>
      <c r="D14" s="158"/>
      <c r="E14" s="158"/>
      <c r="F14" s="158"/>
      <c r="G14" s="159"/>
    </row>
    <row r="15" spans="1:7" x14ac:dyDescent="0.25">
      <c r="B15" s="157"/>
      <c r="C15" s="158"/>
      <c r="D15" s="158"/>
      <c r="E15" s="158"/>
      <c r="F15" s="158"/>
      <c r="G15" s="159"/>
    </row>
    <row r="16" spans="1:7" ht="15.75" thickBot="1" x14ac:dyDescent="0.3">
      <c r="B16" s="160"/>
      <c r="C16" s="161"/>
      <c r="D16" s="161"/>
      <c r="E16" s="161"/>
      <c r="F16" s="161"/>
      <c r="G16" s="162"/>
    </row>
    <row r="17" spans="1:7" ht="15.75" thickBot="1" x14ac:dyDescent="0.3"/>
    <row r="18" spans="1:7" ht="17.25" customHeight="1" x14ac:dyDescent="0.25">
      <c r="A18" s="59">
        <v>2</v>
      </c>
      <c r="B18" s="154" t="s">
        <v>76</v>
      </c>
      <c r="C18" s="155"/>
      <c r="D18" s="155"/>
      <c r="E18" s="155"/>
      <c r="F18" s="155"/>
      <c r="G18" s="156"/>
    </row>
    <row r="19" spans="1:7" x14ac:dyDescent="0.25">
      <c r="B19" s="157"/>
      <c r="C19" s="158"/>
      <c r="D19" s="158"/>
      <c r="E19" s="158"/>
      <c r="F19" s="158"/>
      <c r="G19" s="159"/>
    </row>
    <row r="20" spans="1:7" x14ac:dyDescent="0.25">
      <c r="B20" s="157"/>
      <c r="C20" s="158"/>
      <c r="D20" s="158"/>
      <c r="E20" s="158"/>
      <c r="F20" s="158"/>
      <c r="G20" s="159"/>
    </row>
    <row r="21" spans="1:7" x14ac:dyDescent="0.25">
      <c r="B21" s="157"/>
      <c r="C21" s="158"/>
      <c r="D21" s="158"/>
      <c r="E21" s="158"/>
      <c r="F21" s="158"/>
      <c r="G21" s="159"/>
    </row>
    <row r="22" spans="1:7" x14ac:dyDescent="0.25">
      <c r="B22" s="157"/>
      <c r="C22" s="158"/>
      <c r="D22" s="158"/>
      <c r="E22" s="158"/>
      <c r="F22" s="158"/>
      <c r="G22" s="159"/>
    </row>
    <row r="23" spans="1:7" x14ac:dyDescent="0.25">
      <c r="B23" s="157"/>
      <c r="C23" s="158"/>
      <c r="D23" s="158"/>
      <c r="E23" s="158"/>
      <c r="F23" s="158"/>
      <c r="G23" s="159"/>
    </row>
    <row r="24" spans="1:7" x14ac:dyDescent="0.25">
      <c r="B24" s="157"/>
      <c r="C24" s="158"/>
      <c r="D24" s="158"/>
      <c r="E24" s="158"/>
      <c r="F24" s="158"/>
      <c r="G24" s="159"/>
    </row>
    <row r="25" spans="1:7" x14ac:dyDescent="0.25">
      <c r="B25" s="157"/>
      <c r="C25" s="158"/>
      <c r="D25" s="158"/>
      <c r="E25" s="158"/>
      <c r="F25" s="158"/>
      <c r="G25" s="159"/>
    </row>
    <row r="26" spans="1:7" ht="15.75" thickBot="1" x14ac:dyDescent="0.3">
      <c r="B26" s="160"/>
      <c r="C26" s="161"/>
      <c r="D26" s="161"/>
      <c r="E26" s="161"/>
      <c r="F26" s="161"/>
      <c r="G26" s="162"/>
    </row>
    <row r="27" spans="1:7" ht="15.75" thickBot="1" x14ac:dyDescent="0.3"/>
    <row r="28" spans="1:7" ht="17.25" customHeight="1" x14ac:dyDescent="0.25">
      <c r="A28" s="59">
        <v>3</v>
      </c>
      <c r="B28" s="154" t="s">
        <v>77</v>
      </c>
      <c r="C28" s="155"/>
      <c r="D28" s="155"/>
      <c r="E28" s="155"/>
      <c r="F28" s="155"/>
      <c r="G28" s="156"/>
    </row>
    <row r="29" spans="1:7" x14ac:dyDescent="0.25">
      <c r="B29" s="157"/>
      <c r="C29" s="158"/>
      <c r="D29" s="158"/>
      <c r="E29" s="158"/>
      <c r="F29" s="158"/>
      <c r="G29" s="159"/>
    </row>
    <row r="30" spans="1:7" x14ac:dyDescent="0.25">
      <c r="B30" s="157"/>
      <c r="C30" s="158"/>
      <c r="D30" s="158"/>
      <c r="E30" s="158"/>
      <c r="F30" s="158"/>
      <c r="G30" s="159"/>
    </row>
    <row r="31" spans="1:7" x14ac:dyDescent="0.25">
      <c r="B31" s="157"/>
      <c r="C31" s="158"/>
      <c r="D31" s="158"/>
      <c r="E31" s="158"/>
      <c r="F31" s="158"/>
      <c r="G31" s="159"/>
    </row>
    <row r="32" spans="1:7" x14ac:dyDescent="0.25">
      <c r="B32" s="157"/>
      <c r="C32" s="158"/>
      <c r="D32" s="158"/>
      <c r="E32" s="158"/>
      <c r="F32" s="158"/>
      <c r="G32" s="159"/>
    </row>
    <row r="33" spans="1:7" x14ac:dyDescent="0.25">
      <c r="B33" s="157"/>
      <c r="C33" s="158"/>
      <c r="D33" s="158"/>
      <c r="E33" s="158"/>
      <c r="F33" s="158"/>
      <c r="G33" s="159"/>
    </row>
    <row r="34" spans="1:7" x14ac:dyDescent="0.25">
      <c r="B34" s="157"/>
      <c r="C34" s="158"/>
      <c r="D34" s="158"/>
      <c r="E34" s="158"/>
      <c r="F34" s="158"/>
      <c r="G34" s="159"/>
    </row>
    <row r="35" spans="1:7" x14ac:dyDescent="0.25">
      <c r="B35" s="157"/>
      <c r="C35" s="158"/>
      <c r="D35" s="158"/>
      <c r="E35" s="158"/>
      <c r="F35" s="158"/>
      <c r="G35" s="159"/>
    </row>
    <row r="36" spans="1:7" ht="15.75" thickBot="1" x14ac:dyDescent="0.3">
      <c r="B36" s="160"/>
      <c r="C36" s="161"/>
      <c r="D36" s="161"/>
      <c r="E36" s="161"/>
      <c r="F36" s="161"/>
      <c r="G36" s="162"/>
    </row>
    <row r="37" spans="1:7" ht="15.75" thickBot="1" x14ac:dyDescent="0.3"/>
    <row r="38" spans="1:7" ht="17.25" customHeight="1" x14ac:dyDescent="0.25">
      <c r="A38" s="59">
        <v>4</v>
      </c>
      <c r="B38" s="154" t="s">
        <v>78</v>
      </c>
      <c r="C38" s="155"/>
      <c r="D38" s="155"/>
      <c r="E38" s="155"/>
      <c r="F38" s="155"/>
      <c r="G38" s="156"/>
    </row>
    <row r="39" spans="1:7" x14ac:dyDescent="0.25">
      <c r="B39" s="157"/>
      <c r="C39" s="158"/>
      <c r="D39" s="158"/>
      <c r="E39" s="158"/>
      <c r="F39" s="158"/>
      <c r="G39" s="159"/>
    </row>
    <row r="40" spans="1:7" x14ac:dyDescent="0.25">
      <c r="B40" s="157"/>
      <c r="C40" s="158"/>
      <c r="D40" s="158"/>
      <c r="E40" s="158"/>
      <c r="F40" s="158"/>
      <c r="G40" s="159"/>
    </row>
    <row r="41" spans="1:7" x14ac:dyDescent="0.25">
      <c r="B41" s="157"/>
      <c r="C41" s="158"/>
      <c r="D41" s="158"/>
      <c r="E41" s="158"/>
      <c r="F41" s="158"/>
      <c r="G41" s="159"/>
    </row>
    <row r="42" spans="1:7" x14ac:dyDescent="0.25">
      <c r="B42" s="157"/>
      <c r="C42" s="158"/>
      <c r="D42" s="158"/>
      <c r="E42" s="158"/>
      <c r="F42" s="158"/>
      <c r="G42" s="159"/>
    </row>
    <row r="43" spans="1:7" x14ac:dyDescent="0.25">
      <c r="B43" s="157"/>
      <c r="C43" s="158"/>
      <c r="D43" s="158"/>
      <c r="E43" s="158"/>
      <c r="F43" s="158"/>
      <c r="G43" s="159"/>
    </row>
    <row r="44" spans="1:7" x14ac:dyDescent="0.25">
      <c r="B44" s="157"/>
      <c r="C44" s="158"/>
      <c r="D44" s="158"/>
      <c r="E44" s="158"/>
      <c r="F44" s="158"/>
      <c r="G44" s="159"/>
    </row>
    <row r="45" spans="1:7" ht="15.75" thickBot="1" x14ac:dyDescent="0.3">
      <c r="B45" s="160"/>
      <c r="C45" s="161"/>
      <c r="D45" s="161"/>
      <c r="E45" s="161"/>
      <c r="F45" s="161"/>
      <c r="G45" s="162"/>
    </row>
    <row r="46" spans="1:7" ht="15.75" thickBot="1" x14ac:dyDescent="0.3"/>
    <row r="47" spans="1:7" ht="17.25" customHeight="1" x14ac:dyDescent="0.25">
      <c r="A47" s="59">
        <v>5</v>
      </c>
      <c r="B47" s="154" t="s">
        <v>79</v>
      </c>
      <c r="C47" s="155"/>
      <c r="D47" s="155"/>
      <c r="E47" s="155"/>
      <c r="F47" s="155"/>
      <c r="G47" s="156"/>
    </row>
    <row r="48" spans="1:7" x14ac:dyDescent="0.25">
      <c r="B48" s="157"/>
      <c r="C48" s="158"/>
      <c r="D48" s="158"/>
      <c r="E48" s="158"/>
      <c r="F48" s="158"/>
      <c r="G48" s="159"/>
    </row>
    <row r="49" spans="2:7" x14ac:dyDescent="0.25">
      <c r="B49" s="157"/>
      <c r="C49" s="158"/>
      <c r="D49" s="158"/>
      <c r="E49" s="158"/>
      <c r="F49" s="158"/>
      <c r="G49" s="159"/>
    </row>
    <row r="50" spans="2:7" x14ac:dyDescent="0.25">
      <c r="B50" s="157"/>
      <c r="C50" s="158"/>
      <c r="D50" s="158"/>
      <c r="E50" s="158"/>
      <c r="F50" s="158"/>
      <c r="G50" s="159"/>
    </row>
    <row r="51" spans="2:7" x14ac:dyDescent="0.25">
      <c r="B51" s="157"/>
      <c r="C51" s="158"/>
      <c r="D51" s="158"/>
      <c r="E51" s="158"/>
      <c r="F51" s="158"/>
      <c r="G51" s="159"/>
    </row>
    <row r="52" spans="2:7" x14ac:dyDescent="0.25">
      <c r="B52" s="157"/>
      <c r="C52" s="158"/>
      <c r="D52" s="158"/>
      <c r="E52" s="158"/>
      <c r="F52" s="158"/>
      <c r="G52" s="159"/>
    </row>
    <row r="53" spans="2:7" x14ac:dyDescent="0.25">
      <c r="B53" s="157"/>
      <c r="C53" s="158"/>
      <c r="D53" s="158"/>
      <c r="E53" s="158"/>
      <c r="F53" s="158"/>
      <c r="G53" s="159"/>
    </row>
    <row r="54" spans="2:7" ht="15.75" thickBot="1" x14ac:dyDescent="0.3">
      <c r="B54" s="160"/>
      <c r="C54" s="161"/>
      <c r="D54" s="161"/>
      <c r="E54" s="161"/>
      <c r="F54" s="161"/>
      <c r="G54" s="162"/>
    </row>
  </sheetData>
  <mergeCells count="6">
    <mergeCell ref="B28:G36"/>
    <mergeCell ref="B38:G45"/>
    <mergeCell ref="B47:G54"/>
    <mergeCell ref="A3:G3"/>
    <mergeCell ref="B7:G16"/>
    <mergeCell ref="B18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 Personales</vt:lpstr>
      <vt:lpstr>Tema 1 "M. Cualitativo punto"</vt:lpstr>
      <vt:lpstr>Tema 2 "Método de Costos"</vt:lpstr>
      <vt:lpstr>Tema 3 "Centro de Gravedad"</vt:lpstr>
      <vt:lpstr>Conclusión General</vt:lpstr>
      <vt:lpstr>'Datos Personales'!Área_de_impresión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ORELLANA</cp:lastModifiedBy>
  <dcterms:created xsi:type="dcterms:W3CDTF">2020-12-09T23:14:49Z</dcterms:created>
  <dcterms:modified xsi:type="dcterms:W3CDTF">2023-10-13T02:54:25Z</dcterms:modified>
</cp:coreProperties>
</file>