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a\Desktop\Алан\Справочники\"/>
    </mc:Choice>
  </mc:AlternateContent>
  <bookViews>
    <workbookView xWindow="0" yWindow="0" windowWidth="19200" windowHeight="7200" activeTab="2"/>
  </bookViews>
  <sheets>
    <sheet name="exporfile" sheetId="2" r:id="rId1"/>
    <sheet name="с реализ. окт+код пр-ва" sheetId="1" r:id="rId2"/>
    <sheet name="Справочник склад арт" sheetId="3" r:id="rId3"/>
  </sheets>
  <definedNames>
    <definedName name="_xlnm._FilterDatabase" localSheetId="0" hidden="1">exporfile!$A$1:$J$379</definedName>
    <definedName name="_xlnm._FilterDatabase" localSheetId="1" hidden="1">'с реализ. окт+код пр-ва'!$A$1:$N$331</definedName>
    <definedName name="_xlnm._FilterDatabase" localSheetId="2" hidden="1">'Справочник склад арт'!$A$1:$H$1</definedName>
  </definedNames>
  <calcPr calcId="162913"/>
</workbook>
</file>

<file path=xl/calcChain.xml><?xml version="1.0" encoding="utf-8"?>
<calcChain xmlns="http://schemas.openxmlformats.org/spreadsheetml/2006/main">
  <c r="D37" i="3" l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19" i="3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4" i="3"/>
  <c r="D5" i="3" s="1"/>
  <c r="D6" i="3" s="1"/>
  <c r="D3" i="3"/>
  <c r="H286" i="1"/>
  <c r="H267" i="1"/>
  <c r="H264" i="1"/>
  <c r="H60" i="1"/>
  <c r="H76" i="1"/>
  <c r="H6" i="1"/>
  <c r="H177" i="1"/>
  <c r="H294" i="1"/>
  <c r="H188" i="1"/>
  <c r="H152" i="1"/>
  <c r="H65" i="1"/>
  <c r="H229" i="1"/>
  <c r="H225" i="1"/>
  <c r="H40" i="1"/>
  <c r="H123" i="1"/>
  <c r="H121" i="1"/>
  <c r="H99" i="1"/>
  <c r="H110" i="1"/>
  <c r="H93" i="1"/>
  <c r="H305" i="1"/>
  <c r="H306" i="1"/>
  <c r="H180" i="1"/>
  <c r="H86" i="1"/>
  <c r="H331" i="1"/>
  <c r="H330" i="1"/>
  <c r="H204" i="1"/>
  <c r="H128" i="1"/>
  <c r="H174" i="1"/>
  <c r="H151" i="1"/>
  <c r="H285" i="1"/>
  <c r="H125" i="1"/>
  <c r="H131" i="1"/>
  <c r="H137" i="1"/>
  <c r="H47" i="1"/>
  <c r="H96" i="1"/>
  <c r="H111" i="1"/>
  <c r="H92" i="1"/>
  <c r="H134" i="1"/>
  <c r="H72" i="1"/>
  <c r="H57" i="1"/>
  <c r="H332" i="1" s="1"/>
  <c r="H194" i="1"/>
  <c r="H171" i="1"/>
  <c r="H203" i="1"/>
  <c r="H163" i="1"/>
  <c r="H176" i="1"/>
  <c r="H272" i="1"/>
  <c r="H253" i="1"/>
  <c r="H210" i="1"/>
  <c r="H185" i="1"/>
  <c r="H271" i="1"/>
  <c r="H32" i="1"/>
  <c r="H270" i="1"/>
  <c r="H234" i="1"/>
  <c r="H319" i="1"/>
  <c r="H26" i="1"/>
  <c r="H289" i="1"/>
  <c r="H292" i="1"/>
  <c r="H162" i="1"/>
  <c r="H27" i="1"/>
  <c r="H175" i="1"/>
  <c r="H8" i="1"/>
  <c r="I52" i="1"/>
  <c r="I53" i="1"/>
  <c r="I307" i="1"/>
  <c r="I308" i="1"/>
  <c r="I287" i="1"/>
  <c r="I288" i="1"/>
  <c r="I34" i="1"/>
  <c r="I35" i="1"/>
  <c r="I248" i="1"/>
  <c r="I142" i="1"/>
  <c r="I143" i="1"/>
  <c r="I199" i="1"/>
  <c r="I309" i="1"/>
  <c r="I310" i="1"/>
  <c r="I41" i="1"/>
  <c r="I153" i="1"/>
  <c r="I187" i="1"/>
  <c r="I267" i="1"/>
  <c r="I264" i="1"/>
  <c r="I232" i="1"/>
  <c r="I233" i="1"/>
  <c r="I36" i="1"/>
  <c r="I37" i="1"/>
  <c r="I58" i="1"/>
  <c r="I59" i="1"/>
  <c r="I60" i="1"/>
  <c r="I21" i="1"/>
  <c r="I200" i="1"/>
  <c r="I73" i="1"/>
  <c r="I74" i="1"/>
  <c r="I76" i="1"/>
  <c r="I154" i="1"/>
  <c r="I155" i="1"/>
  <c r="I326" i="1"/>
  <c r="I327" i="1"/>
  <c r="I209" i="1"/>
  <c r="I6" i="1"/>
  <c r="I181" i="1"/>
  <c r="I328" i="1"/>
  <c r="I329" i="1"/>
  <c r="I325" i="1"/>
  <c r="I177" i="1"/>
  <c r="I294" i="1"/>
  <c r="I68" i="1"/>
  <c r="I69" i="1"/>
  <c r="I317" i="1"/>
  <c r="I77" i="1"/>
  <c r="I78" i="1"/>
  <c r="I79" i="1"/>
  <c r="I205" i="1"/>
  <c r="I33" i="1"/>
  <c r="I315" i="1"/>
  <c r="I316" i="1"/>
  <c r="I166" i="1"/>
  <c r="I215" i="1"/>
  <c r="I207" i="1"/>
  <c r="I242" i="1"/>
  <c r="I191" i="1"/>
  <c r="I192" i="1"/>
  <c r="I147" i="1"/>
  <c r="I148" i="1"/>
  <c r="I237" i="1"/>
  <c r="I10" i="1"/>
  <c r="I243" i="1"/>
  <c r="I244" i="1"/>
  <c r="I17" i="1"/>
  <c r="I18" i="1"/>
  <c r="I19" i="1"/>
  <c r="I254" i="1"/>
  <c r="I255" i="1"/>
  <c r="I256" i="1"/>
  <c r="I138" i="1"/>
  <c r="I188" i="1"/>
  <c r="I11" i="1"/>
  <c r="I13" i="1"/>
  <c r="I14" i="1"/>
  <c r="I15" i="1"/>
  <c r="I12" i="1"/>
  <c r="I144" i="1"/>
  <c r="I145" i="1"/>
  <c r="I273" i="1"/>
  <c r="I274" i="1"/>
  <c r="I152" i="1"/>
  <c r="I61" i="1"/>
  <c r="I62" i="1"/>
  <c r="I240" i="1"/>
  <c r="I241" i="1"/>
  <c r="I65" i="1"/>
  <c r="I226" i="1"/>
  <c r="I227" i="1"/>
  <c r="I229" i="1"/>
  <c r="I225" i="1"/>
  <c r="I40" i="1"/>
  <c r="I123" i="1"/>
  <c r="I121" i="1"/>
  <c r="I99" i="1"/>
  <c r="I110" i="1"/>
  <c r="I93" i="1"/>
  <c r="I305" i="1"/>
  <c r="I306" i="1"/>
  <c r="I262" i="1"/>
  <c r="I263" i="1"/>
  <c r="I230" i="1"/>
  <c r="I208" i="1"/>
  <c r="I180" i="1"/>
  <c r="I179" i="1"/>
  <c r="I39" i="1"/>
  <c r="I86" i="1"/>
  <c r="I331" i="1"/>
  <c r="I330" i="1"/>
  <c r="I83" i="1"/>
  <c r="I82" i="1"/>
  <c r="I50" i="1"/>
  <c r="I51" i="1"/>
  <c r="I84" i="1"/>
  <c r="I85" i="1"/>
  <c r="I204" i="1"/>
  <c r="I4" i="1"/>
  <c r="I5" i="1"/>
  <c r="I269" i="1"/>
  <c r="I126" i="1"/>
  <c r="I127" i="1"/>
  <c r="I128" i="1"/>
  <c r="I172" i="1"/>
  <c r="I173" i="1"/>
  <c r="I174" i="1"/>
  <c r="I151" i="1"/>
  <c r="I149" i="1"/>
  <c r="I150" i="1"/>
  <c r="I285" i="1"/>
  <c r="I125" i="1"/>
  <c r="I112" i="1"/>
  <c r="I113" i="1"/>
  <c r="I87" i="1"/>
  <c r="I88" i="1"/>
  <c r="I114" i="1"/>
  <c r="I115" i="1"/>
  <c r="I131" i="1"/>
  <c r="I129" i="1"/>
  <c r="I130" i="1"/>
  <c r="I135" i="1"/>
  <c r="I136" i="1"/>
  <c r="I137" i="1"/>
  <c r="I44" i="1"/>
  <c r="I45" i="1"/>
  <c r="I46" i="1"/>
  <c r="I47" i="1"/>
  <c r="I42" i="1"/>
  <c r="I43" i="1"/>
  <c r="I96" i="1"/>
  <c r="I94" i="1"/>
  <c r="I95" i="1"/>
  <c r="I164" i="1"/>
  <c r="I165" i="1"/>
  <c r="I297" i="1"/>
  <c r="I265" i="1"/>
  <c r="I266" i="1"/>
  <c r="I101" i="1"/>
  <c r="I102" i="1"/>
  <c r="I111" i="1"/>
  <c r="I103" i="1"/>
  <c r="I104" i="1"/>
  <c r="I313" i="1"/>
  <c r="I314" i="1"/>
  <c r="I89" i="1"/>
  <c r="I90" i="1"/>
  <c r="I92" i="1"/>
  <c r="I91" i="1"/>
  <c r="I29" i="1"/>
  <c r="I30" i="1"/>
  <c r="I132" i="1"/>
  <c r="I133" i="1"/>
  <c r="I134" i="1"/>
  <c r="I189" i="1"/>
  <c r="I190" i="1"/>
  <c r="I80" i="1"/>
  <c r="I81" i="1"/>
  <c r="I70" i="1"/>
  <c r="I71" i="1"/>
  <c r="I72" i="1"/>
  <c r="I223" i="1"/>
  <c r="I157" i="1"/>
  <c r="I158" i="1"/>
  <c r="I159" i="1"/>
  <c r="I221" i="1"/>
  <c r="I222" i="1"/>
  <c r="I236" i="1"/>
  <c r="I23" i="1"/>
  <c r="I195" i="1"/>
  <c r="I224" i="1"/>
  <c r="I183" i="1"/>
  <c r="I320" i="1"/>
  <c r="I259" i="1"/>
  <c r="I260" i="1"/>
  <c r="I261" i="1"/>
  <c r="I55" i="1"/>
  <c r="I56" i="1"/>
  <c r="I238" i="1"/>
  <c r="I239" i="1"/>
  <c r="I57" i="1"/>
  <c r="J57" i="1" s="1"/>
  <c r="I194" i="1"/>
  <c r="I171" i="1"/>
  <c r="I169" i="1"/>
  <c r="I170" i="1"/>
  <c r="I203" i="1"/>
  <c r="I163" i="1"/>
  <c r="I214" i="1"/>
  <c r="I324" i="1"/>
  <c r="I284" i="1"/>
  <c r="I201" i="1"/>
  <c r="I202" i="1"/>
  <c r="I176" i="1"/>
  <c r="I272" i="1"/>
  <c r="I66" i="1"/>
  <c r="I67" i="1"/>
  <c r="I283" i="1"/>
  <c r="I278" i="1"/>
  <c r="I279" i="1"/>
  <c r="I280" i="1"/>
  <c r="I268" i="1"/>
  <c r="I245" i="1"/>
  <c r="I246" i="1"/>
  <c r="I247" i="1"/>
  <c r="I251" i="1"/>
  <c r="I252" i="1"/>
  <c r="I253" i="1"/>
  <c r="I210" i="1"/>
  <c r="I185" i="1"/>
  <c r="J185" i="1" s="1"/>
  <c r="I184" i="1"/>
  <c r="I31" i="1"/>
  <c r="I271" i="1"/>
  <c r="I32" i="1"/>
  <c r="J32" i="1" s="1"/>
  <c r="I270" i="1"/>
  <c r="I167" i="1"/>
  <c r="I168" i="1"/>
  <c r="I234" i="1"/>
  <c r="J234" i="1" s="1"/>
  <c r="I235" i="1"/>
  <c r="I318" i="1"/>
  <c r="I319" i="1"/>
  <c r="I24" i="1"/>
  <c r="I25" i="1"/>
  <c r="I275" i="1"/>
  <c r="I276" i="1"/>
  <c r="I300" i="1"/>
  <c r="I26" i="1"/>
  <c r="I196" i="1"/>
  <c r="I197" i="1"/>
  <c r="I9" i="1"/>
  <c r="I289" i="1"/>
  <c r="I292" i="1"/>
  <c r="I162" i="1"/>
  <c r="I160" i="1"/>
  <c r="I161" i="1"/>
  <c r="I178" i="1"/>
  <c r="I2" i="1"/>
  <c r="I3" i="1"/>
  <c r="I332" i="1" s="1"/>
  <c r="I303" i="1"/>
  <c r="I304" i="1"/>
  <c r="I290" i="1"/>
  <c r="I291" i="1"/>
  <c r="I219" i="1"/>
  <c r="I220" i="1"/>
  <c r="I186" i="1"/>
  <c r="I311" i="1"/>
  <c r="I312" i="1"/>
  <c r="I249" i="1"/>
  <c r="I250" i="1"/>
  <c r="I175" i="1"/>
  <c r="J175" i="1" s="1"/>
  <c r="I8" i="1"/>
  <c r="I7" i="1"/>
  <c r="I38" i="1"/>
  <c r="I228" i="1"/>
  <c r="I293" i="1"/>
  <c r="I182" i="1"/>
  <c r="J8" i="1"/>
  <c r="J26" i="1"/>
  <c r="J28" i="1"/>
  <c r="J27" i="1"/>
  <c r="J271" i="1"/>
  <c r="J162" i="1"/>
  <c r="J272" i="1"/>
  <c r="J171" i="1"/>
  <c r="J210" i="1"/>
  <c r="J292" i="1"/>
  <c r="J319" i="1"/>
  <c r="J253" i="1"/>
  <c r="J289" i="1"/>
  <c r="J321" i="1"/>
  <c r="J299" i="1"/>
  <c r="J163" i="1"/>
  <c r="J211" i="1"/>
  <c r="J203" i="1"/>
  <c r="J176" i="1"/>
  <c r="J323" i="1"/>
  <c r="J270" i="1"/>
  <c r="J194" i="1"/>
  <c r="J72" i="1"/>
  <c r="J134" i="1"/>
  <c r="J92" i="1"/>
  <c r="J111" i="1"/>
  <c r="J47" i="1"/>
  <c r="J96" i="1"/>
  <c r="J137" i="1"/>
  <c r="J131" i="1"/>
  <c r="J125" i="1"/>
  <c r="J285" i="1"/>
  <c r="J151" i="1"/>
  <c r="J174" i="1"/>
  <c r="J128" i="1"/>
  <c r="J204" i="1"/>
  <c r="J330" i="1"/>
  <c r="J86" i="1"/>
  <c r="J180" i="1"/>
  <c r="J306" i="1"/>
  <c r="J305" i="1"/>
  <c r="J93" i="1"/>
  <c r="J110" i="1"/>
  <c r="J98" i="1"/>
  <c r="J100" i="1"/>
  <c r="J97" i="1"/>
  <c r="J99" i="1"/>
  <c r="J48" i="1"/>
  <c r="J49" i="1"/>
  <c r="J122" i="1"/>
  <c r="J124" i="1"/>
  <c r="J121" i="1"/>
  <c r="J123" i="1"/>
  <c r="J40" i="1"/>
  <c r="J225" i="1"/>
  <c r="J229" i="1"/>
  <c r="J65" i="1"/>
  <c r="J152" i="1"/>
  <c r="J141" i="1"/>
  <c r="J188" i="1"/>
  <c r="J140" i="1"/>
  <c r="J302" i="1"/>
  <c r="J294" i="1"/>
  <c r="J177" i="1"/>
  <c r="J6" i="1"/>
  <c r="J76" i="1"/>
  <c r="J60" i="1"/>
  <c r="J264" i="1"/>
  <c r="J267" i="1"/>
  <c r="J286" i="1"/>
</calcChain>
</file>

<file path=xl/sharedStrings.xml><?xml version="1.0" encoding="utf-8"?>
<sst xmlns="http://schemas.openxmlformats.org/spreadsheetml/2006/main" count="5868" uniqueCount="384">
  <si>
    <t>Группа товара (все)</t>
  </si>
  <si>
    <t>ГП алан-вся СПЕЦ ЦЕХ СК КОЛБАСЫ-СПЕЦ ЦЕХ</t>
  </si>
  <si>
    <t>ГП ИРНА ц.ИРНА-САРДЕЛИ+СОСИСКИ</t>
  </si>
  <si>
    <t>ГП ИРНА ИРНА-НАШИ КОВБАСИ ВЕТЧИНЫ ВАРЕНЫЕ</t>
  </si>
  <si>
    <t>ГП алан-вся АЛАН АЛАН-ДЕЛИКАТЕСЫ ДЕЛИКАТЕСЫ мясо-АЛАН</t>
  </si>
  <si>
    <t>ГП ИРНА ц.ИРНА-ДЕЛИКАТЕСЫ</t>
  </si>
  <si>
    <t>ГП алан-вся АЛАН АЛАН-ДЕЛИКАТЕСЫ ДЕЛИКАТЕСЫ прочие-АЛАН</t>
  </si>
  <si>
    <t>ГП алан-вся НАШИ КОВБАСИ КОПЧЕНКА в/к-НАШИ КОВБАСИ</t>
  </si>
  <si>
    <t>ГП алан-вся АЛАН АЛАН-КОПЧЕНКА КОПЧЕНКА н/к-АЛАН</t>
  </si>
  <si>
    <t>ГП алан-вся АЛАН АЛАН-КОПЧЕНКА КОПЧЕНКА в/к-АЛАН КОПЧЕНКА в/к-АЛАН штуки</t>
  </si>
  <si>
    <t>ГП алан-вся АЛАН АЛАН-ВАРЕНЫЕ КОЛБАСЫ ВАРЕНКА-АЛАН ВАРЕНКА нат.об.-АЛАН</t>
  </si>
  <si>
    <t>ГП алан-вся СТМ АШАН ВАРЕНЫЕ КОЛБАСЫ-АШАН</t>
  </si>
  <si>
    <t>ГП алан-вся СПЕЦ ЦЕХ ВАРЕНЫЕ КОЛБАСЫ-СПЕЦ ЦЕХ</t>
  </si>
  <si>
    <t>ГП алан-вся ТМ ВАРТО КОПЧЕНКА в/к-ВАРТО</t>
  </si>
  <si>
    <t>ГП алан-вся АЛАН АЛАН-ВАРЕНЫЕ КОЛБАСЫ ВАРЕНКА-АЛАН ВАРЕНКА иск.об.-АЛАН</t>
  </si>
  <si>
    <t>ГП алан-вся АЛАН АЛАН-ВАРЕНЫЕ КОЛБАСЫ ВАРЕНКА-АЛАН ВАРЕНКА иск.об.-АЛАН штуки</t>
  </si>
  <si>
    <t>ГП алан-вся ФИТНЕС ВАРЕНЫЕ КОЛБАСЫ иск.об.-ФИТНЕС</t>
  </si>
  <si>
    <t>ГП алан-вся ФИТНЕС ВАРЕНЫЕ КОЛБАСЫ нат.об.-ФИТНЕС</t>
  </si>
  <si>
    <t>ГП алан-вся АЛАН АЛАН-ВАРЕНЫЕ САРДЕЛИ+СОСИСКИ САРДЕЛИ+СОСИСКИ нат.об.-АЛАН</t>
  </si>
  <si>
    <t>ГП алан-вся АЛАН АЛАН-СК КОЛБАСЫ СК КОЛБАСЫ-АЛАН</t>
  </si>
  <si>
    <t>ГП алан-вся СТМ АШАН КОПЧЕНКА в/к-АШАН</t>
  </si>
  <si>
    <t>ГП ИРНА ц.ИРНА-КОПЧЕНКА</t>
  </si>
  <si>
    <t>ГП алан-вся СТМ Велика Кишеня КОПЧЕНКА-Хіт Продукт</t>
  </si>
  <si>
    <t>ГП алан-вся СПЕЦ ЦЕХ КОПЧЕНКА в/к-СПЕЦ ЦЕХ</t>
  </si>
  <si>
    <t>ГП алан-вся АЛАН АЛАН-ПРОЧЕЕ ПРОЧИЕ, ЗЕЛЬЦ-АЛАН</t>
  </si>
  <si>
    <t>ГП алан-вся СТМ БИЛЛА ВАРЕНКА нат.об.-Билла</t>
  </si>
  <si>
    <t>ГП ИРНА ИРНА-НАШИ КОВБАСИ ВАРЕНЫЕ КОЛБАСЫ</t>
  </si>
  <si>
    <t>ГП алан-вся ТМ ВАРТО ВАРЕНЫЕ КОЛБАСЫ-ВАРТО ВАРЕНЫЕ КОЛБАСЫ-ВАРТО штуки</t>
  </si>
  <si>
    <t>ГП алан-вся ТМ ВАРТО ВАРЕНЫЕ КОЛБАСЫ-ВАРТО</t>
  </si>
  <si>
    <t>ГП алан-вся НАШИ КОВБАСИ ВАРЕНЫЕ КОЛБАСЫ-НАШИ КОВБАСИ ВАРЕНЫЕ КОЛБАСЫ натур.обол.</t>
  </si>
  <si>
    <t>ГП алан-вся АЛАН АЛАН-КОПЧЕНКА КОПЧЕНКА в/к-АЛАН</t>
  </si>
  <si>
    <t>ГП алан-вся СТМ БИЛЛА КОПЧЕНКА вк Билла</t>
  </si>
  <si>
    <t>ГП ИРНА ИРНА-НАШИ КОВБАСИ КОПЧЕНКА</t>
  </si>
  <si>
    <t>ГП алан-вся АЛАН АЛАН-ДЕЛИКАТЕСЫ ДЕЛИКАТЕСЫ мясо-АЛАН ДЕЛИКАТЕСЫ мясо-АЛАН нарезка</t>
  </si>
  <si>
    <t>ГП алан-вся АЛАН АЛАН-СК КОЛБАСЫ СК КОЛБАСЫ-АЛАН СК КОЛБАСЫ-АЛАН нарезка</t>
  </si>
  <si>
    <t>ГП алан-вся СТМ АШАН СК КОЛБАСЫ, Алан</t>
  </si>
  <si>
    <t>ГП алан-вся ФОЗЗИ ПРИВАТ СК КОЛБАСЫ-ПРЕМИЯ</t>
  </si>
  <si>
    <t>ГП алан-вся СТМ Велика Кишеня СК КОЛБАСИ-Хіт Продукт, Алан</t>
  </si>
  <si>
    <t>ГП алан-вся ФОЗЗИ ПРИВАТ СК КОЛБАСЫ-ПОВНА ЧАША</t>
  </si>
  <si>
    <t>ГП алан-вся СПЕЦ ЦЕХ ДЕЛИКАТЕСЫ-СПЕЦ ЦЕХ</t>
  </si>
  <si>
    <t>ГП алан-вся НАШИ КОВБАСИ ВАРЕНЫЕ КОЛБАСЫ-НАШИ КОВБАСИ ВАРЕНЫЕ КОЛБАСЫ иск.обол.</t>
  </si>
  <si>
    <t>ГП алан-вся АЛАН АЛАН-ПРОЧЕЕ ПАШТЕТЫ</t>
  </si>
  <si>
    <t>ГП алан-вся АЛАН АЛАН-ПРОЧЕЕ ПАШТЕТЫ ПАШТЕТЫ штучные</t>
  </si>
  <si>
    <t>ГП алан-вся АЛАН АЛАН-ДЕЛИКАТЕСЫ ДЕЛИКАТЕСЫ колбаса-АЛАН</t>
  </si>
  <si>
    <t>ГП алан-вся НАШИ КОВБАСИ СК КОЛБАСЫ-НАШИ КОВБАСИ</t>
  </si>
  <si>
    <t>ГП алан-вся ТМ ВАРТО СК КОЛБАСЫ-ВАРТО, Алан</t>
  </si>
  <si>
    <t>ГП алан-вся АЛАН АЛАН-ВАРЕНЫЕ САРДЕЛИ+СОСИСКИ САРДЕЛИ+СОСИСКИ-АЛАН</t>
  </si>
  <si>
    <t>ГП алан-вся ТМ ВАРТО САРДЕЛИ+СОСИСКИ-ВАРТО</t>
  </si>
  <si>
    <t>ГП алан-вся НАШИ КОВБАСИ САРДЕЛИ+СОСИСКИ-НАШИ КОВБАСИ САРДЕЛИ+СОСИСКИ натур.обол. НК</t>
  </si>
  <si>
    <t>ГП алан-вся ФИТНЕС САРДЕЛИ+СОСИСКИ-ФИТНЕС</t>
  </si>
  <si>
    <t>ГП алан-вся СПЕЦ ЦЕХ САРДЕЛИ+СОСИСКИ-СПЕЦ ЦЕХ</t>
  </si>
  <si>
    <t>ГП алан-вся ФИТНЕС САРДЕЛИ+СОСИСКИ-ФИТНЕС штуки</t>
  </si>
  <si>
    <t>ГП алан-вся СТМ БИЛЛА САРДЕЛИ+СОСИСКИ нат.об.-Билла</t>
  </si>
  <si>
    <t>ГП алан-вся НАШИ КОВБАСИ САРДЕЛИ+СОСИСКИ-НАШИ КОВБАСИ САРДЕЛИ+СОСИСКИ иск.обол. НК</t>
  </si>
  <si>
    <t>ГП алан-вся АЛАН АЛАН-ВАРЕНЫЕ САРДЕЛИ+СОСИСКИ САРДЕЛИ+СОСИСКИ иск.об.-АЛАН</t>
  </si>
  <si>
    <t>ГП алан-вся СТМ БИЛЛА САРДЕЛИ+СОСИСКИ иск.об.-Билла</t>
  </si>
  <si>
    <t>ГП алан-вся АЛАН АЛАН-ВАРЕНЫЕ САРДЕЛИ+СОСИСКИ САРДЕЛИ+СОСИСКИ нат.об.-АЛАН САРДЕЛИ+СОСИСКИ нат.об.-АЛАН штуки</t>
  </si>
  <si>
    <t>ГП алан-вся СТМ АШАН ВАРЕНЫЕ САРДЕЛИ+СОСИСКИ</t>
  </si>
  <si>
    <t>ГП алан-вся ТМ ВАРТО САРДЕЛИ+СОСИСКИ-ВАРТО САРДЕЛИ+СОСИСКИ-ВАРТО штуки</t>
  </si>
  <si>
    <t>ГП алан-вся АЛАН АЛАН-ВАРЕНЫЕ САРДЕЛИ+СОСИСКИ САРДЕЛИ+СОСИСКИ иск.об.-АЛАН САРДЕЛИ+СОСИСКИ иск.об.-АЛАН штуки</t>
  </si>
  <si>
    <t>ГП алан-вся АЛАН АЛАН-ВАРЕНЫЕ КОЛБАСЫ ВЕТЧИНЫ ВАРЕНЫЕ-АЛАН</t>
  </si>
  <si>
    <t>ГП алан-вся ФИТНЕС ДЕЛИКАТЕСЫ мясо-ФИТНЕС</t>
  </si>
  <si>
    <t>ГП алан-вся ФИТНЕС ВЕТЧИНЫ ВАРЕНЫЕ-ФИТНЕС</t>
  </si>
  <si>
    <t>ГП алан-вся АЛАН АЛАН-ВАРЕНЫЕ КОЛБАСЫ ВЕТЧИНЫ ВАРЕНЫЕ-АЛАН ВЕТЧИНЫ ВАРЕНЫЕ-АЛАН штуки</t>
  </si>
  <si>
    <t>Товар</t>
  </si>
  <si>
    <t xml:space="preserve"> С/В Салямі "З Парміджано-Реджано" 300 гр/шт в/г, Спец Цех</t>
  </si>
  <si>
    <t xml:space="preserve"> С/В Салямі "З Парміджано-Реджано" в/г, Спец Цех</t>
  </si>
  <si>
    <t>*МЮНХЕНСЬКI В/Г</t>
  </si>
  <si>
    <t>*ШИНКА СВИНЯЧА ИРНА</t>
  </si>
  <si>
    <t>БАЛИК ДАРНИЦЬКИЙ С/К В/Г</t>
  </si>
  <si>
    <t>БАЛИК КАСЛО С/К в/г</t>
  </si>
  <si>
    <t>БАЛИК МАРОЧНИЙ В/К В/Г</t>
  </si>
  <si>
    <t>БАСТУРМА КАВКАЗСКАЯ С/К В/Г</t>
  </si>
  <si>
    <t>БЕКОН ЛЮБИТЕЛЬСКИЙ К/З 1г</t>
  </si>
  <si>
    <t>БОЛГАРСЬКА П/К 1г, Наші Ковбаси</t>
  </si>
  <si>
    <t>БУЖЕНИНА ЗАПЕЧЕНА</t>
  </si>
  <si>
    <t>БУЖЕНИНА СТОЛИЧНА ВАР.В/Г</t>
  </si>
  <si>
    <t>БУКОВЕЛЬСКАЯ 1с Нашi Ковбаси</t>
  </si>
  <si>
    <t>Балик закопчений на вишневих гілках</t>
  </si>
  <si>
    <t>Буженина закопчена на вишневих гілках</t>
  </si>
  <si>
    <t>ВУХА СВИНЯЧІ ЗІ СМАКОМ БЕКОНУ 130 гр/штВ/К</t>
  </si>
  <si>
    <t>ВУХА СВИНЯЧІ ЗІ СМАКОМ ХРОНУ 130 гр/шт В/К</t>
  </si>
  <si>
    <t>ГРУДИНКА ДОМАШНЯ ВАРЕНА В/Г</t>
  </si>
  <si>
    <t>ГРУДИНКА К/В В/Г</t>
  </si>
  <si>
    <t>ГЬОТИНГСЬКА Н/К 1Г</t>
  </si>
  <si>
    <t>ГЬОТИНГСЬКА Н/К 1Г, 350 гр/шт</t>
  </si>
  <si>
    <t>ДИТЯЧА ВАР. Н/О В/Г</t>
  </si>
  <si>
    <t>ДИТЯЧА ВАР. Н/О В/Г ТМ Ашан</t>
  </si>
  <si>
    <t>ДИТЯЧА ВЕРШКОВА  в/г Спец Цех</t>
  </si>
  <si>
    <t>ДРОГОБИЦЬКА Н/К В/Г</t>
  </si>
  <si>
    <t>ДРОГОБИЦЬКА Н/К В/Г 370г/шт</t>
  </si>
  <si>
    <t>ДРОГОБИЦЬКА Н/К В/Г ТМ Варто</t>
  </si>
  <si>
    <t>КАРБОНАТ СТОЛИЧНИЙ ВАРЕНИЙ ВАР.В/Г</t>
  </si>
  <si>
    <t>КОВБАСА АВТОРСЬКА вар, в/г Спец Цех</t>
  </si>
  <si>
    <t>КОВБАСА ГУЛІВЕР варена в/г</t>
  </si>
  <si>
    <t>КОВБАСА ДИТЯЧА ВАР. В/Г</t>
  </si>
  <si>
    <t>КОВБАСА ДИТЯЧА ВАР. В/Г  400г/шт</t>
  </si>
  <si>
    <t>КОВБАСА МРАМОРНА вар, в/г</t>
  </si>
  <si>
    <t>КОВБАСКИ "БИФВУРСТ" вар. в/г</t>
  </si>
  <si>
    <t>КОВБАСКИ "МОЦАРЕЛЛАВУРСТ" вар. в/г</t>
  </si>
  <si>
    <t>КОВБАСКИ БАВАРСЬКІ С/К в/г</t>
  </si>
  <si>
    <t>КОВБАСКИ БАВАРСЬКІ С/К в/г 120 гр/шт</t>
  </si>
  <si>
    <t>КОВБАСКИ БАВАРСЬКІ в/к в/с ТМ Ашан</t>
  </si>
  <si>
    <t>КОВБАСКИ ЕГЕРСЬКI З СИРОМ Н/К 1Г</t>
  </si>
  <si>
    <t>КОВБАСКИ МИСЛИВСЬКI  Н/К В/Г</t>
  </si>
  <si>
    <t>КОВБАСКИ МИСЛИВСЬКI  Н/К В/Г 0,235 кг/шт ТМ Хіт Продукт</t>
  </si>
  <si>
    <t>КОВБАСКИ МИСЛИВСЬКI  Н/К В/Г ТМ Хіт Продукт</t>
  </si>
  <si>
    <t>КОВБАСКИ МИСЛИВСЬКI  Н/К В/Г*</t>
  </si>
  <si>
    <t>КОРЕЙКА КАСЛО С/К в/г</t>
  </si>
  <si>
    <t>КРАКIВСЬКА Н/К В/Г ДСТУ</t>
  </si>
  <si>
    <t>КРАКIВСЬКА Н/К В/Г ДСТУ ТМ Варто</t>
  </si>
  <si>
    <t>КРАКIВСЬКА Н/К В/Г Спец Цех</t>
  </si>
  <si>
    <t>КРИЛО КУРЯЧЕ В/К</t>
  </si>
  <si>
    <t>КУРЯЧА П/К, Нашi Ковбаси</t>
  </si>
  <si>
    <t>Ковбаски З моцарелою і томатами, в/г</t>
  </si>
  <si>
    <t>Ковбаски Прованс з італійськими травами, в/г</t>
  </si>
  <si>
    <t>Ковбаски Пікантні з яловичиною, в/г</t>
  </si>
  <si>
    <t>Ковбаски Три сира, в/г</t>
  </si>
  <si>
    <t>ЛIВЕРНА "ПЕЧIНКОВА" В/Г</t>
  </si>
  <si>
    <t>ЛIКАРСЬКА ВАР. В/С (мiхур)</t>
  </si>
  <si>
    <t>ЛIКАРСЬКА ВАР. В/С (мiхур), BILLA</t>
  </si>
  <si>
    <t>ЛIКАРСЬКА вар в/г, ТМ Варто</t>
  </si>
  <si>
    <t>ЛЮБИТЕЛЬСКА В/Г Спец Цех</t>
  </si>
  <si>
    <t>ЛЮБИТЕЛЬСЬКА бiтекс, Нашi ковбаси</t>
  </si>
  <si>
    <t>МОСКОВСЬКА В/К В/Г ДСТУ</t>
  </si>
  <si>
    <t>МОСКОВСЬКА В/К В/Г ДСТУ BILLA</t>
  </si>
  <si>
    <t>МОСКОВСЬКА В/К В/Г Спец Цех</t>
  </si>
  <si>
    <t>МОСКОВСЬКА В/К В/Г ТМ Ашан</t>
  </si>
  <si>
    <t>МОСКОВСЬКА В/К ДСТУ, 350 гр/шт</t>
  </si>
  <si>
    <t>МОСКОВСЬКА В/К Нашi ковбаси</t>
  </si>
  <si>
    <t>Нар. АССОРТИ 300 г/шт</t>
  </si>
  <si>
    <t>Нар. ГРУДИНКА С/К 400г/шт</t>
  </si>
  <si>
    <t>Нар. ПАСТРОМА С/К 100г/шт</t>
  </si>
  <si>
    <t>Нар. С/К БРАУНШВЕЙГСЬКА В/Г 80г</t>
  </si>
  <si>
    <t>Нар. С/К БРАУНШВЕЙГСЬКА В/Г 80г ТМ Ашан</t>
  </si>
  <si>
    <t>Нар. С/К БРАУНШВЕЙГСЬКА В/Г 80г ТМ Премія</t>
  </si>
  <si>
    <t>Нар. С/К БРАУНШВЕЙГСЬКА В/Г 80г ТМ Хіт Продукт</t>
  </si>
  <si>
    <t>Нар. С/К ЗОЛОТИСТАЯ 80гр Повна Чаша</t>
  </si>
  <si>
    <t>Нар. С/К ЗОЛОТИСТАЯ 80гр Хіт Продукт</t>
  </si>
  <si>
    <t>Нар. С/К МIЛАНСЬКА САЛЯМI В/Г 80г</t>
  </si>
  <si>
    <t>Нар. С/К МОСКОВСЬКА 80г ТМ Ашан</t>
  </si>
  <si>
    <t>Нар. С/К МОСКОВСЬКА 80г ТМ Премія</t>
  </si>
  <si>
    <t>Нар. С/К МОСКОВСЬКА 80г ТМ Хіт Продукт</t>
  </si>
  <si>
    <t>Нар. С/К МОСКОВСЬКА В/Г 100г</t>
  </si>
  <si>
    <t>Нар. С/К МОСКОВСЬКА В/Г 80г</t>
  </si>
  <si>
    <t>Нар. С/К СЕРВЕЛАТ В/Г 80г</t>
  </si>
  <si>
    <t>Нар.БАЛИК ЯЛОВИЧИЙ СК в/г 100 гр/шт, Спец цех</t>
  </si>
  <si>
    <t>Нар.ФІЛЕЄЧКА ІНДИЧА СК в/г 100 гр/шт Спец Цех</t>
  </si>
  <si>
    <t>ОБКОМIВСЬКА В/К В/Г Спец Цех</t>
  </si>
  <si>
    <t>ОДЕСЬКА Н/К 1Г</t>
  </si>
  <si>
    <t>ОКIСТ КУРЯЧИЙ В/К</t>
  </si>
  <si>
    <t>ОЛІВ`Є 0,4 кг/шт вар., Нашi Ковбаси</t>
  </si>
  <si>
    <t>ОЛІВ`Є вар., Нашi Ковбаси</t>
  </si>
  <si>
    <t>Окiст особливий св. на кости копч.-вар.</t>
  </si>
  <si>
    <t>ПАСТРОМА С/К В/Г</t>
  </si>
  <si>
    <t>ПЕЧIНКОВИЙ ПАШТЕТ ВАР.В/Г</t>
  </si>
  <si>
    <t>ПЕЧIНКОВИЙ ПАШТЕТ ВАР.В/Г 120гр в шт.</t>
  </si>
  <si>
    <t>ПРОДУКТ ДЛЯ СОЛЯНКИ, 0,5 кг</t>
  </si>
  <si>
    <t>Продукт для солянки сирокопчений 400 гр/шт</t>
  </si>
  <si>
    <t>РЕБРО СВИННОЕ К/В</t>
  </si>
  <si>
    <t>РУЛЕТ З СВИНЯЧОГО ЯЗИКА В/К</t>
  </si>
  <si>
    <t>РУЛЕТ КУРЯЧИЙ "ДОМАШНIЙ" В/К</t>
  </si>
  <si>
    <t>РУЛЬКА "ОСОБЛИВА" В/К</t>
  </si>
  <si>
    <t>РУЛЬКА ВАРЕНАЯ 1/г в пакете для запекания</t>
  </si>
  <si>
    <t>РУСАНIВСЬКА 400г/шт В/Г</t>
  </si>
  <si>
    <t>РУСАНIВСЬКА ВАР. В/Г</t>
  </si>
  <si>
    <t>РУСАНIВСЬКА ВАР.полиамид В/Г</t>
  </si>
  <si>
    <t>РУСАНIВСЬКА п/а В/Г (1,5кг)</t>
  </si>
  <si>
    <t>С/В ЕВРЕЙСЬКА В/Г</t>
  </si>
  <si>
    <t>С/В ЕВРЕЙСЬКА В/Г 360 гр/шт</t>
  </si>
  <si>
    <t>С/В НОСТАЛЬГИЯ В/Г</t>
  </si>
  <si>
    <t>С/В НОСТАЛЬГИЯ В/Г 360 гр/шт</t>
  </si>
  <si>
    <t>С/В ПРЕЗИДЕНТСЬКА 0,385 кг/шт, Нашi Ковбаси</t>
  </si>
  <si>
    <t>С/В ПРЕЗИДЕНТСЬКА, Нашi Ковбаси</t>
  </si>
  <si>
    <t>С/В Салямі "З чорним трюфелем" ручної работи 250 гр/шт в/г, Спец Цех</t>
  </si>
  <si>
    <t>С/В Салямі "З чорним трюфелем" ручної работи в/г, Спец Цех</t>
  </si>
  <si>
    <t>С/К БРАУНШВЕЙГСЬКА 375 гр/шт В/Г</t>
  </si>
  <si>
    <t>С/К БРАУНШВЕЙГСЬКА В/Г</t>
  </si>
  <si>
    <t>С/К БРАУНШВЕЙГСЬКА В/Г Спец Цех</t>
  </si>
  <si>
    <t>С/К БРАУНШВЕЙГСЬКА В/Г ТМ Варто</t>
  </si>
  <si>
    <t>С/К БРАУНШВЕЙГСЬКА В/Г ТМ Хіт Продукт</t>
  </si>
  <si>
    <t>С/К БРАУНШВЕЙГСЬКА В/Г, ТМ Ашан</t>
  </si>
  <si>
    <t>С/К БРАУНШВЕЙГСЬКА в/г ДСТУ,ТМ Премія</t>
  </si>
  <si>
    <t>С/К ГУБЕРНАТОРСКАЯ В/Г 250 гр/шт Спец Цех</t>
  </si>
  <si>
    <t>С/К ГУБЕРНАТОРСКАЯ В/Г Спец Цех</t>
  </si>
  <si>
    <t>С/К ЗЕРНИСТА В/Г</t>
  </si>
  <si>
    <t>С/К ЗЕРНИСТА В/Г 370 г/шт</t>
  </si>
  <si>
    <t>С/К ЗОЛОТИСТА, ТМ Повна Чаша</t>
  </si>
  <si>
    <t>С/К ЗОЛОТИСТАЯ ТМ Хіт Продукт</t>
  </si>
  <si>
    <t>С/К ЗОЛОТИСТАЯ, Наші Ковбаси 380 г/шт</t>
  </si>
  <si>
    <t>С/К ЗОЛОТИСТАЯ,Нашi Ковбаси</t>
  </si>
  <si>
    <t>С/К МIЛАНСЬКА САЛЯМI 320 г/шт</t>
  </si>
  <si>
    <t>С/К МIЛАНСЬКА САЛЯМI В/Г</t>
  </si>
  <si>
    <t>С/К МАРОЧНА, Нашi Ковбаси</t>
  </si>
  <si>
    <t>С/К МАХАН по-татарськи 1г, ТМ Наші Колбаси</t>
  </si>
  <si>
    <t>С/К МОСКОВСКАЯ В/Г Спец Цех</t>
  </si>
  <si>
    <t>С/К МОСКОВСЬКА В/Г</t>
  </si>
  <si>
    <t>С/К МОСКОВСЬКА В/Г 360 гр/шт</t>
  </si>
  <si>
    <t>С/К МОСКОВСЬКА В/Г ТМ Варто</t>
  </si>
  <si>
    <t>С/К МОСКОВСЬКА В/Г ТМ Хіт Продукт</t>
  </si>
  <si>
    <t>С/К МОСКОВСЬКА В/Г, ТМ Ашан</t>
  </si>
  <si>
    <t>С/К МОСКОВСЬКА в/г ДСТУ,ТМ Премія</t>
  </si>
  <si>
    <t>С/К САЛЯМІ РЕТРО В/Г</t>
  </si>
  <si>
    <t>С/К СЕРВЕЛАТ В/Г</t>
  </si>
  <si>
    <t>С/К СЕРВЕЛАТ В/Г 375 г/шт</t>
  </si>
  <si>
    <t>С/К СЕРВЕЛАТ в/г ДСТУ,ТМ Премія</t>
  </si>
  <si>
    <t>С/К СТАРОКИЕВСКАЯ Нашi Ковбаси</t>
  </si>
  <si>
    <t>С/К СТОЛИЧНА В/Г</t>
  </si>
  <si>
    <t>С/К СТОЛИЧНА В/Г 340 г/шт</t>
  </si>
  <si>
    <t>С/К ЦАРСКАЯ Нашi Ковбаси</t>
  </si>
  <si>
    <t>САЛЯМI "ЕВРОПЕЙСЬКА" В/К 1Г</t>
  </si>
  <si>
    <t>САЛЯМІ ПОЛТАВСЬКА в/к 1г</t>
  </si>
  <si>
    <t>САЛЯМИ ИТАЛЬЯНСКАЯ В/К В/Г</t>
  </si>
  <si>
    <t>САЛЯМИ ИТАЛЬЯНСКАЯ В/К В/Г, 350 гр/шт</t>
  </si>
  <si>
    <t>САРДЕЛI "ЖЕНЕВСЬКI З СИРОМ" В/Г</t>
  </si>
  <si>
    <t>САРДЕЛI "ЖЕНЕВСЬКI З СИРОМ" в/г ТМ Варто</t>
  </si>
  <si>
    <t>САРДЕЛI "РЕТРО" З ВЕРШКАМИ ВАР. в/г</t>
  </si>
  <si>
    <t>САРДЕЛI ВЕРШКОВІ в/г ДСТУ Нашi Ковбаси*</t>
  </si>
  <si>
    <t>САРДЕЛI З СИРОМ Н/К</t>
  </si>
  <si>
    <t>САРДЕЛI СОРОЧИНСЬКІ 1 г, Нашi Ковбаси</t>
  </si>
  <si>
    <t>САРДЕЛІ ВАРЕНІ ЄВРОПЕЙСЬКІ в/г</t>
  </si>
  <si>
    <t>САРДЕЛІ Фітнес в/г</t>
  </si>
  <si>
    <t>САРДЕЛЬКИ ЯЛОВИЧI 1/г Спец Цех</t>
  </si>
  <si>
    <t>СЕРВЕЛАТ В/К В/Г</t>
  </si>
  <si>
    <t>СЕРВЕЛАТ В/К В/Г Спец Цех</t>
  </si>
  <si>
    <t>СЕРВЕЛАТ В/К В/Г, 350 гр/шт</t>
  </si>
  <si>
    <t>СМАЧНА  КУРЯЧА, Наші Ковбаси</t>
  </si>
  <si>
    <t>СМАЧНА КУРЯЧА, Наші Ковбаси 300г/шт</t>
  </si>
  <si>
    <t>СОСИСКИ "МАЛЮК" В/Г</t>
  </si>
  <si>
    <t>СОСИСКИ ІНДИЧІ ФІЛЕЙНІ  в/г 225г/шт,Фітнес</t>
  </si>
  <si>
    <t>СОСИСКИ ВIДЕНСЬКI В/Г</t>
  </si>
  <si>
    <t>СОСИСКИ ВЕНСКИЕ В НАТ.ОБОЛ В/Г</t>
  </si>
  <si>
    <t>СОСИСКИ ВЕНСКИЕ натур.обол. в/г Спец Цех</t>
  </si>
  <si>
    <t>СОСИСКИ ВЕРШКОВІ ВАР Н/О В/Г</t>
  </si>
  <si>
    <t>СОСИСКИ ВЕРШКОВІ ВАР Н/О В/Г, BILLA</t>
  </si>
  <si>
    <t>СОСИСКИ ВЕРШКОВІ в/г ДСТУ, Нашi Ковбаси</t>
  </si>
  <si>
    <t>СОСИСКИ ДЕЛІКАТЕСНІ в/г,Нашi Ковбаси</t>
  </si>
  <si>
    <t>СОСИСКИ ДИТЯЧI В/Г нат.об. ДСТУ</t>
  </si>
  <si>
    <t>СОСИСКИ ДИТЯЧI В/Г п-а</t>
  </si>
  <si>
    <t>СОСИСКИ ДИТЯЧI В/Г п-а Варто</t>
  </si>
  <si>
    <t>СОСИСКИ З СИРОМ В/Г</t>
  </si>
  <si>
    <t>СОСИСКИ ИНДЮШИНЫЕ в/г 600 гр/шт Спец Цех</t>
  </si>
  <si>
    <t>СОСИСКИ ИНДЮШИНЫЕ в/г Спец Цех</t>
  </si>
  <si>
    <t>СОСИСКИ КУРЯЧІ,Нашi Ковбаси</t>
  </si>
  <si>
    <t>СОСИСКИ МОЛОЧНI ВАР В/Г</t>
  </si>
  <si>
    <t>СОСИСКИ МОЛОЧНI ВАР В/Г 330 гр/шт, BILLA</t>
  </si>
  <si>
    <t>СОСИСКИ МОЛОЧНI ВАР В/Г, BILLA</t>
  </si>
  <si>
    <t>СОСИСКИ МОЛОЧНI ВАР Н/О В/Г</t>
  </si>
  <si>
    <t>СОСИСКИ МОЛОЧНI вар.поліамід, Наші Ковбаси</t>
  </si>
  <si>
    <t>СОСИСКИ ФIРМОВI (17см прикопч.),Нашi Ковбаси</t>
  </si>
  <si>
    <t>СОСИСКИ ФIРМОВI 1 г, Нашi Ковбаси</t>
  </si>
  <si>
    <t>СОСИСКИ ФРАНКФУРТСЬКІ в/г 320г/шт</t>
  </si>
  <si>
    <t>СОСИСКИ ШКIЛЬНI</t>
  </si>
  <si>
    <t>СОСИСКИ ЯЛОВИЧI ДСТУ 1г</t>
  </si>
  <si>
    <t>СОСИСКИ варені ,Фітнес в/г 225г/шт</t>
  </si>
  <si>
    <t>СОСИСКИ з мясом кролика в/г 225г/шт,Фітнес</t>
  </si>
  <si>
    <t>СОСИСКИ з мясом кролика в/г, Фітнес</t>
  </si>
  <si>
    <t>СОЮЗНАЯ варена, Нашi Ковбаси</t>
  </si>
  <si>
    <t>Сардельки по-київськи з додаванням кропу та шматочками вершкового масла в/г Спец Цех</t>
  </si>
  <si>
    <t>Сосиска з мясом кроля з прянощами в/г 600 гр/шт Спец Цех</t>
  </si>
  <si>
    <t>Сосиска з мясом кроля з прянощами в/г Спец Цех</t>
  </si>
  <si>
    <t>Сосиски "Вершкові" н/о в/г ТМ Варто</t>
  </si>
  <si>
    <t>Сосиски "Кроха", 290 г/упак</t>
  </si>
  <si>
    <t>Сосиски Богатирські</t>
  </si>
  <si>
    <t>Сосиски Дитячi в/г п/а,ТМ Ашан</t>
  </si>
  <si>
    <t>Сосиски Дитячi в/г, 330г ТМ Ашан</t>
  </si>
  <si>
    <t>Сосиски Дитячi в/г, 330г ТМ Варто</t>
  </si>
  <si>
    <t>Сосиски Дитячi, 330г/упак</t>
  </si>
  <si>
    <t>Сосиски Шкiльнi, 350г/упак.</t>
  </si>
  <si>
    <t>Сосиски Яловичi 1 г, 350г/упак</t>
  </si>
  <si>
    <t xml:space="preserve">Сосиски варені Дитячі в/г 600 гр/шт Спец Цех          </t>
  </si>
  <si>
    <t>Сосиски з вершками Карапуз в/г, 240 г/упак</t>
  </si>
  <si>
    <t>Сосиски з сиром Парміджано-Реджано та Чеддер 600 гр/шт СпецЦех в/г</t>
  </si>
  <si>
    <t>Сосиски з сиром, 330 г/упак</t>
  </si>
  <si>
    <t>Сосиски молочнi в/г, 330 г ТМ Варто</t>
  </si>
  <si>
    <t>Сосиски молочнi вар. в/г, 330 г/упак ТМ Ашан</t>
  </si>
  <si>
    <t>Сосиски молочнi, 330 г/упак</t>
  </si>
  <si>
    <t>ТЕЛЯЧА з язиком н/о в/г, Спец Цех</t>
  </si>
  <si>
    <t>ТИРОЛЬСКАЯ В/К В/Г</t>
  </si>
  <si>
    <t>ТИРОЛЬСКАЯ В/К В/Г, 360 гр/шт</t>
  </si>
  <si>
    <t>УКРАIНЬСКА РУБЛЕНА в\к 1г спец цех</t>
  </si>
  <si>
    <t>УКРАЇНСЬКА ДОМАШНЯ СМАЖЕНА В/Г</t>
  </si>
  <si>
    <t>ФІРМОВА З МОЛОКОМ В/Г</t>
  </si>
  <si>
    <t>ФОЗЗИ ЛIКАРСЬКА вар. в/г ДСТУ, Наші Ковбаси</t>
  </si>
  <si>
    <t>ШВЕЙЦАРСЬКА в/к 1г</t>
  </si>
  <si>
    <t>ШИЙКА КАСЛО С/К в/г</t>
  </si>
  <si>
    <t>ШИНКА КУРЯЧА"ОСОБЛИВА" ВАР.</t>
  </si>
  <si>
    <t>ШИНКА НАТУРАЛЬНА СВИНЯЧА В/К</t>
  </si>
  <si>
    <t xml:space="preserve">ШИНКА С/К В/Г ЛОВЕЦЬКА СОФІЄВСЬКА </t>
  </si>
  <si>
    <t>ШИНКА С/К ЛОВЕЦЬКА ЧЕРВОНА,Нашi Ковбаси</t>
  </si>
  <si>
    <t>ШИНКА СВИНЯЧА КОРОЛIВСЬКА В/К В/Г</t>
  </si>
  <si>
    <t>ШИНКА Яловича натуральна в/к в/г Фітнес</t>
  </si>
  <si>
    <t>ШИНКА варена із індичого філе 400г/шт, Фітнес</t>
  </si>
  <si>
    <t>ШИНКА варена із індичого філе в/г, Фітнес</t>
  </si>
  <si>
    <t>Шийка закопчена на вишневих гілках</t>
  </si>
  <si>
    <t>Шинка Куряча"Особлива" в/г 350г/шт</t>
  </si>
  <si>
    <t>Вид товара</t>
  </si>
  <si>
    <t>коробка</t>
  </si>
  <si>
    <t>Ул 1/2 упак.</t>
  </si>
  <si>
    <t>Ул крючок</t>
  </si>
  <si>
    <t>вес.</t>
  </si>
  <si>
    <t>Ул упак.</t>
  </si>
  <si>
    <t>упак.</t>
  </si>
  <si>
    <t>Б/В</t>
  </si>
  <si>
    <t>нар.</t>
  </si>
  <si>
    <t>Б/В 1 кг</t>
  </si>
  <si>
    <t>Флоу-пак</t>
  </si>
  <si>
    <t>Б/В 0,5кг</t>
  </si>
  <si>
    <t>упак. крючок</t>
  </si>
  <si>
    <t>1/2 упак.</t>
  </si>
  <si>
    <t>М/Б</t>
  </si>
  <si>
    <t>натурин</t>
  </si>
  <si>
    <t>Ед. изм.</t>
  </si>
  <si>
    <t>шт</t>
  </si>
  <si>
    <t>кг</t>
  </si>
  <si>
    <t>код упак</t>
  </si>
  <si>
    <t>код пр-ва</t>
  </si>
  <si>
    <t>штуч</t>
  </si>
  <si>
    <t>вес ном</t>
  </si>
  <si>
    <t>вес не ном</t>
  </si>
  <si>
    <t>без этик</t>
  </si>
  <si>
    <t>ном</t>
  </si>
  <si>
    <t>не ном</t>
  </si>
  <si>
    <t>Почему не штуки? Иск об</t>
  </si>
  <si>
    <t>упак заменить на Б/в?</t>
  </si>
  <si>
    <t>не понятно отличие</t>
  </si>
  <si>
    <t>я так понял отклонения за номинал в полиамиде нельзя считать на Б/В</t>
  </si>
  <si>
    <t>ЛIКАРСЬКА в/г ДСТУ, Нашi ковбаси ирна</t>
  </si>
  <si>
    <t>КОЛБАСА ЯЗЫКОВАЯ ВАРЕН. В/Г нат об</t>
  </si>
  <si>
    <t>КОВБАСА із яловичини Фітнес вар. в/г иск об</t>
  </si>
  <si>
    <t>КОВБАСА Яловича вар. в/г 400г/шт, Фітнес иск об</t>
  </si>
  <si>
    <t>КОВБАСА із яловичини Фітнес Люкс вар. в/г нат об</t>
  </si>
  <si>
    <t>Ковбаса Традиійна з яловичиною иск об</t>
  </si>
  <si>
    <t>КОВБАСКИ НЕВСЬКI В/Г нат об</t>
  </si>
  <si>
    <t>ЛIКАРСЬКА В/Г Спец Цех міхур</t>
  </si>
  <si>
    <t>ЛIКАРСЬКА вар п/а ТМ Варто иск</t>
  </si>
  <si>
    <t>ЛIКАРСЬКА вар в/г, 400г ТМ Варто иск об</t>
  </si>
  <si>
    <t>ЛIКАРСЬКА ВАР. В/Г нат об</t>
  </si>
  <si>
    <t>ЛIКАРСЬКА ВАР. В/Г ТМ Ашан нат об</t>
  </si>
  <si>
    <t>ЛIКАРСЬКА ВАР. В/Г* нат</t>
  </si>
  <si>
    <t>ЛIКАРСЬКА п/а (шкiльна) иск</t>
  </si>
  <si>
    <t>ЛIКАРСЬКА п/а (шкiльна)400г/шт В/Г иск</t>
  </si>
  <si>
    <t>ЛЮБИТЕЛЬСЬКА СВИНЯЧА ВАР.  В/Г нат об</t>
  </si>
  <si>
    <t>ЛЮБИТЕЛЬСЬКА СВИНЯЧА ВАР.  В/Г, BILLA нат об</t>
  </si>
  <si>
    <t>МОЛОЧНА  п/а В/Г (1,5кг) иск</t>
  </si>
  <si>
    <t>МОЛОЧНА  п/а В/Г (шкiльна) иск об</t>
  </si>
  <si>
    <t>МОЛОЧНА ВАР.В/Г нат об</t>
  </si>
  <si>
    <t>МОЛОЧНА ВАР.В/Г ТМ Ашан нат об</t>
  </si>
  <si>
    <t>МОЛОЧНА ДСТУ н/о Наши Ковбаси нат об</t>
  </si>
  <si>
    <t>МОЛОЧНА вар в/г, 400г, ТМ Варто иск об</t>
  </si>
  <si>
    <t>МОЛОЧНА вар п/а ТМ  иск об</t>
  </si>
  <si>
    <t>МОЛОЧНА п/а (шкiльна) 400г/шт В/Г иск об</t>
  </si>
  <si>
    <t>Сосиски "Вiденськi"в/г, 376г/упак нат об</t>
  </si>
  <si>
    <t>СОСИСКИ КУРЯЧІ,Нашi Ковбаси нат об</t>
  </si>
  <si>
    <t>Сосиски Масляні в/г иск об</t>
  </si>
  <si>
    <t>Сосиски Масляні в/г, 300 гр/шт иск об</t>
  </si>
  <si>
    <t>реализ, шт</t>
  </si>
  <si>
    <t>реализ, кг</t>
  </si>
  <si>
    <t>вес 1 шт</t>
  </si>
  <si>
    <r>
      <t xml:space="preserve">КОВБАСКИ "БИФВУРСТ" вар. в/г </t>
    </r>
    <r>
      <rPr>
        <b/>
        <u/>
        <sz val="7"/>
        <color indexed="10"/>
        <rFont val="Tahoma"/>
        <family val="2"/>
        <charset val="204"/>
      </rPr>
      <t>под клиента</t>
    </r>
  </si>
  <si>
    <r>
      <t xml:space="preserve">КОВБАСКИ "МОЦАРЕЛЛАВУРСТ" вар. в/г  </t>
    </r>
    <r>
      <rPr>
        <b/>
        <u/>
        <sz val="7"/>
        <color indexed="10"/>
        <rFont val="Tahoma"/>
        <family val="2"/>
        <charset val="204"/>
      </rPr>
      <t>под клиента</t>
    </r>
  </si>
  <si>
    <t>МОСКОВСЬКА В/К ДСТУ*</t>
  </si>
  <si>
    <t>ул крючок</t>
  </si>
  <si>
    <t>ГП алан-вся СТМ MULTICO СК КОЛБАСЫ, Алан</t>
  </si>
  <si>
    <t>С/К БРАУНШВЕЙГСЬКА В/Г, Multico</t>
  </si>
  <si>
    <t>С/К МОСКОВСЬКА В/Г, Multico</t>
  </si>
  <si>
    <t>Сосиски "Кроха",  ТМ Варто 275 г/упак</t>
  </si>
  <si>
    <t>неном</t>
  </si>
  <si>
    <t>ТЕЛЯЧА з язиком н/о в/г, Спец Цех пузырь</t>
  </si>
  <si>
    <t>РУСАНIВСЬКА ВАР. В/Г иск об</t>
  </si>
  <si>
    <t>ШИНКА КУРЯЧА"ОСОБЛИВА" ВАР. Полиамид</t>
  </si>
  <si>
    <t>ЛIКАРСЬКА в/г ДСТУ, Нашi ковбаси ирна текстил. Об</t>
  </si>
  <si>
    <t>КУРЯЧА П/К, Нашi Ковбаси нат об</t>
  </si>
  <si>
    <t>СОЮЗНАЯ варена, Нашi Ковбаси полиамимд</t>
  </si>
  <si>
    <t>ДИТЯЧА ВЕРШКОВА  в/г Спец Цех нат об</t>
  </si>
  <si>
    <t>ШИНКА С/К В/Г ЛОВЕЦЬКА СОФІЄВСЬКА  целлофан</t>
  </si>
  <si>
    <t>РУСАНIВСЬКА п/а В/Г (1,5кг) полиамид</t>
  </si>
  <si>
    <t>КОВБАСА МРАМОРНА вар, в/г нат об</t>
  </si>
  <si>
    <t>КОВБАСА АВТОРСЬКА вар, в/г Спец Цех нат об</t>
  </si>
  <si>
    <t>Штучный</t>
  </si>
  <si>
    <t>Весовая категория</t>
  </si>
  <si>
    <t>Номинальный</t>
  </si>
  <si>
    <t>Неноминальный</t>
  </si>
  <si>
    <t>код 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</si>
</sst>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7"/>
      <color indexed="63"/>
      <name val="MS Sans Serif"/>
      <charset val="1"/>
    </font>
    <font>
      <sz val="7"/>
      <name val="Tahoma"/>
      <charset val="1"/>
    </font>
    <font>
      <sz val="6"/>
      <name val="Arial Narrow"/>
      <family val="2"/>
      <charset val="204"/>
    </font>
    <font>
      <b/>
      <sz val="6"/>
      <color indexed="63"/>
      <name val="Arial Narrow"/>
      <family val="2"/>
      <charset val="204"/>
    </font>
    <font>
      <sz val="9"/>
      <name val="Arial Narrow"/>
      <family val="2"/>
      <charset val="204"/>
    </font>
    <font>
      <b/>
      <sz val="9"/>
      <color indexed="63"/>
      <name val="Arial Narrow"/>
      <family val="2"/>
      <charset val="204"/>
    </font>
    <font>
      <sz val="7"/>
      <name val="Tahoma"/>
      <family val="2"/>
      <charset val="204"/>
    </font>
    <font>
      <sz val="10"/>
      <name val="Arial"/>
      <family val="2"/>
      <charset val="204"/>
    </font>
    <font>
      <sz val="8"/>
      <name val="Tahoma"/>
      <family val="2"/>
      <charset val="204"/>
    </font>
    <font>
      <b/>
      <sz val="8"/>
      <color indexed="63"/>
      <name val="Arial Narrow"/>
      <family val="2"/>
      <charset val="204"/>
    </font>
    <font>
      <sz val="8"/>
      <name val="Arial Narrow"/>
      <family val="2"/>
      <charset val="204"/>
    </font>
    <font>
      <b/>
      <u/>
      <sz val="7"/>
      <color indexed="10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6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top" wrapText="1"/>
    </xf>
    <xf numFmtId="0" fontId="2" fillId="0" borderId="1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right" vertical="top" wrapText="1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4" fillId="2" borderId="1" xfId="0" applyNumberFormat="1" applyFont="1" applyFill="1" applyBorder="1" applyAlignment="1" applyProtection="1">
      <alignment horizontal="center" vertical="top" wrapText="1"/>
    </xf>
    <xf numFmtId="0" fontId="3" fillId="0" borderId="0" xfId="0" applyFont="1"/>
    <xf numFmtId="0" fontId="5" fillId="0" borderId="1" xfId="0" applyNumberFormat="1" applyFont="1" applyFill="1" applyBorder="1" applyAlignment="1" applyProtection="1">
      <alignment horizontal="left" vertical="top" wrapText="1"/>
    </xf>
    <xf numFmtId="0" fontId="6" fillId="2" borderId="1" xfId="0" applyNumberFormat="1" applyFont="1" applyFill="1" applyBorder="1" applyAlignment="1" applyProtection="1">
      <alignment horizontal="center" vertical="top" wrapText="1"/>
    </xf>
    <xf numFmtId="0" fontId="5" fillId="0" borderId="0" xfId="0" applyFont="1"/>
    <xf numFmtId="0" fontId="7" fillId="0" borderId="1" xfId="0" applyNumberFormat="1" applyFont="1" applyFill="1" applyBorder="1" applyAlignment="1" applyProtection="1">
      <alignment horizontal="left" vertical="top" wrapText="1"/>
    </xf>
    <xf numFmtId="0" fontId="1" fillId="3" borderId="1" xfId="0" applyNumberFormat="1" applyFont="1" applyFill="1" applyBorder="1" applyAlignment="1" applyProtection="1">
      <alignment horizontal="center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0" fontId="2" fillId="4" borderId="1" xfId="0" applyNumberFormat="1" applyFont="1" applyFill="1" applyBorder="1" applyAlignment="1" applyProtection="1">
      <alignment horizontal="left" vertical="top" wrapText="1"/>
    </xf>
    <xf numFmtId="0" fontId="2" fillId="5" borderId="1" xfId="0" applyNumberFormat="1" applyFont="1" applyFill="1" applyBorder="1" applyAlignment="1" applyProtection="1">
      <alignment horizontal="left" vertical="top" wrapText="1"/>
    </xf>
    <xf numFmtId="0" fontId="0" fillId="0" borderId="0" xfId="0" applyFill="1"/>
    <xf numFmtId="0" fontId="7" fillId="5" borderId="1" xfId="0" applyNumberFormat="1" applyFont="1" applyFill="1" applyBorder="1" applyAlignment="1" applyProtection="1">
      <alignment horizontal="left" vertical="top" wrapText="1"/>
    </xf>
    <xf numFmtId="0" fontId="7" fillId="3" borderId="1" xfId="0" applyNumberFormat="1" applyFont="1" applyFill="1" applyBorder="1" applyAlignment="1" applyProtection="1">
      <alignment horizontal="left" vertical="top" wrapText="1"/>
    </xf>
    <xf numFmtId="0" fontId="2" fillId="6" borderId="1" xfId="0" applyNumberFormat="1" applyFont="1" applyFill="1" applyBorder="1" applyAlignment="1" applyProtection="1">
      <alignment horizontal="left" vertical="top" wrapText="1"/>
    </xf>
    <xf numFmtId="0" fontId="8" fillId="0" borderId="0" xfId="0" applyFont="1" applyFill="1"/>
    <xf numFmtId="1" fontId="2" fillId="0" borderId="1" xfId="0" applyNumberFormat="1" applyFont="1" applyFill="1" applyBorder="1" applyAlignment="1" applyProtection="1">
      <alignment horizontal="left" vertical="top" wrapText="1"/>
    </xf>
    <xf numFmtId="1" fontId="0" fillId="0" borderId="0" xfId="0" applyNumberFormat="1"/>
    <xf numFmtId="1" fontId="9" fillId="0" borderId="1" xfId="0" applyNumberFormat="1" applyFont="1" applyFill="1" applyBorder="1" applyAlignment="1" applyProtection="1">
      <alignment horizontal="left" vertical="top" wrapText="1"/>
    </xf>
    <xf numFmtId="0" fontId="10" fillId="2" borderId="1" xfId="0" applyNumberFormat="1" applyFont="1" applyFill="1" applyBorder="1" applyAlignment="1" applyProtection="1">
      <alignment horizontal="center" vertical="top" wrapText="1"/>
    </xf>
    <xf numFmtId="0" fontId="11" fillId="0" borderId="1" xfId="0" applyNumberFormat="1" applyFont="1" applyFill="1" applyBorder="1" applyAlignment="1" applyProtection="1">
      <alignment horizontal="left" vertical="top" wrapText="1"/>
    </xf>
    <xf numFmtId="0" fontId="11" fillId="0" borderId="0" xfId="0" applyFont="1"/>
    <xf numFmtId="2" fontId="2" fillId="0" borderId="1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ill="1" applyBorder="1"/>
    <xf numFmtId="0" fontId="2" fillId="7" borderId="1" xfId="0" applyNumberFormat="1" applyFont="1" applyFill="1" applyBorder="1" applyAlignment="1" applyProtection="1">
      <alignment horizontal="left" vertical="top" wrapText="1"/>
    </xf>
    <xf numFmtId="0" fontId="11" fillId="7" borderId="1" xfId="0" applyNumberFormat="1" applyFont="1" applyFill="1" applyBorder="1" applyAlignment="1" applyProtection="1">
      <alignment horizontal="left" vertical="top" wrapText="1"/>
    </xf>
    <xf numFmtId="1" fontId="2" fillId="7" borderId="1" xfId="0" applyNumberFormat="1" applyFont="1" applyFill="1" applyBorder="1" applyAlignment="1" applyProtection="1">
      <alignment horizontal="left" vertical="top" wrapText="1"/>
    </xf>
    <xf numFmtId="0" fontId="7" fillId="7" borderId="1" xfId="0" applyNumberFormat="1" applyFont="1" applyFill="1" applyBorder="1" applyAlignment="1" applyProtection="1">
      <alignment horizontal="left" vertical="top" wrapText="1"/>
    </xf>
    <xf numFmtId="2" fontId="2" fillId="7" borderId="1" xfId="0" applyNumberFormat="1" applyFont="1" applyFill="1" applyBorder="1" applyAlignment="1" applyProtection="1">
      <alignment horizontal="left" vertical="top" wrapText="1"/>
    </xf>
    <xf numFmtId="0" fontId="2" fillId="0" borderId="2" xfId="0" applyNumberFormat="1" applyFont="1" applyFill="1" applyBorder="1" applyAlignment="1" applyProtection="1">
      <alignment horizontal="left" vertical="top" wrapText="1"/>
    </xf>
    <xf numFmtId="0" fontId="1" fillId="2" borderId="2" xfId="0" applyNumberFormat="1" applyFont="1" applyFill="1" applyBorder="1" applyAlignment="1" applyProtection="1">
      <alignment horizontal="center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2" xfId="0" applyNumberFormat="1" applyFont="1" applyFill="1" applyBorder="1" applyAlignment="1" applyProtection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333399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333333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D4D0C8"/>
      <rgbColor rgb="00808080"/>
      <rgbColor rgb="00000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9"/>
  <sheetViews>
    <sheetView showGridLines="0" topLeftCell="A369" zoomScale="120" zoomScaleNormal="120" workbookViewId="0">
      <selection activeCell="A379" sqref="A379"/>
    </sheetView>
  </sheetViews>
  <sheetFormatPr defaultRowHeight="12.5" x14ac:dyDescent="0.25"/>
  <cols>
    <col min="1" max="1" width="11.54296875" style="6" customWidth="1"/>
    <col min="2" max="2" width="6.1796875" customWidth="1"/>
    <col min="3" max="3" width="8.81640625" customWidth="1"/>
    <col min="4" max="4" width="38.1796875" customWidth="1"/>
    <col min="5" max="5" width="10.08984375" style="9" customWidth="1"/>
    <col min="6" max="6" width="4" customWidth="1"/>
    <col min="7" max="10" width="5.81640625" customWidth="1"/>
  </cols>
  <sheetData>
    <row r="1" spans="1:10" ht="17" x14ac:dyDescent="0.25">
      <c r="A1" s="5" t="s">
        <v>0</v>
      </c>
      <c r="B1" s="1" t="s">
        <v>316</v>
      </c>
      <c r="C1" s="1" t="s">
        <v>315</v>
      </c>
      <c r="D1" s="1" t="s">
        <v>64</v>
      </c>
      <c r="E1" s="8" t="s">
        <v>296</v>
      </c>
      <c r="F1" s="1" t="s">
        <v>312</v>
      </c>
      <c r="G1" s="1" t="s">
        <v>317</v>
      </c>
      <c r="H1" s="1" t="s">
        <v>318</v>
      </c>
      <c r="I1" s="1" t="s">
        <v>319</v>
      </c>
      <c r="J1" s="11" t="s">
        <v>320</v>
      </c>
    </row>
    <row r="2" spans="1:10" ht="11.4" customHeight="1" x14ac:dyDescent="0.25">
      <c r="A2" s="4" t="s">
        <v>1</v>
      </c>
      <c r="B2" s="2">
        <v>899</v>
      </c>
      <c r="C2" s="3">
        <v>2336</v>
      </c>
      <c r="D2" s="2" t="s">
        <v>65</v>
      </c>
      <c r="E2" s="7" t="s">
        <v>297</v>
      </c>
      <c r="F2" s="2" t="s">
        <v>313</v>
      </c>
      <c r="G2" s="10" t="s">
        <v>313</v>
      </c>
      <c r="H2" s="2"/>
      <c r="I2" s="2"/>
      <c r="J2" s="2"/>
    </row>
    <row r="3" spans="1:10" ht="11.4" customHeight="1" x14ac:dyDescent="0.25">
      <c r="A3" s="4" t="s">
        <v>1</v>
      </c>
      <c r="B3" s="2">
        <v>899</v>
      </c>
      <c r="C3" s="3">
        <v>899</v>
      </c>
      <c r="D3" s="2" t="s">
        <v>66</v>
      </c>
      <c r="E3" s="7" t="s">
        <v>299</v>
      </c>
      <c r="F3" s="2" t="s">
        <v>314</v>
      </c>
      <c r="G3" s="2"/>
      <c r="H3" s="10" t="s">
        <v>321</v>
      </c>
      <c r="I3" s="12"/>
      <c r="J3" s="2"/>
    </row>
    <row r="4" spans="1:10" ht="11.4" customHeight="1" x14ac:dyDescent="0.25">
      <c r="A4" s="4" t="s">
        <v>2</v>
      </c>
      <c r="B4" s="2">
        <v>363</v>
      </c>
      <c r="C4" s="3">
        <v>363</v>
      </c>
      <c r="D4" s="2" t="s">
        <v>67</v>
      </c>
      <c r="E4" s="7" t="s">
        <v>301</v>
      </c>
      <c r="F4" s="2" t="s">
        <v>314</v>
      </c>
      <c r="G4" s="2"/>
      <c r="H4" s="10" t="s">
        <v>321</v>
      </c>
      <c r="I4" s="12"/>
      <c r="J4" s="2"/>
    </row>
    <row r="5" spans="1:10" ht="11.4" customHeight="1" x14ac:dyDescent="0.25">
      <c r="A5" s="4" t="s">
        <v>3</v>
      </c>
      <c r="B5" s="2">
        <v>667</v>
      </c>
      <c r="C5" s="3">
        <v>667</v>
      </c>
      <c r="D5" s="2" t="s">
        <v>68</v>
      </c>
      <c r="E5" s="7" t="s">
        <v>300</v>
      </c>
      <c r="F5" s="2" t="s">
        <v>314</v>
      </c>
      <c r="G5" s="2"/>
      <c r="H5" s="10" t="s">
        <v>321</v>
      </c>
      <c r="I5" s="12"/>
      <c r="J5" s="2"/>
    </row>
    <row r="6" spans="1:10" ht="11.4" customHeight="1" x14ac:dyDescent="0.25">
      <c r="A6" s="4" t="s">
        <v>4</v>
      </c>
      <c r="B6" s="2">
        <v>101</v>
      </c>
      <c r="C6" s="3">
        <v>101</v>
      </c>
      <c r="D6" s="2" t="s">
        <v>69</v>
      </c>
      <c r="E6" s="7" t="s">
        <v>303</v>
      </c>
      <c r="F6" s="2" t="s">
        <v>314</v>
      </c>
      <c r="G6" s="2"/>
      <c r="H6" s="10"/>
      <c r="I6" s="10" t="s">
        <v>322</v>
      </c>
      <c r="J6" s="2"/>
    </row>
    <row r="7" spans="1:10" ht="11.4" customHeight="1" x14ac:dyDescent="0.25">
      <c r="A7" s="4" t="s">
        <v>4</v>
      </c>
      <c r="B7" s="2">
        <v>101</v>
      </c>
      <c r="C7" s="3">
        <v>101</v>
      </c>
      <c r="D7" s="2" t="s">
        <v>69</v>
      </c>
      <c r="E7" s="7" t="s">
        <v>302</v>
      </c>
      <c r="F7" s="2" t="s">
        <v>314</v>
      </c>
      <c r="G7" s="2"/>
      <c r="H7" s="10" t="s">
        <v>321</v>
      </c>
      <c r="I7" s="2"/>
      <c r="J7" s="2"/>
    </row>
    <row r="8" spans="1:10" ht="11.4" customHeight="1" x14ac:dyDescent="0.25">
      <c r="A8" s="4" t="s">
        <v>4</v>
      </c>
      <c r="B8" s="2">
        <v>1210</v>
      </c>
      <c r="C8" s="3">
        <v>1210</v>
      </c>
      <c r="D8" s="2" t="s">
        <v>78</v>
      </c>
      <c r="E8" s="7" t="s">
        <v>303</v>
      </c>
      <c r="F8" s="2" t="s">
        <v>314</v>
      </c>
      <c r="G8" s="2"/>
      <c r="H8" s="10"/>
      <c r="I8" s="10" t="s">
        <v>322</v>
      </c>
      <c r="J8" s="2"/>
    </row>
    <row r="9" spans="1:10" ht="11.4" customHeight="1" x14ac:dyDescent="0.25">
      <c r="A9" s="4" t="s">
        <v>4</v>
      </c>
      <c r="B9" s="2">
        <v>1210</v>
      </c>
      <c r="C9" s="3">
        <v>1210</v>
      </c>
      <c r="D9" s="2" t="s">
        <v>78</v>
      </c>
      <c r="E9" s="7" t="s">
        <v>302</v>
      </c>
      <c r="F9" s="2" t="s">
        <v>314</v>
      </c>
      <c r="G9" s="2"/>
      <c r="H9" s="10" t="s">
        <v>321</v>
      </c>
      <c r="I9" s="2"/>
      <c r="J9" s="2"/>
    </row>
    <row r="10" spans="1:10" ht="11.4" customHeight="1" x14ac:dyDescent="0.25">
      <c r="A10" s="4" t="s">
        <v>4</v>
      </c>
      <c r="B10" s="2">
        <v>901</v>
      </c>
      <c r="C10" s="3">
        <v>901</v>
      </c>
      <c r="D10" s="2" t="s">
        <v>70</v>
      </c>
      <c r="E10" s="7" t="s">
        <v>303</v>
      </c>
      <c r="F10" s="2" t="s">
        <v>314</v>
      </c>
      <c r="G10" s="2"/>
      <c r="H10" s="10"/>
      <c r="I10" s="10" t="s">
        <v>322</v>
      </c>
      <c r="J10" s="2"/>
    </row>
    <row r="11" spans="1:10" ht="11.4" customHeight="1" x14ac:dyDescent="0.25">
      <c r="A11" s="4" t="s">
        <v>4</v>
      </c>
      <c r="B11" s="2">
        <v>901</v>
      </c>
      <c r="C11" s="3">
        <v>901</v>
      </c>
      <c r="D11" s="2" t="s">
        <v>70</v>
      </c>
      <c r="E11" s="7" t="s">
        <v>302</v>
      </c>
      <c r="F11" s="2" t="s">
        <v>314</v>
      </c>
      <c r="G11" s="2"/>
      <c r="H11" s="10" t="s">
        <v>321</v>
      </c>
      <c r="I11" s="2"/>
      <c r="J11" s="2"/>
    </row>
    <row r="12" spans="1:10" ht="11.4" customHeight="1" x14ac:dyDescent="0.25">
      <c r="A12" s="4" t="s">
        <v>5</v>
      </c>
      <c r="B12" s="2">
        <v>66</v>
      </c>
      <c r="C12" s="3">
        <v>66</v>
      </c>
      <c r="D12" s="2" t="s">
        <v>71</v>
      </c>
      <c r="E12" s="7" t="s">
        <v>303</v>
      </c>
      <c r="F12" s="2" t="s">
        <v>314</v>
      </c>
      <c r="G12" s="2"/>
      <c r="H12" s="10"/>
      <c r="I12" s="10" t="s">
        <v>322</v>
      </c>
      <c r="J12" s="2"/>
    </row>
    <row r="13" spans="1:10" ht="11.4" customHeight="1" x14ac:dyDescent="0.25">
      <c r="A13" s="4" t="s">
        <v>5</v>
      </c>
      <c r="B13" s="2">
        <v>66</v>
      </c>
      <c r="C13" s="3">
        <v>66</v>
      </c>
      <c r="D13" s="2" t="s">
        <v>71</v>
      </c>
      <c r="E13" s="7" t="s">
        <v>302</v>
      </c>
      <c r="F13" s="2" t="s">
        <v>314</v>
      </c>
      <c r="G13" s="2"/>
      <c r="H13" s="10" t="s">
        <v>321</v>
      </c>
      <c r="I13" s="2"/>
      <c r="J13" s="2"/>
    </row>
    <row r="14" spans="1:10" ht="11.4" customHeight="1" x14ac:dyDescent="0.25">
      <c r="A14" s="4" t="s">
        <v>4</v>
      </c>
      <c r="B14" s="2">
        <v>777</v>
      </c>
      <c r="C14" s="3">
        <v>777</v>
      </c>
      <c r="D14" s="2" t="s">
        <v>72</v>
      </c>
      <c r="E14" s="7" t="s">
        <v>303</v>
      </c>
      <c r="F14" s="2" t="s">
        <v>314</v>
      </c>
      <c r="G14" s="2"/>
      <c r="H14" s="10"/>
      <c r="I14" s="10" t="s">
        <v>322</v>
      </c>
      <c r="J14" s="2"/>
    </row>
    <row r="15" spans="1:10" ht="11.4" customHeight="1" x14ac:dyDescent="0.25">
      <c r="A15" s="4" t="s">
        <v>4</v>
      </c>
      <c r="B15" s="2">
        <v>777</v>
      </c>
      <c r="C15" s="3">
        <v>777</v>
      </c>
      <c r="D15" s="2" t="s">
        <v>72</v>
      </c>
      <c r="E15" s="7" t="s">
        <v>302</v>
      </c>
      <c r="F15" s="2" t="s">
        <v>314</v>
      </c>
      <c r="G15" s="2"/>
      <c r="H15" s="10" t="s">
        <v>321</v>
      </c>
      <c r="I15" s="2"/>
      <c r="J15" s="2"/>
    </row>
    <row r="16" spans="1:10" ht="11.4" customHeight="1" x14ac:dyDescent="0.25">
      <c r="A16" s="4" t="s">
        <v>6</v>
      </c>
      <c r="B16" s="2">
        <v>185</v>
      </c>
      <c r="C16" s="3">
        <v>185</v>
      </c>
      <c r="D16" s="2" t="s">
        <v>73</v>
      </c>
      <c r="E16" s="7" t="s">
        <v>303</v>
      </c>
      <c r="F16" s="2" t="s">
        <v>314</v>
      </c>
      <c r="G16" s="2"/>
      <c r="H16" s="10"/>
      <c r="I16" s="10" t="s">
        <v>322</v>
      </c>
      <c r="J16" s="2"/>
    </row>
    <row r="17" spans="1:10" ht="11.4" customHeight="1" x14ac:dyDescent="0.25">
      <c r="A17" s="4" t="s">
        <v>6</v>
      </c>
      <c r="B17" s="2">
        <v>185</v>
      </c>
      <c r="C17" s="3">
        <v>185</v>
      </c>
      <c r="D17" s="2" t="s">
        <v>73</v>
      </c>
      <c r="E17" s="7" t="s">
        <v>302</v>
      </c>
      <c r="F17" s="2" t="s">
        <v>314</v>
      </c>
      <c r="G17" s="2"/>
      <c r="H17" s="10" t="s">
        <v>321</v>
      </c>
      <c r="I17" s="2"/>
      <c r="J17" s="2"/>
    </row>
    <row r="18" spans="1:10" ht="11.4" customHeight="1" x14ac:dyDescent="0.25">
      <c r="A18" s="4" t="s">
        <v>7</v>
      </c>
      <c r="B18" s="2">
        <v>462</v>
      </c>
      <c r="C18" s="3">
        <v>462</v>
      </c>
      <c r="D18" s="2" t="s">
        <v>74</v>
      </c>
      <c r="E18" s="7" t="s">
        <v>299</v>
      </c>
      <c r="F18" s="2" t="s">
        <v>314</v>
      </c>
      <c r="G18" s="2"/>
      <c r="H18" s="10" t="s">
        <v>321</v>
      </c>
      <c r="I18" s="12"/>
      <c r="J18" s="2"/>
    </row>
    <row r="19" spans="1:10" ht="11.4" customHeight="1" x14ac:dyDescent="0.25">
      <c r="A19" s="4" t="s">
        <v>4</v>
      </c>
      <c r="B19" s="2">
        <v>1211</v>
      </c>
      <c r="C19" s="3">
        <v>1211</v>
      </c>
      <c r="D19" s="2" t="s">
        <v>79</v>
      </c>
      <c r="E19" s="7" t="s">
        <v>303</v>
      </c>
      <c r="F19" s="2" t="s">
        <v>314</v>
      </c>
      <c r="G19" s="2"/>
      <c r="H19" s="10"/>
      <c r="I19" s="10" t="s">
        <v>322</v>
      </c>
      <c r="J19" s="2"/>
    </row>
    <row r="20" spans="1:10" ht="11.4" customHeight="1" x14ac:dyDescent="0.25">
      <c r="A20" s="4" t="s">
        <v>4</v>
      </c>
      <c r="B20" s="2">
        <v>1211</v>
      </c>
      <c r="C20" s="3">
        <v>1211</v>
      </c>
      <c r="D20" s="2" t="s">
        <v>79</v>
      </c>
      <c r="E20" s="7" t="s">
        <v>302</v>
      </c>
      <c r="F20" s="2" t="s">
        <v>314</v>
      </c>
      <c r="G20" s="2"/>
      <c r="H20" s="10" t="s">
        <v>321</v>
      </c>
      <c r="I20" s="2"/>
      <c r="J20" s="2"/>
    </row>
    <row r="21" spans="1:10" ht="11.4" customHeight="1" x14ac:dyDescent="0.25">
      <c r="A21" s="4" t="s">
        <v>4</v>
      </c>
      <c r="B21" s="2">
        <v>81</v>
      </c>
      <c r="C21" s="3">
        <v>81</v>
      </c>
      <c r="D21" s="2" t="s">
        <v>75</v>
      </c>
      <c r="E21" s="7" t="s">
        <v>303</v>
      </c>
      <c r="F21" s="2" t="s">
        <v>314</v>
      </c>
      <c r="G21" s="2"/>
      <c r="H21" s="10"/>
      <c r="I21" s="10" t="s">
        <v>322</v>
      </c>
      <c r="J21" s="2"/>
    </row>
    <row r="22" spans="1:10" ht="11.4" customHeight="1" x14ac:dyDescent="0.25">
      <c r="A22" s="4" t="s">
        <v>4</v>
      </c>
      <c r="B22" s="2">
        <v>81</v>
      </c>
      <c r="C22" s="3">
        <v>81</v>
      </c>
      <c r="D22" s="2" t="s">
        <v>75</v>
      </c>
      <c r="E22" s="7" t="s">
        <v>302</v>
      </c>
      <c r="F22" s="2" t="s">
        <v>314</v>
      </c>
      <c r="G22" s="2"/>
      <c r="H22" s="10" t="s">
        <v>321</v>
      </c>
      <c r="I22" s="2"/>
      <c r="J22" s="2"/>
    </row>
    <row r="23" spans="1:10" ht="11.4" customHeight="1" x14ac:dyDescent="0.25">
      <c r="A23" s="4" t="s">
        <v>4</v>
      </c>
      <c r="B23" s="2">
        <v>221</v>
      </c>
      <c r="C23" s="3">
        <v>221</v>
      </c>
      <c r="D23" s="2" t="s">
        <v>76</v>
      </c>
      <c r="E23" s="7" t="s">
        <v>303</v>
      </c>
      <c r="F23" s="2" t="s">
        <v>314</v>
      </c>
      <c r="G23" s="2"/>
      <c r="H23" s="10"/>
      <c r="I23" s="10" t="s">
        <v>322</v>
      </c>
      <c r="J23" s="2"/>
    </row>
    <row r="24" spans="1:10" ht="11.4" customHeight="1" x14ac:dyDescent="0.25">
      <c r="A24" s="4" t="s">
        <v>4</v>
      </c>
      <c r="B24" s="2">
        <v>221</v>
      </c>
      <c r="C24" s="3">
        <v>221</v>
      </c>
      <c r="D24" s="2" t="s">
        <v>76</v>
      </c>
      <c r="E24" s="7" t="s">
        <v>302</v>
      </c>
      <c r="F24" s="2" t="s">
        <v>314</v>
      </c>
      <c r="G24" s="2"/>
      <c r="H24" s="10" t="s">
        <v>321</v>
      </c>
      <c r="I24" s="2"/>
      <c r="J24" s="2"/>
    </row>
    <row r="25" spans="1:10" ht="11.4" customHeight="1" x14ac:dyDescent="0.25">
      <c r="A25" s="4" t="s">
        <v>7</v>
      </c>
      <c r="B25" s="2">
        <v>331</v>
      </c>
      <c r="C25" s="3">
        <v>331</v>
      </c>
      <c r="D25" s="2" t="s">
        <v>77</v>
      </c>
      <c r="E25" s="7" t="s">
        <v>299</v>
      </c>
      <c r="F25" s="2" t="s">
        <v>314</v>
      </c>
      <c r="G25" s="2"/>
      <c r="H25" s="10" t="s">
        <v>321</v>
      </c>
      <c r="I25" s="12"/>
      <c r="J25" s="2"/>
    </row>
    <row r="26" spans="1:10" ht="11.4" customHeight="1" x14ac:dyDescent="0.25">
      <c r="A26" s="4" t="s">
        <v>6</v>
      </c>
      <c r="B26" s="2">
        <v>832</v>
      </c>
      <c r="C26" s="3">
        <v>2289</v>
      </c>
      <c r="D26" s="2" t="s">
        <v>80</v>
      </c>
      <c r="E26" s="7" t="s">
        <v>304</v>
      </c>
      <c r="F26" s="2" t="s">
        <v>313</v>
      </c>
      <c r="G26" s="10" t="s">
        <v>313</v>
      </c>
      <c r="H26" s="10"/>
      <c r="I26" s="2"/>
      <c r="J26" s="2"/>
    </row>
    <row r="27" spans="1:10" ht="11.4" customHeight="1" x14ac:dyDescent="0.25">
      <c r="A27" s="4" t="s">
        <v>6</v>
      </c>
      <c r="B27" s="2">
        <v>830</v>
      </c>
      <c r="C27" s="3">
        <v>2290</v>
      </c>
      <c r="D27" s="2" t="s">
        <v>81</v>
      </c>
      <c r="E27" s="7" t="s">
        <v>304</v>
      </c>
      <c r="F27" s="2" t="s">
        <v>313</v>
      </c>
      <c r="G27" s="10" t="s">
        <v>313</v>
      </c>
      <c r="H27" s="10"/>
      <c r="I27" s="2"/>
      <c r="J27" s="2"/>
    </row>
    <row r="28" spans="1:10" ht="11.4" customHeight="1" x14ac:dyDescent="0.25">
      <c r="A28" s="4" t="s">
        <v>6</v>
      </c>
      <c r="B28" s="2">
        <v>669</v>
      </c>
      <c r="C28" s="3">
        <v>669</v>
      </c>
      <c r="D28" s="2" t="s">
        <v>82</v>
      </c>
      <c r="E28" s="7" t="s">
        <v>303</v>
      </c>
      <c r="F28" s="2" t="s">
        <v>314</v>
      </c>
      <c r="G28" s="2"/>
      <c r="H28" s="10"/>
      <c r="I28" s="10" t="s">
        <v>322</v>
      </c>
      <c r="J28" s="2"/>
    </row>
    <row r="29" spans="1:10" ht="11.4" customHeight="1" x14ac:dyDescent="0.25">
      <c r="A29" s="4" t="s">
        <v>6</v>
      </c>
      <c r="B29" s="2">
        <v>669</v>
      </c>
      <c r="C29" s="3">
        <v>669</v>
      </c>
      <c r="D29" s="2" t="s">
        <v>82</v>
      </c>
      <c r="E29" s="7" t="s">
        <v>301</v>
      </c>
      <c r="F29" s="2" t="s">
        <v>314</v>
      </c>
      <c r="G29" s="2"/>
      <c r="H29" s="10" t="s">
        <v>321</v>
      </c>
      <c r="I29" s="2"/>
      <c r="J29" s="2"/>
    </row>
    <row r="30" spans="1:10" ht="11.4" customHeight="1" x14ac:dyDescent="0.25">
      <c r="A30" s="4" t="s">
        <v>6</v>
      </c>
      <c r="B30" s="2">
        <v>67</v>
      </c>
      <c r="C30" s="3">
        <v>67</v>
      </c>
      <c r="D30" s="2" t="s">
        <v>83</v>
      </c>
      <c r="E30" s="7" t="s">
        <v>303</v>
      </c>
      <c r="F30" s="2" t="s">
        <v>314</v>
      </c>
      <c r="G30" s="2"/>
      <c r="H30" s="10"/>
      <c r="I30" s="10" t="s">
        <v>322</v>
      </c>
      <c r="J30" s="2"/>
    </row>
    <row r="31" spans="1:10" ht="11.4" customHeight="1" x14ac:dyDescent="0.25">
      <c r="A31" s="4" t="s">
        <v>6</v>
      </c>
      <c r="B31" s="2">
        <v>67</v>
      </c>
      <c r="C31" s="3">
        <v>67</v>
      </c>
      <c r="D31" s="2" t="s">
        <v>83</v>
      </c>
      <c r="E31" s="7" t="s">
        <v>301</v>
      </c>
      <c r="F31" s="2" t="s">
        <v>314</v>
      </c>
      <c r="G31" s="2"/>
      <c r="H31" s="10" t="s">
        <v>321</v>
      </c>
      <c r="I31" s="2"/>
      <c r="J31" s="2"/>
    </row>
    <row r="32" spans="1:10" ht="11.4" customHeight="1" x14ac:dyDescent="0.25">
      <c r="A32" s="4" t="s">
        <v>8</v>
      </c>
      <c r="B32" s="2">
        <v>109</v>
      </c>
      <c r="C32" s="3">
        <v>109</v>
      </c>
      <c r="D32" s="2" t="s">
        <v>84</v>
      </c>
      <c r="E32" s="7" t="s">
        <v>298</v>
      </c>
      <c r="F32" s="2" t="s">
        <v>314</v>
      </c>
      <c r="G32" s="12"/>
      <c r="H32" s="10" t="s">
        <v>321</v>
      </c>
      <c r="I32" s="12"/>
      <c r="J32" s="2"/>
    </row>
    <row r="33" spans="1:11" ht="11.4" customHeight="1" x14ac:dyDescent="0.25">
      <c r="A33" s="4" t="s">
        <v>8</v>
      </c>
      <c r="B33" s="2">
        <v>109</v>
      </c>
      <c r="C33" s="3">
        <v>109</v>
      </c>
      <c r="D33" s="2" t="s">
        <v>84</v>
      </c>
      <c r="E33" s="7" t="s">
        <v>299</v>
      </c>
      <c r="F33" s="2" t="s">
        <v>314</v>
      </c>
      <c r="G33" s="2"/>
      <c r="H33" s="10" t="s">
        <v>321</v>
      </c>
      <c r="I33" s="12"/>
      <c r="J33" s="2"/>
      <c r="K33" s="15"/>
    </row>
    <row r="34" spans="1:11" ht="11.4" customHeight="1" x14ac:dyDescent="0.25">
      <c r="A34" s="4" t="s">
        <v>9</v>
      </c>
      <c r="B34" s="2">
        <v>109</v>
      </c>
      <c r="C34" s="3">
        <v>2313</v>
      </c>
      <c r="D34" s="2" t="s">
        <v>85</v>
      </c>
      <c r="E34" s="7" t="s">
        <v>299</v>
      </c>
      <c r="F34" s="2" t="s">
        <v>313</v>
      </c>
      <c r="G34" s="10" t="s">
        <v>313</v>
      </c>
      <c r="H34" s="10"/>
      <c r="I34" s="2"/>
      <c r="J34" s="2"/>
      <c r="K34" s="2"/>
    </row>
    <row r="35" spans="1:11" ht="11.4" customHeight="1" x14ac:dyDescent="0.25">
      <c r="A35" s="4" t="s">
        <v>10</v>
      </c>
      <c r="B35" s="2">
        <v>46</v>
      </c>
      <c r="C35" s="3">
        <v>46</v>
      </c>
      <c r="D35" s="2" t="s">
        <v>86</v>
      </c>
      <c r="E35" s="7" t="s">
        <v>302</v>
      </c>
      <c r="F35" s="2" t="s">
        <v>314</v>
      </c>
      <c r="G35" s="2"/>
      <c r="H35" s="10" t="s">
        <v>321</v>
      </c>
      <c r="I35" s="12"/>
      <c r="J35" s="2"/>
      <c r="K35" s="15"/>
    </row>
    <row r="36" spans="1:11" ht="11.4" customHeight="1" x14ac:dyDescent="0.25">
      <c r="A36" s="4" t="s">
        <v>11</v>
      </c>
      <c r="B36" s="2">
        <v>46</v>
      </c>
      <c r="C36" s="3">
        <v>551</v>
      </c>
      <c r="D36" s="18" t="s">
        <v>87</v>
      </c>
      <c r="E36" s="7" t="s">
        <v>302</v>
      </c>
      <c r="F36" s="2" t="s">
        <v>314</v>
      </c>
      <c r="G36" s="2"/>
      <c r="H36" s="10" t="s">
        <v>321</v>
      </c>
      <c r="I36" s="2"/>
      <c r="J36" s="2"/>
      <c r="K36" s="15"/>
    </row>
    <row r="37" spans="1:11" ht="11.4" customHeight="1" x14ac:dyDescent="0.25">
      <c r="A37" s="4" t="s">
        <v>12</v>
      </c>
      <c r="B37" s="2">
        <v>464</v>
      </c>
      <c r="C37" s="3">
        <v>464</v>
      </c>
      <c r="D37" s="2" t="s">
        <v>88</v>
      </c>
      <c r="E37" s="7" t="s">
        <v>302</v>
      </c>
      <c r="F37" s="2" t="s">
        <v>314</v>
      </c>
      <c r="G37" s="2"/>
      <c r="H37" s="10" t="s">
        <v>321</v>
      </c>
      <c r="I37" s="12"/>
      <c r="J37" s="2"/>
      <c r="K37" s="15"/>
    </row>
    <row r="38" spans="1:11" ht="11.4" customHeight="1" x14ac:dyDescent="0.25">
      <c r="A38" s="4" t="s">
        <v>8</v>
      </c>
      <c r="B38" s="2">
        <v>128</v>
      </c>
      <c r="C38" s="3">
        <v>128</v>
      </c>
      <c r="D38" s="2" t="s">
        <v>89</v>
      </c>
      <c r="E38" s="7" t="s">
        <v>298</v>
      </c>
      <c r="F38" s="2" t="s">
        <v>314</v>
      </c>
      <c r="G38" s="12"/>
      <c r="H38" s="10" t="s">
        <v>321</v>
      </c>
      <c r="I38" s="12"/>
      <c r="J38" s="2"/>
      <c r="K38" s="15"/>
    </row>
    <row r="39" spans="1:11" ht="11.4" customHeight="1" x14ac:dyDescent="0.25">
      <c r="A39" s="4" t="s">
        <v>8</v>
      </c>
      <c r="B39" s="2">
        <v>128</v>
      </c>
      <c r="C39" s="3">
        <v>128</v>
      </c>
      <c r="D39" s="2" t="s">
        <v>89</v>
      </c>
      <c r="E39" s="7" t="s">
        <v>299</v>
      </c>
      <c r="F39" s="2" t="s">
        <v>314</v>
      </c>
      <c r="G39" s="2"/>
      <c r="H39" s="10" t="s">
        <v>321</v>
      </c>
      <c r="I39" s="12"/>
      <c r="J39" s="2"/>
      <c r="K39" s="15"/>
    </row>
    <row r="40" spans="1:11" ht="11.4" customHeight="1" x14ac:dyDescent="0.25">
      <c r="A40" s="4" t="s">
        <v>9</v>
      </c>
      <c r="B40" s="2">
        <v>128</v>
      </c>
      <c r="C40" s="3">
        <v>2125</v>
      </c>
      <c r="D40" s="2" t="s">
        <v>90</v>
      </c>
      <c r="E40" s="7" t="s">
        <v>299</v>
      </c>
      <c r="F40" s="2" t="s">
        <v>313</v>
      </c>
      <c r="G40" s="10" t="s">
        <v>313</v>
      </c>
      <c r="H40" s="10"/>
      <c r="I40" s="2"/>
      <c r="J40" s="2"/>
      <c r="K40" s="15"/>
    </row>
    <row r="41" spans="1:11" ht="11.4" customHeight="1" x14ac:dyDescent="0.25">
      <c r="A41" s="4" t="s">
        <v>13</v>
      </c>
      <c r="B41" s="2">
        <v>128</v>
      </c>
      <c r="C41" s="3">
        <v>942</v>
      </c>
      <c r="D41" s="18" t="s">
        <v>91</v>
      </c>
      <c r="E41" s="7" t="s">
        <v>298</v>
      </c>
      <c r="F41" s="2" t="s">
        <v>314</v>
      </c>
      <c r="G41" s="2"/>
      <c r="H41" s="10" t="s">
        <v>321</v>
      </c>
      <c r="I41" s="2"/>
      <c r="J41" s="2"/>
      <c r="K41" s="15"/>
    </row>
    <row r="42" spans="1:11" ht="11.4" customHeight="1" x14ac:dyDescent="0.25">
      <c r="A42" s="4" t="s">
        <v>4</v>
      </c>
      <c r="B42" s="2">
        <v>222</v>
      </c>
      <c r="C42" s="3">
        <v>222</v>
      </c>
      <c r="D42" s="2" t="s">
        <v>92</v>
      </c>
      <c r="E42" s="7" t="s">
        <v>303</v>
      </c>
      <c r="F42" s="2" t="s">
        <v>314</v>
      </c>
      <c r="G42" s="2"/>
      <c r="H42" s="10"/>
      <c r="I42" s="10" t="s">
        <v>322</v>
      </c>
      <c r="J42" s="2"/>
      <c r="K42" s="15"/>
    </row>
    <row r="43" spans="1:11" ht="11.4" customHeight="1" x14ac:dyDescent="0.25">
      <c r="A43" s="4" t="s">
        <v>4</v>
      </c>
      <c r="B43" s="2">
        <v>222</v>
      </c>
      <c r="C43" s="3">
        <v>222</v>
      </c>
      <c r="D43" s="2" t="s">
        <v>92</v>
      </c>
      <c r="E43" s="7" t="s">
        <v>302</v>
      </c>
      <c r="F43" s="2" t="s">
        <v>314</v>
      </c>
      <c r="G43" s="2"/>
      <c r="H43" s="10" t="s">
        <v>321</v>
      </c>
      <c r="I43" s="2"/>
      <c r="J43" s="2"/>
      <c r="K43" s="15"/>
    </row>
    <row r="44" spans="1:11" ht="11.4" customHeight="1" x14ac:dyDescent="0.25">
      <c r="A44" s="4" t="s">
        <v>12</v>
      </c>
      <c r="B44" s="2">
        <v>1273</v>
      </c>
      <c r="C44" s="3">
        <v>1273</v>
      </c>
      <c r="D44" s="2" t="s">
        <v>93</v>
      </c>
      <c r="E44" s="7" t="s">
        <v>303</v>
      </c>
      <c r="F44" s="2" t="s">
        <v>314</v>
      </c>
      <c r="G44" s="2"/>
      <c r="H44" s="16" t="s">
        <v>321</v>
      </c>
      <c r="I44" s="12"/>
      <c r="J44" s="2"/>
      <c r="K44" s="15"/>
    </row>
    <row r="45" spans="1:11" ht="11.4" customHeight="1" x14ac:dyDescent="0.25">
      <c r="A45" s="4" t="s">
        <v>12</v>
      </c>
      <c r="B45" s="2">
        <v>1273</v>
      </c>
      <c r="C45" s="3">
        <v>1273</v>
      </c>
      <c r="D45" s="2" t="s">
        <v>93</v>
      </c>
      <c r="E45" s="7" t="s">
        <v>305</v>
      </c>
      <c r="F45" s="2" t="s">
        <v>314</v>
      </c>
      <c r="G45" s="2"/>
      <c r="H45" s="10" t="s">
        <v>321</v>
      </c>
      <c r="I45" s="2"/>
      <c r="J45" s="2"/>
      <c r="K45" s="15"/>
    </row>
    <row r="46" spans="1:11" ht="11.4" customHeight="1" x14ac:dyDescent="0.25">
      <c r="A46" s="4" t="s">
        <v>14</v>
      </c>
      <c r="B46" s="2">
        <v>541</v>
      </c>
      <c r="C46" s="3">
        <v>541</v>
      </c>
      <c r="D46" s="2" t="s">
        <v>94</v>
      </c>
      <c r="E46" s="7" t="s">
        <v>300</v>
      </c>
      <c r="F46" s="2" t="s">
        <v>314</v>
      </c>
      <c r="G46" s="2"/>
      <c r="H46" s="10" t="s">
        <v>321</v>
      </c>
      <c r="I46" s="12"/>
      <c r="J46" s="2"/>
      <c r="K46" s="15"/>
    </row>
    <row r="47" spans="1:11" ht="11.4" customHeight="1" x14ac:dyDescent="0.25">
      <c r="A47" s="4" t="s">
        <v>14</v>
      </c>
      <c r="B47" s="2">
        <v>9</v>
      </c>
      <c r="C47" s="3">
        <v>9</v>
      </c>
      <c r="D47" s="2" t="s">
        <v>95</v>
      </c>
      <c r="E47" s="7" t="s">
        <v>300</v>
      </c>
      <c r="F47" s="2" t="s">
        <v>314</v>
      </c>
      <c r="G47" s="2"/>
      <c r="H47" s="10" t="s">
        <v>321</v>
      </c>
      <c r="I47" s="12"/>
      <c r="J47" s="2"/>
      <c r="K47" s="15"/>
    </row>
    <row r="48" spans="1:11" ht="11.4" customHeight="1" x14ac:dyDescent="0.25">
      <c r="A48" s="4" t="s">
        <v>15</v>
      </c>
      <c r="B48" s="2">
        <v>9</v>
      </c>
      <c r="C48" s="3">
        <v>2093</v>
      </c>
      <c r="D48" s="2" t="s">
        <v>96</v>
      </c>
      <c r="E48" s="7" t="s">
        <v>300</v>
      </c>
      <c r="F48" s="2" t="s">
        <v>313</v>
      </c>
      <c r="G48" s="10" t="s">
        <v>313</v>
      </c>
      <c r="H48" s="10"/>
      <c r="I48" s="2"/>
      <c r="J48" s="2"/>
      <c r="K48" s="15"/>
    </row>
    <row r="49" spans="1:11" ht="11.4" customHeight="1" x14ac:dyDescent="0.25">
      <c r="A49" s="4" t="s">
        <v>16</v>
      </c>
      <c r="B49" s="2">
        <v>302</v>
      </c>
      <c r="C49" s="3">
        <v>302</v>
      </c>
      <c r="D49" s="2" t="s">
        <v>329</v>
      </c>
      <c r="E49" s="7" t="s">
        <v>300</v>
      </c>
      <c r="F49" s="2" t="s">
        <v>314</v>
      </c>
      <c r="G49" s="2"/>
      <c r="H49" s="10" t="s">
        <v>321</v>
      </c>
      <c r="I49" s="12"/>
      <c r="J49" s="2"/>
      <c r="K49" s="15"/>
    </row>
    <row r="50" spans="1:11" ht="11.4" customHeight="1" x14ac:dyDescent="0.25">
      <c r="A50" s="4" t="s">
        <v>17</v>
      </c>
      <c r="B50" s="2">
        <v>322</v>
      </c>
      <c r="C50" s="3">
        <v>322</v>
      </c>
      <c r="D50" s="2" t="s">
        <v>331</v>
      </c>
      <c r="E50" s="7" t="s">
        <v>300</v>
      </c>
      <c r="F50" s="2" t="s">
        <v>314</v>
      </c>
      <c r="G50" s="2"/>
      <c r="H50" s="10" t="s">
        <v>321</v>
      </c>
      <c r="I50" s="12"/>
      <c r="J50" s="2"/>
      <c r="K50" s="15"/>
    </row>
    <row r="51" spans="1:11" ht="11.4" customHeight="1" x14ac:dyDescent="0.25">
      <c r="A51" s="4" t="s">
        <v>10</v>
      </c>
      <c r="B51" s="2">
        <v>1274</v>
      </c>
      <c r="C51" s="3">
        <v>1274</v>
      </c>
      <c r="D51" s="2" t="s">
        <v>97</v>
      </c>
      <c r="E51" s="7" t="s">
        <v>303</v>
      </c>
      <c r="F51" s="2" t="s">
        <v>314</v>
      </c>
      <c r="G51" s="2"/>
      <c r="H51" s="16" t="s">
        <v>321</v>
      </c>
      <c r="I51" s="12"/>
      <c r="J51" s="2"/>
      <c r="K51" s="15"/>
    </row>
    <row r="52" spans="1:11" ht="11.4" customHeight="1" x14ac:dyDescent="0.25">
      <c r="A52" s="4" t="s">
        <v>10</v>
      </c>
      <c r="B52" s="2">
        <v>1274</v>
      </c>
      <c r="C52" s="3">
        <v>1274</v>
      </c>
      <c r="D52" s="2" t="s">
        <v>97</v>
      </c>
      <c r="E52" s="7" t="s">
        <v>302</v>
      </c>
      <c r="F52" s="2" t="s">
        <v>314</v>
      </c>
      <c r="G52" s="2"/>
      <c r="H52" s="10" t="s">
        <v>321</v>
      </c>
      <c r="I52" s="2"/>
      <c r="J52" s="2"/>
      <c r="K52" s="15"/>
    </row>
    <row r="53" spans="1:11" ht="11.4" customHeight="1" x14ac:dyDescent="0.25">
      <c r="A53" s="4" t="s">
        <v>14</v>
      </c>
      <c r="B53" s="2">
        <v>1247</v>
      </c>
      <c r="C53" s="3">
        <v>1247</v>
      </c>
      <c r="D53" s="2" t="s">
        <v>332</v>
      </c>
      <c r="E53" s="7" t="s">
        <v>300</v>
      </c>
      <c r="F53" s="2" t="s">
        <v>314</v>
      </c>
      <c r="G53" s="12"/>
      <c r="H53" s="16" t="s">
        <v>321</v>
      </c>
      <c r="I53" s="2"/>
      <c r="J53" s="2"/>
      <c r="K53" s="19" t="s">
        <v>323</v>
      </c>
    </row>
    <row r="54" spans="1:11" ht="11.4" customHeight="1" x14ac:dyDescent="0.25">
      <c r="A54" s="4" t="s">
        <v>16</v>
      </c>
      <c r="B54" s="2">
        <v>302</v>
      </c>
      <c r="C54" s="3">
        <v>2036</v>
      </c>
      <c r="D54" s="2" t="s">
        <v>330</v>
      </c>
      <c r="E54" s="7" t="s">
        <v>300</v>
      </c>
      <c r="F54" s="2" t="s">
        <v>313</v>
      </c>
      <c r="G54" s="10" t="s">
        <v>313</v>
      </c>
      <c r="H54" s="10"/>
      <c r="I54" s="2"/>
      <c r="J54" s="2"/>
      <c r="K54" s="15"/>
    </row>
    <row r="55" spans="1:11" ht="11.4" customHeight="1" x14ac:dyDescent="0.25">
      <c r="A55" s="4" t="s">
        <v>18</v>
      </c>
      <c r="B55" s="2">
        <v>925</v>
      </c>
      <c r="C55" s="3">
        <v>925</v>
      </c>
      <c r="D55" s="2" t="s">
        <v>98</v>
      </c>
      <c r="E55" s="7" t="s">
        <v>305</v>
      </c>
      <c r="F55" s="2" t="s">
        <v>314</v>
      </c>
      <c r="G55" s="2"/>
      <c r="H55" s="10" t="s">
        <v>321</v>
      </c>
      <c r="I55" s="2"/>
      <c r="J55" s="2"/>
      <c r="K55" s="15"/>
    </row>
    <row r="56" spans="1:11" ht="11.4" customHeight="1" x14ac:dyDescent="0.25">
      <c r="A56" s="4" t="s">
        <v>18</v>
      </c>
      <c r="B56" s="2">
        <v>925</v>
      </c>
      <c r="C56" s="3">
        <v>925</v>
      </c>
      <c r="D56" s="2" t="s">
        <v>98</v>
      </c>
      <c r="E56" s="7" t="s">
        <v>300</v>
      </c>
      <c r="F56" s="2" t="s">
        <v>314</v>
      </c>
      <c r="G56" s="2"/>
      <c r="H56" s="14" t="s">
        <v>321</v>
      </c>
      <c r="I56" s="12"/>
      <c r="J56" s="2"/>
      <c r="K56" s="15"/>
    </row>
    <row r="57" spans="1:11" ht="11.4" customHeight="1" x14ac:dyDescent="0.25">
      <c r="A57" s="4" t="s">
        <v>18</v>
      </c>
      <c r="B57" s="2">
        <v>924</v>
      </c>
      <c r="C57" s="3">
        <v>924</v>
      </c>
      <c r="D57" s="2" t="s">
        <v>99</v>
      </c>
      <c r="E57" s="7" t="s">
        <v>300</v>
      </c>
      <c r="F57" s="2" t="s">
        <v>314</v>
      </c>
      <c r="G57" s="2"/>
      <c r="H57" s="16" t="s">
        <v>321</v>
      </c>
      <c r="I57" s="12"/>
      <c r="J57" s="2"/>
      <c r="K57" s="15"/>
    </row>
    <row r="58" spans="1:11" ht="11.4" customHeight="1" x14ac:dyDescent="0.25">
      <c r="A58" s="4" t="s">
        <v>19</v>
      </c>
      <c r="B58" s="2">
        <v>920</v>
      </c>
      <c r="C58" s="3">
        <v>920</v>
      </c>
      <c r="D58" s="2" t="s">
        <v>100</v>
      </c>
      <c r="E58" s="7" t="s">
        <v>301</v>
      </c>
      <c r="F58" s="2" t="s">
        <v>314</v>
      </c>
      <c r="G58" s="2"/>
      <c r="H58" s="10" t="s">
        <v>321</v>
      </c>
      <c r="I58" s="12"/>
      <c r="J58" s="2"/>
      <c r="K58" s="15"/>
    </row>
    <row r="59" spans="1:11" ht="11.4" customHeight="1" x14ac:dyDescent="0.25">
      <c r="A59" s="4" t="s">
        <v>20</v>
      </c>
      <c r="B59" s="2">
        <v>525</v>
      </c>
      <c r="C59" s="3">
        <v>1215</v>
      </c>
      <c r="D59" s="18" t="s">
        <v>102</v>
      </c>
      <c r="E59" s="7" t="s">
        <v>301</v>
      </c>
      <c r="F59" s="2" t="s">
        <v>314</v>
      </c>
      <c r="G59" s="2"/>
      <c r="H59" s="10" t="s">
        <v>321</v>
      </c>
      <c r="I59" s="2"/>
      <c r="J59" s="2"/>
      <c r="K59" s="15"/>
    </row>
    <row r="60" spans="1:11" ht="11.4" customHeight="1" x14ac:dyDescent="0.25">
      <c r="A60" s="4" t="s">
        <v>19</v>
      </c>
      <c r="B60" s="2">
        <v>920</v>
      </c>
      <c r="C60" s="3">
        <v>2340</v>
      </c>
      <c r="D60" s="2" t="s">
        <v>101</v>
      </c>
      <c r="E60" s="7" t="s">
        <v>301</v>
      </c>
      <c r="F60" s="2" t="s">
        <v>313</v>
      </c>
      <c r="G60" s="10" t="s">
        <v>313</v>
      </c>
      <c r="H60" s="10"/>
      <c r="I60" s="2"/>
      <c r="J60" s="2"/>
      <c r="K60" s="15"/>
    </row>
    <row r="61" spans="1:11" ht="11.4" customHeight="1" x14ac:dyDescent="0.25">
      <c r="A61" s="4" t="s">
        <v>21</v>
      </c>
      <c r="B61" s="2">
        <v>119</v>
      </c>
      <c r="C61" s="3">
        <v>119</v>
      </c>
      <c r="D61" s="2" t="s">
        <v>103</v>
      </c>
      <c r="E61" s="7" t="s">
        <v>305</v>
      </c>
      <c r="F61" s="2" t="s">
        <v>314</v>
      </c>
      <c r="G61" s="2"/>
      <c r="H61" s="10" t="s">
        <v>321</v>
      </c>
      <c r="I61" s="2"/>
      <c r="J61" s="2"/>
      <c r="K61" s="15"/>
    </row>
    <row r="62" spans="1:11" ht="11.4" customHeight="1" x14ac:dyDescent="0.25">
      <c r="A62" s="4" t="s">
        <v>21</v>
      </c>
      <c r="B62" s="2">
        <v>119</v>
      </c>
      <c r="C62" s="3">
        <v>119</v>
      </c>
      <c r="D62" s="2" t="s">
        <v>103</v>
      </c>
      <c r="E62" s="7" t="s">
        <v>306</v>
      </c>
      <c r="F62" s="2" t="s">
        <v>314</v>
      </c>
      <c r="G62" s="2"/>
      <c r="H62" s="10" t="s">
        <v>321</v>
      </c>
      <c r="I62" s="2"/>
      <c r="J62" s="2"/>
      <c r="K62" s="15"/>
    </row>
    <row r="63" spans="1:11" ht="11.4" customHeight="1" x14ac:dyDescent="0.25">
      <c r="A63" s="4" t="s">
        <v>21</v>
      </c>
      <c r="B63" s="2">
        <v>119</v>
      </c>
      <c r="C63" s="3">
        <v>119</v>
      </c>
      <c r="D63" s="2" t="s">
        <v>103</v>
      </c>
      <c r="E63" s="7" t="s">
        <v>300</v>
      </c>
      <c r="F63" s="2" t="s">
        <v>314</v>
      </c>
      <c r="G63" s="2"/>
      <c r="H63" s="16" t="s">
        <v>321</v>
      </c>
      <c r="I63" s="12"/>
      <c r="J63" s="2"/>
      <c r="K63" s="15"/>
    </row>
    <row r="64" spans="1:11" ht="11.4" customHeight="1" x14ac:dyDescent="0.25">
      <c r="A64" s="4" t="s">
        <v>18</v>
      </c>
      <c r="B64" s="2">
        <v>1219</v>
      </c>
      <c r="C64" s="3">
        <v>1219</v>
      </c>
      <c r="D64" s="2" t="s">
        <v>114</v>
      </c>
      <c r="E64" s="7" t="s">
        <v>302</v>
      </c>
      <c r="F64" s="2" t="s">
        <v>314</v>
      </c>
      <c r="G64" s="2"/>
      <c r="H64" s="10" t="s">
        <v>321</v>
      </c>
      <c r="I64" s="12"/>
      <c r="J64" s="2"/>
      <c r="K64" s="15"/>
    </row>
    <row r="65" spans="1:11" ht="11.4" customHeight="1" x14ac:dyDescent="0.25">
      <c r="A65" s="4" t="s">
        <v>8</v>
      </c>
      <c r="B65" s="2">
        <v>129</v>
      </c>
      <c r="C65" s="3">
        <v>129</v>
      </c>
      <c r="D65" s="2" t="s">
        <v>104</v>
      </c>
      <c r="E65" s="7" t="s">
        <v>307</v>
      </c>
      <c r="F65" s="2" t="s">
        <v>314</v>
      </c>
      <c r="G65" s="2"/>
      <c r="H65" s="10" t="s">
        <v>321</v>
      </c>
      <c r="I65" s="12"/>
      <c r="J65" s="2"/>
      <c r="K65" s="15"/>
    </row>
    <row r="66" spans="1:11" ht="11.4" customHeight="1" x14ac:dyDescent="0.25">
      <c r="A66" s="4" t="s">
        <v>22</v>
      </c>
      <c r="B66" s="2">
        <v>946</v>
      </c>
      <c r="C66" s="3">
        <v>2377</v>
      </c>
      <c r="D66" s="18" t="s">
        <v>105</v>
      </c>
      <c r="E66" s="7" t="s">
        <v>302</v>
      </c>
      <c r="F66" s="2" t="s">
        <v>313</v>
      </c>
      <c r="G66" s="10" t="s">
        <v>313</v>
      </c>
      <c r="H66" s="10"/>
      <c r="I66" s="2"/>
      <c r="J66" s="2"/>
      <c r="K66" s="15"/>
    </row>
    <row r="67" spans="1:11" ht="11.4" customHeight="1" x14ac:dyDescent="0.25">
      <c r="A67" s="4" t="s">
        <v>22</v>
      </c>
      <c r="B67" s="2">
        <v>946</v>
      </c>
      <c r="C67" s="3">
        <v>946</v>
      </c>
      <c r="D67" s="18" t="s">
        <v>106</v>
      </c>
      <c r="E67" s="7" t="s">
        <v>302</v>
      </c>
      <c r="F67" s="2" t="s">
        <v>314</v>
      </c>
      <c r="G67" s="2"/>
      <c r="H67" s="10" t="s">
        <v>321</v>
      </c>
      <c r="I67" s="2"/>
      <c r="J67" s="2"/>
      <c r="K67" s="15"/>
    </row>
    <row r="68" spans="1:11" ht="11.4" customHeight="1" x14ac:dyDescent="0.25">
      <c r="A68" s="4" t="s">
        <v>8</v>
      </c>
      <c r="B68" s="2">
        <v>129</v>
      </c>
      <c r="C68" s="3">
        <v>129</v>
      </c>
      <c r="D68" s="2" t="s">
        <v>104</v>
      </c>
      <c r="E68" s="7" t="s">
        <v>305</v>
      </c>
      <c r="F68" s="2" t="s">
        <v>314</v>
      </c>
      <c r="G68" s="2"/>
      <c r="H68" s="10" t="s">
        <v>321</v>
      </c>
      <c r="I68" s="12"/>
      <c r="J68" s="2"/>
      <c r="K68" s="15"/>
    </row>
    <row r="69" spans="1:11" ht="11.4" customHeight="1" x14ac:dyDescent="0.25">
      <c r="A69" s="4" t="s">
        <v>8</v>
      </c>
      <c r="B69" s="2">
        <v>129</v>
      </c>
      <c r="C69" s="3">
        <v>129</v>
      </c>
      <c r="D69" s="2" t="s">
        <v>104</v>
      </c>
      <c r="E69" s="7" t="s">
        <v>306</v>
      </c>
      <c r="F69" s="2" t="s">
        <v>314</v>
      </c>
      <c r="G69" s="2"/>
      <c r="H69" s="10" t="s">
        <v>321</v>
      </c>
      <c r="I69" s="2"/>
      <c r="J69" s="2"/>
      <c r="K69" s="15"/>
    </row>
    <row r="70" spans="1:11" ht="11.4" customHeight="1" x14ac:dyDescent="0.25">
      <c r="A70" s="4" t="s">
        <v>8</v>
      </c>
      <c r="B70" s="2">
        <v>525</v>
      </c>
      <c r="C70" s="3">
        <v>525</v>
      </c>
      <c r="D70" s="14" t="s">
        <v>107</v>
      </c>
      <c r="E70" s="7" t="s">
        <v>307</v>
      </c>
      <c r="F70" s="2" t="s">
        <v>314</v>
      </c>
      <c r="G70" s="2"/>
      <c r="H70" s="10" t="s">
        <v>321</v>
      </c>
      <c r="I70" s="2"/>
      <c r="J70" s="2"/>
      <c r="K70" s="15"/>
    </row>
    <row r="71" spans="1:11" ht="11.4" customHeight="1" x14ac:dyDescent="0.25">
      <c r="A71" s="4" t="s">
        <v>18</v>
      </c>
      <c r="B71" s="2">
        <v>63</v>
      </c>
      <c r="C71" s="3">
        <v>63</v>
      </c>
      <c r="D71" s="2" t="s">
        <v>333</v>
      </c>
      <c r="E71" s="7" t="s">
        <v>305</v>
      </c>
      <c r="F71" s="2" t="s">
        <v>314</v>
      </c>
      <c r="G71" s="2"/>
      <c r="H71" s="10" t="s">
        <v>321</v>
      </c>
      <c r="I71" s="12"/>
      <c r="J71" s="2"/>
      <c r="K71" s="15"/>
    </row>
    <row r="72" spans="1:11" ht="11.4" customHeight="1" x14ac:dyDescent="0.25">
      <c r="A72" s="4" t="s">
        <v>18</v>
      </c>
      <c r="B72" s="2">
        <v>1220</v>
      </c>
      <c r="C72" s="3">
        <v>1220</v>
      </c>
      <c r="D72" s="2" t="s">
        <v>116</v>
      </c>
      <c r="E72" s="7" t="s">
        <v>302</v>
      </c>
      <c r="F72" s="2" t="s">
        <v>314</v>
      </c>
      <c r="G72" s="2"/>
      <c r="H72" s="10" t="s">
        <v>321</v>
      </c>
      <c r="I72" s="12"/>
      <c r="J72" s="2"/>
      <c r="K72" s="15"/>
    </row>
    <row r="73" spans="1:11" ht="11.4" customHeight="1" x14ac:dyDescent="0.25">
      <c r="A73" s="4" t="s">
        <v>18</v>
      </c>
      <c r="B73" s="2">
        <v>1217</v>
      </c>
      <c r="C73" s="3">
        <v>1217</v>
      </c>
      <c r="D73" s="2" t="s">
        <v>115</v>
      </c>
      <c r="E73" s="7" t="s">
        <v>302</v>
      </c>
      <c r="F73" s="2" t="s">
        <v>314</v>
      </c>
      <c r="G73" s="2"/>
      <c r="H73" s="10" t="s">
        <v>321</v>
      </c>
      <c r="I73" s="12"/>
      <c r="J73" s="2"/>
      <c r="K73" s="15"/>
    </row>
    <row r="74" spans="1:11" ht="11.4" customHeight="1" x14ac:dyDescent="0.25">
      <c r="A74" s="4" t="s">
        <v>18</v>
      </c>
      <c r="B74" s="2">
        <v>1218</v>
      </c>
      <c r="C74" s="3">
        <v>1218</v>
      </c>
      <c r="D74" s="2" t="s">
        <v>117</v>
      </c>
      <c r="E74" s="7" t="s">
        <v>302</v>
      </c>
      <c r="F74" s="2" t="s">
        <v>314</v>
      </c>
      <c r="G74" s="2"/>
      <c r="H74" s="10" t="s">
        <v>321</v>
      </c>
      <c r="I74" s="12"/>
      <c r="J74" s="2"/>
      <c r="K74" s="15"/>
    </row>
    <row r="75" spans="1:11" ht="11.4" customHeight="1" x14ac:dyDescent="0.25">
      <c r="A75" s="4" t="s">
        <v>13</v>
      </c>
      <c r="B75" s="2">
        <v>943</v>
      </c>
      <c r="C75" s="3">
        <v>943</v>
      </c>
      <c r="D75" s="18" t="s">
        <v>110</v>
      </c>
      <c r="E75" s="7" t="s">
        <v>302</v>
      </c>
      <c r="F75" s="2" t="s">
        <v>314</v>
      </c>
      <c r="G75" s="2"/>
      <c r="H75" s="10" t="s">
        <v>321</v>
      </c>
      <c r="I75" s="2"/>
      <c r="J75" s="2"/>
      <c r="K75" s="15"/>
    </row>
    <row r="76" spans="1:11" ht="11.4" customHeight="1" x14ac:dyDescent="0.25">
      <c r="A76" s="4" t="s">
        <v>10</v>
      </c>
      <c r="B76" s="2">
        <v>247</v>
      </c>
      <c r="C76" s="3">
        <v>247</v>
      </c>
      <c r="D76" s="2" t="s">
        <v>328</v>
      </c>
      <c r="E76" s="7" t="s">
        <v>303</v>
      </c>
      <c r="F76" s="2" t="s">
        <v>314</v>
      </c>
      <c r="G76" s="2"/>
      <c r="H76" s="16" t="s">
        <v>321</v>
      </c>
      <c r="I76" s="12"/>
      <c r="J76" s="2"/>
      <c r="K76" s="15"/>
    </row>
    <row r="77" spans="1:11" ht="11.4" customHeight="1" x14ac:dyDescent="0.25">
      <c r="A77" s="4" t="s">
        <v>10</v>
      </c>
      <c r="B77" s="2">
        <v>247</v>
      </c>
      <c r="C77" s="3">
        <v>247</v>
      </c>
      <c r="D77" s="2" t="s">
        <v>328</v>
      </c>
      <c r="E77" s="7" t="s">
        <v>302</v>
      </c>
      <c r="F77" s="2" t="s">
        <v>314</v>
      </c>
      <c r="G77" s="2"/>
      <c r="H77" s="10" t="s">
        <v>321</v>
      </c>
      <c r="I77" s="2"/>
      <c r="J77" s="2"/>
      <c r="K77" s="15"/>
    </row>
    <row r="78" spans="1:11" ht="11.4" customHeight="1" x14ac:dyDescent="0.25">
      <c r="A78" s="4" t="s">
        <v>4</v>
      </c>
      <c r="B78" s="2">
        <v>561</v>
      </c>
      <c r="C78" s="3">
        <v>561</v>
      </c>
      <c r="D78" s="2" t="s">
        <v>108</v>
      </c>
      <c r="E78" s="7" t="s">
        <v>303</v>
      </c>
      <c r="F78" s="2" t="s">
        <v>314</v>
      </c>
      <c r="G78" s="2"/>
      <c r="H78" s="10"/>
      <c r="I78" s="10" t="s">
        <v>322</v>
      </c>
      <c r="J78" s="2"/>
      <c r="K78" s="15"/>
    </row>
    <row r="79" spans="1:11" ht="11.4" customHeight="1" x14ac:dyDescent="0.25">
      <c r="A79" s="4" t="s">
        <v>4</v>
      </c>
      <c r="B79" s="2">
        <v>561</v>
      </c>
      <c r="C79" s="3">
        <v>561</v>
      </c>
      <c r="D79" s="2" t="s">
        <v>108</v>
      </c>
      <c r="E79" s="7" t="s">
        <v>302</v>
      </c>
      <c r="F79" s="2" t="s">
        <v>314</v>
      </c>
      <c r="G79" s="2"/>
      <c r="H79" s="10" t="s">
        <v>321</v>
      </c>
      <c r="I79" s="2"/>
      <c r="J79" s="2"/>
      <c r="K79" s="15"/>
    </row>
    <row r="80" spans="1:11" ht="11.4" customHeight="1" x14ac:dyDescent="0.25">
      <c r="A80" s="4" t="s">
        <v>8</v>
      </c>
      <c r="B80" s="2">
        <v>533</v>
      </c>
      <c r="C80" s="3">
        <v>533</v>
      </c>
      <c r="D80" s="2" t="s">
        <v>109</v>
      </c>
      <c r="E80" s="7" t="s">
        <v>302</v>
      </c>
      <c r="F80" s="2" t="s">
        <v>314</v>
      </c>
      <c r="G80" s="2"/>
      <c r="H80" s="10" t="s">
        <v>321</v>
      </c>
      <c r="I80" s="12"/>
      <c r="J80" s="2"/>
      <c r="K80" s="15"/>
    </row>
    <row r="81" spans="1:11" ht="11.4" customHeight="1" x14ac:dyDescent="0.25">
      <c r="A81" s="4" t="s">
        <v>23</v>
      </c>
      <c r="B81" s="2">
        <v>764</v>
      </c>
      <c r="C81" s="3">
        <v>764</v>
      </c>
      <c r="D81" s="2" t="s">
        <v>111</v>
      </c>
      <c r="E81" s="7" t="s">
        <v>302</v>
      </c>
      <c r="F81" s="2" t="s">
        <v>314</v>
      </c>
      <c r="G81" s="2"/>
      <c r="H81" s="10" t="s">
        <v>321</v>
      </c>
      <c r="I81" s="12"/>
      <c r="J81" s="2"/>
      <c r="K81" s="15"/>
    </row>
    <row r="82" spans="1:11" ht="11.4" customHeight="1" x14ac:dyDescent="0.25">
      <c r="A82" s="4" t="s">
        <v>5</v>
      </c>
      <c r="B82" s="2">
        <v>356</v>
      </c>
      <c r="C82" s="3">
        <v>356</v>
      </c>
      <c r="D82" s="2" t="s">
        <v>112</v>
      </c>
      <c r="E82" s="7" t="s">
        <v>307</v>
      </c>
      <c r="F82" s="2" t="s">
        <v>314</v>
      </c>
      <c r="G82" s="2"/>
      <c r="H82" s="10" t="s">
        <v>321</v>
      </c>
      <c r="I82" s="12"/>
      <c r="J82" s="2"/>
      <c r="K82" s="15"/>
    </row>
    <row r="83" spans="1:11" ht="11.4" customHeight="1" x14ac:dyDescent="0.25">
      <c r="A83" s="4" t="s">
        <v>7</v>
      </c>
      <c r="B83" s="2">
        <v>195</v>
      </c>
      <c r="C83" s="3">
        <v>195</v>
      </c>
      <c r="D83" s="2" t="s">
        <v>113</v>
      </c>
      <c r="E83" s="7" t="s">
        <v>305</v>
      </c>
      <c r="F83" s="2" t="s">
        <v>314</v>
      </c>
      <c r="G83" s="2"/>
      <c r="H83" s="10" t="s">
        <v>321</v>
      </c>
      <c r="I83" s="2"/>
      <c r="J83" s="2"/>
      <c r="K83" s="15"/>
    </row>
    <row r="84" spans="1:11" ht="11.4" customHeight="1" x14ac:dyDescent="0.25">
      <c r="A84" s="4" t="s">
        <v>7</v>
      </c>
      <c r="B84" s="2">
        <v>195</v>
      </c>
      <c r="C84" s="3">
        <v>195</v>
      </c>
      <c r="D84" s="2" t="s">
        <v>113</v>
      </c>
      <c r="E84" s="7" t="s">
        <v>302</v>
      </c>
      <c r="F84" s="2" t="s">
        <v>314</v>
      </c>
      <c r="G84" s="2"/>
      <c r="H84" s="16" t="s">
        <v>321</v>
      </c>
      <c r="I84" s="12"/>
      <c r="J84" s="2"/>
      <c r="K84" s="19" t="s">
        <v>324</v>
      </c>
    </row>
    <row r="85" spans="1:11" ht="11.4" customHeight="1" x14ac:dyDescent="0.25">
      <c r="A85" s="4" t="s">
        <v>24</v>
      </c>
      <c r="B85" s="2">
        <v>738</v>
      </c>
      <c r="C85" s="3">
        <v>738</v>
      </c>
      <c r="D85" s="2" t="s">
        <v>118</v>
      </c>
      <c r="E85" s="7" t="s">
        <v>300</v>
      </c>
      <c r="F85" s="2" t="s">
        <v>314</v>
      </c>
      <c r="G85" s="2"/>
      <c r="H85" s="10" t="s">
        <v>321</v>
      </c>
      <c r="I85" s="12"/>
      <c r="J85" s="2"/>
      <c r="K85" s="15"/>
    </row>
    <row r="86" spans="1:11" ht="11.4" customHeight="1" x14ac:dyDescent="0.25">
      <c r="A86" s="4" t="s">
        <v>26</v>
      </c>
      <c r="B86" s="2">
        <v>23</v>
      </c>
      <c r="C86" s="3">
        <v>23</v>
      </c>
      <c r="D86" s="2" t="s">
        <v>327</v>
      </c>
      <c r="E86" s="7" t="s">
        <v>300</v>
      </c>
      <c r="F86" s="2" t="s">
        <v>314</v>
      </c>
      <c r="G86" s="2"/>
      <c r="H86" s="10" t="s">
        <v>321</v>
      </c>
      <c r="I86" s="12"/>
      <c r="J86" s="2"/>
      <c r="K86" s="15"/>
    </row>
    <row r="87" spans="1:11" ht="11.4" customHeight="1" x14ac:dyDescent="0.25">
      <c r="A87" s="4" t="s">
        <v>12</v>
      </c>
      <c r="B87" s="2">
        <v>770</v>
      </c>
      <c r="C87" s="3">
        <v>770</v>
      </c>
      <c r="D87" s="2" t="s">
        <v>334</v>
      </c>
      <c r="E87" s="7" t="s">
        <v>303</v>
      </c>
      <c r="F87" s="2" t="s">
        <v>314</v>
      </c>
      <c r="G87" s="2"/>
      <c r="H87" s="16" t="s">
        <v>321</v>
      </c>
      <c r="I87" s="12"/>
      <c r="J87" s="2"/>
      <c r="K87" s="15"/>
    </row>
    <row r="88" spans="1:11" ht="11.4" customHeight="1" x14ac:dyDescent="0.25">
      <c r="A88" s="4" t="s">
        <v>12</v>
      </c>
      <c r="B88" s="2">
        <v>770</v>
      </c>
      <c r="C88" s="3">
        <v>770</v>
      </c>
      <c r="D88" s="2" t="s">
        <v>334</v>
      </c>
      <c r="E88" s="7" t="s">
        <v>302</v>
      </c>
      <c r="F88" s="2" t="s">
        <v>314</v>
      </c>
      <c r="G88" s="2"/>
      <c r="H88" s="10" t="s">
        <v>321</v>
      </c>
      <c r="I88" s="2"/>
      <c r="J88" s="2"/>
      <c r="K88" s="15"/>
    </row>
    <row r="89" spans="1:11" ht="11.4" customHeight="1" x14ac:dyDescent="0.25">
      <c r="A89" s="4" t="s">
        <v>10</v>
      </c>
      <c r="B89" s="2">
        <v>41</v>
      </c>
      <c r="C89" s="3">
        <v>41</v>
      </c>
      <c r="D89" s="2" t="s">
        <v>337</v>
      </c>
      <c r="E89" s="7" t="s">
        <v>303</v>
      </c>
      <c r="F89" s="2" t="s">
        <v>314</v>
      </c>
      <c r="G89" s="2"/>
      <c r="H89" s="16" t="s">
        <v>321</v>
      </c>
      <c r="I89" s="12"/>
      <c r="J89" s="2"/>
      <c r="K89" s="15"/>
    </row>
    <row r="90" spans="1:11" ht="11.4" customHeight="1" x14ac:dyDescent="0.25">
      <c r="A90" s="4" t="s">
        <v>10</v>
      </c>
      <c r="B90" s="2">
        <v>41</v>
      </c>
      <c r="C90" s="3">
        <v>41</v>
      </c>
      <c r="D90" s="2" t="s">
        <v>337</v>
      </c>
      <c r="E90" s="7" t="s">
        <v>305</v>
      </c>
      <c r="F90" s="2" t="s">
        <v>314</v>
      </c>
      <c r="G90" s="2"/>
      <c r="H90" s="10" t="s">
        <v>321</v>
      </c>
      <c r="I90" s="2"/>
      <c r="J90" s="2"/>
      <c r="K90" s="15"/>
    </row>
    <row r="91" spans="1:11" ht="11.4" customHeight="1" x14ac:dyDescent="0.25">
      <c r="A91" s="4" t="s">
        <v>11</v>
      </c>
      <c r="B91" s="2">
        <v>41</v>
      </c>
      <c r="C91" s="3">
        <v>543</v>
      </c>
      <c r="D91" s="18" t="s">
        <v>338</v>
      </c>
      <c r="E91" s="7" t="s">
        <v>302</v>
      </c>
      <c r="F91" s="2" t="s">
        <v>314</v>
      </c>
      <c r="G91" s="2"/>
      <c r="H91" s="10" t="s">
        <v>321</v>
      </c>
      <c r="I91" s="2"/>
      <c r="J91" s="2"/>
      <c r="K91" s="15"/>
    </row>
    <row r="92" spans="1:11" ht="11.4" customHeight="1" x14ac:dyDescent="0.25">
      <c r="A92" s="4" t="s">
        <v>10</v>
      </c>
      <c r="B92" s="2">
        <v>41</v>
      </c>
      <c r="C92" s="3">
        <v>41</v>
      </c>
      <c r="D92" s="2" t="s">
        <v>337</v>
      </c>
      <c r="E92" s="7" t="s">
        <v>302</v>
      </c>
      <c r="F92" s="2" t="s">
        <v>314</v>
      </c>
      <c r="G92" s="2"/>
      <c r="H92" s="10" t="s">
        <v>321</v>
      </c>
      <c r="I92" s="2"/>
      <c r="J92" s="2"/>
      <c r="K92" s="15"/>
    </row>
    <row r="93" spans="1:11" ht="11.4" customHeight="1" x14ac:dyDescent="0.25">
      <c r="A93" s="4" t="s">
        <v>10</v>
      </c>
      <c r="B93" s="2">
        <v>707</v>
      </c>
      <c r="C93" s="3">
        <v>707</v>
      </c>
      <c r="D93" s="14" t="s">
        <v>339</v>
      </c>
      <c r="E93" s="7" t="s">
        <v>303</v>
      </c>
      <c r="F93" s="2" t="s">
        <v>314</v>
      </c>
      <c r="G93" s="2"/>
      <c r="H93" s="10" t="s">
        <v>321</v>
      </c>
      <c r="I93" s="2"/>
      <c r="J93" s="2"/>
      <c r="K93" s="15"/>
    </row>
    <row r="94" spans="1:11" ht="11.4" customHeight="1" x14ac:dyDescent="0.25">
      <c r="A94" s="4" t="s">
        <v>10</v>
      </c>
      <c r="B94" s="2">
        <v>796</v>
      </c>
      <c r="C94" s="3">
        <v>796</v>
      </c>
      <c r="D94" s="2" t="s">
        <v>119</v>
      </c>
      <c r="E94" s="7" t="s">
        <v>303</v>
      </c>
      <c r="F94" s="2" t="s">
        <v>314</v>
      </c>
      <c r="G94" s="2"/>
      <c r="H94" s="16" t="s">
        <v>321</v>
      </c>
      <c r="I94" s="12"/>
      <c r="J94" s="2"/>
      <c r="K94" s="15"/>
    </row>
    <row r="95" spans="1:11" ht="11.4" customHeight="1" x14ac:dyDescent="0.25">
      <c r="A95" s="4" t="s">
        <v>10</v>
      </c>
      <c r="B95" s="2">
        <v>796</v>
      </c>
      <c r="C95" s="3">
        <v>796</v>
      </c>
      <c r="D95" s="2" t="s">
        <v>119</v>
      </c>
      <c r="E95" s="7" t="s">
        <v>305</v>
      </c>
      <c r="F95" s="2" t="s">
        <v>314</v>
      </c>
      <c r="G95" s="2"/>
      <c r="H95" s="10" t="s">
        <v>321</v>
      </c>
      <c r="I95" s="2"/>
      <c r="J95" s="2"/>
      <c r="K95" s="15"/>
    </row>
    <row r="96" spans="1:11" ht="11.4" customHeight="1" x14ac:dyDescent="0.25">
      <c r="A96" s="4" t="s">
        <v>25</v>
      </c>
      <c r="B96" s="2">
        <v>796</v>
      </c>
      <c r="C96" s="3">
        <v>1240</v>
      </c>
      <c r="D96" s="13" t="s">
        <v>120</v>
      </c>
      <c r="E96" s="7" t="s">
        <v>305</v>
      </c>
      <c r="F96" s="2" t="s">
        <v>314</v>
      </c>
      <c r="G96" s="2"/>
      <c r="H96" s="10" t="s">
        <v>321</v>
      </c>
      <c r="I96" s="2"/>
      <c r="J96" s="2"/>
      <c r="K96" s="15"/>
    </row>
    <row r="97" spans="1:11" ht="11.4" customHeight="1" x14ac:dyDescent="0.25">
      <c r="A97" s="4" t="s">
        <v>25</v>
      </c>
      <c r="B97" s="2">
        <v>796</v>
      </c>
      <c r="C97" s="3">
        <v>1240</v>
      </c>
      <c r="D97" s="13" t="s">
        <v>120</v>
      </c>
      <c r="E97" s="7" t="s">
        <v>302</v>
      </c>
      <c r="F97" s="2" t="s">
        <v>314</v>
      </c>
      <c r="G97" s="2"/>
      <c r="H97" s="10" t="s">
        <v>321</v>
      </c>
      <c r="I97" s="2"/>
      <c r="J97" s="2"/>
      <c r="K97" s="15"/>
    </row>
    <row r="98" spans="1:11" ht="11.4" customHeight="1" x14ac:dyDescent="0.25">
      <c r="A98" s="4" t="s">
        <v>10</v>
      </c>
      <c r="B98" s="2">
        <v>796</v>
      </c>
      <c r="C98" s="3">
        <v>796</v>
      </c>
      <c r="D98" s="2" t="s">
        <v>119</v>
      </c>
      <c r="E98" s="7" t="s">
        <v>302</v>
      </c>
      <c r="F98" s="2" t="s">
        <v>314</v>
      </c>
      <c r="G98" s="2"/>
      <c r="H98" s="10" t="s">
        <v>321</v>
      </c>
      <c r="I98" s="2"/>
      <c r="J98" s="2"/>
      <c r="K98" s="15"/>
    </row>
    <row r="99" spans="1:11" ht="11.4" customHeight="1" x14ac:dyDescent="0.25">
      <c r="A99" s="4" t="s">
        <v>27</v>
      </c>
      <c r="B99" s="2">
        <v>179</v>
      </c>
      <c r="C99" s="3">
        <v>2185</v>
      </c>
      <c r="D99" s="18" t="s">
        <v>336</v>
      </c>
      <c r="E99" s="7" t="s">
        <v>300</v>
      </c>
      <c r="F99" s="2" t="s">
        <v>313</v>
      </c>
      <c r="G99" s="10" t="s">
        <v>313</v>
      </c>
      <c r="H99" s="10"/>
      <c r="I99" s="2"/>
      <c r="J99" s="2"/>
      <c r="K99" s="15"/>
    </row>
    <row r="100" spans="1:11" ht="11.4" customHeight="1" x14ac:dyDescent="0.25">
      <c r="A100" s="4" t="s">
        <v>28</v>
      </c>
      <c r="B100" s="2">
        <v>178</v>
      </c>
      <c r="C100" s="3">
        <v>178</v>
      </c>
      <c r="D100" s="18" t="s">
        <v>121</v>
      </c>
      <c r="E100" s="7" t="s">
        <v>303</v>
      </c>
      <c r="F100" s="2" t="s">
        <v>314</v>
      </c>
      <c r="G100" s="2"/>
      <c r="H100" s="10" t="s">
        <v>321</v>
      </c>
      <c r="I100" s="2"/>
      <c r="J100" s="2"/>
      <c r="K100" s="15"/>
    </row>
    <row r="101" spans="1:11" ht="11.4" customHeight="1" x14ac:dyDescent="0.25">
      <c r="A101" s="4" t="s">
        <v>28</v>
      </c>
      <c r="B101" s="2">
        <v>178</v>
      </c>
      <c r="C101" s="3">
        <v>178</v>
      </c>
      <c r="D101" s="18" t="s">
        <v>121</v>
      </c>
      <c r="E101" s="7" t="s">
        <v>302</v>
      </c>
      <c r="F101" s="2" t="s">
        <v>314</v>
      </c>
      <c r="G101" s="2"/>
      <c r="H101" s="10" t="s">
        <v>321</v>
      </c>
      <c r="I101" s="2"/>
      <c r="J101" s="2"/>
      <c r="K101" s="15"/>
    </row>
    <row r="102" spans="1:11" ht="11.4" customHeight="1" x14ac:dyDescent="0.25">
      <c r="A102" s="4" t="s">
        <v>28</v>
      </c>
      <c r="B102" s="2">
        <v>179</v>
      </c>
      <c r="C102" s="3">
        <v>179</v>
      </c>
      <c r="D102" s="18" t="s">
        <v>335</v>
      </c>
      <c r="E102" s="7" t="s">
        <v>300</v>
      </c>
      <c r="F102" s="2" t="s">
        <v>314</v>
      </c>
      <c r="G102" s="2"/>
      <c r="H102" s="10" t="s">
        <v>321</v>
      </c>
      <c r="I102" s="2"/>
      <c r="J102" s="2"/>
      <c r="K102" s="15"/>
    </row>
    <row r="103" spans="1:11" ht="11.4" customHeight="1" x14ac:dyDescent="0.25">
      <c r="A103" s="4" t="s">
        <v>14</v>
      </c>
      <c r="B103" s="2">
        <v>340</v>
      </c>
      <c r="C103" s="3">
        <v>340</v>
      </c>
      <c r="D103" s="2" t="s">
        <v>340</v>
      </c>
      <c r="E103" s="7" t="s">
        <v>300</v>
      </c>
      <c r="F103" s="2" t="s">
        <v>314</v>
      </c>
      <c r="G103" s="2"/>
      <c r="H103" s="10" t="s">
        <v>321</v>
      </c>
      <c r="I103" s="2"/>
      <c r="J103" s="2"/>
      <c r="K103" s="19"/>
    </row>
    <row r="104" spans="1:11" ht="11.4" customHeight="1" x14ac:dyDescent="0.25">
      <c r="A104" s="4" t="s">
        <v>15</v>
      </c>
      <c r="B104" s="2">
        <v>340</v>
      </c>
      <c r="C104" s="3">
        <v>2281</v>
      </c>
      <c r="D104" s="2" t="s">
        <v>341</v>
      </c>
      <c r="E104" s="7" t="s">
        <v>300</v>
      </c>
      <c r="F104" s="2" t="s">
        <v>313</v>
      </c>
      <c r="G104" s="10" t="s">
        <v>313</v>
      </c>
      <c r="H104" s="10"/>
      <c r="I104" s="2"/>
      <c r="J104" s="2"/>
      <c r="K104" s="15"/>
    </row>
    <row r="105" spans="1:11" ht="11.4" customHeight="1" x14ac:dyDescent="0.25">
      <c r="A105" s="4" t="s">
        <v>12</v>
      </c>
      <c r="B105" s="2">
        <v>767</v>
      </c>
      <c r="C105" s="3">
        <v>767</v>
      </c>
      <c r="D105" s="2" t="s">
        <v>122</v>
      </c>
      <c r="E105" s="7" t="s">
        <v>300</v>
      </c>
      <c r="F105" s="2" t="s">
        <v>314</v>
      </c>
      <c r="G105" s="2"/>
      <c r="H105" s="10" t="s">
        <v>321</v>
      </c>
      <c r="I105" s="12"/>
      <c r="J105" s="2"/>
      <c r="K105" s="15"/>
    </row>
    <row r="106" spans="1:11" ht="11.4" customHeight="1" x14ac:dyDescent="0.25">
      <c r="A106" s="4" t="s">
        <v>26</v>
      </c>
      <c r="B106" s="2">
        <v>24</v>
      </c>
      <c r="C106" s="3">
        <v>24</v>
      </c>
      <c r="D106" s="2" t="s">
        <v>123</v>
      </c>
      <c r="E106" s="7" t="s">
        <v>300</v>
      </c>
      <c r="F106" s="2" t="s">
        <v>314</v>
      </c>
      <c r="G106" s="2"/>
      <c r="H106" s="10" t="s">
        <v>321</v>
      </c>
      <c r="I106" s="12"/>
      <c r="J106" s="2"/>
      <c r="K106" s="15"/>
    </row>
    <row r="107" spans="1:11" ht="11.4" customHeight="1" x14ac:dyDescent="0.25">
      <c r="A107" s="4" t="s">
        <v>10</v>
      </c>
      <c r="B107" s="2">
        <v>39</v>
      </c>
      <c r="C107" s="3">
        <v>39</v>
      </c>
      <c r="D107" s="2" t="s">
        <v>342</v>
      </c>
      <c r="E107" s="7" t="s">
        <v>303</v>
      </c>
      <c r="F107" s="2" t="s">
        <v>314</v>
      </c>
      <c r="G107" s="2"/>
      <c r="H107" s="16" t="s">
        <v>321</v>
      </c>
      <c r="I107" s="12"/>
      <c r="J107" s="2"/>
      <c r="K107" s="15"/>
    </row>
    <row r="108" spans="1:11" ht="11.4" customHeight="1" x14ac:dyDescent="0.25">
      <c r="A108" s="4" t="s">
        <v>10</v>
      </c>
      <c r="B108" s="2">
        <v>39</v>
      </c>
      <c r="C108" s="3">
        <v>39</v>
      </c>
      <c r="D108" s="2" t="s">
        <v>342</v>
      </c>
      <c r="E108" s="7" t="s">
        <v>305</v>
      </c>
      <c r="F108" s="2" t="s">
        <v>314</v>
      </c>
      <c r="G108" s="2"/>
      <c r="H108" s="10" t="s">
        <v>321</v>
      </c>
      <c r="I108" s="2"/>
      <c r="J108" s="2"/>
      <c r="K108" s="15"/>
    </row>
    <row r="109" spans="1:11" ht="11.4" customHeight="1" x14ac:dyDescent="0.25">
      <c r="A109" s="4" t="s">
        <v>25</v>
      </c>
      <c r="B109" s="2">
        <v>39</v>
      </c>
      <c r="C109" s="3">
        <v>1241</v>
      </c>
      <c r="D109" s="13" t="s">
        <v>343</v>
      </c>
      <c r="E109" s="7" t="s">
        <v>303</v>
      </c>
      <c r="F109" s="2" t="s">
        <v>314</v>
      </c>
      <c r="G109" s="2"/>
      <c r="H109" s="10" t="s">
        <v>321</v>
      </c>
      <c r="I109" s="2"/>
      <c r="J109" s="2"/>
      <c r="K109" s="15"/>
    </row>
    <row r="110" spans="1:11" ht="11.4" customHeight="1" x14ac:dyDescent="0.25">
      <c r="A110" s="4" t="s">
        <v>25</v>
      </c>
      <c r="B110" s="2">
        <v>39</v>
      </c>
      <c r="C110" s="3">
        <v>1241</v>
      </c>
      <c r="D110" s="13" t="s">
        <v>343</v>
      </c>
      <c r="E110" s="7" t="s">
        <v>302</v>
      </c>
      <c r="F110" s="2" t="s">
        <v>314</v>
      </c>
      <c r="G110" s="2"/>
      <c r="H110" s="10" t="s">
        <v>321</v>
      </c>
      <c r="I110" s="2"/>
      <c r="J110" s="2"/>
      <c r="K110" s="15"/>
    </row>
    <row r="111" spans="1:11" ht="11.4" customHeight="1" x14ac:dyDescent="0.25">
      <c r="A111" s="4" t="s">
        <v>10</v>
      </c>
      <c r="B111" s="2">
        <v>39</v>
      </c>
      <c r="C111" s="3">
        <v>39</v>
      </c>
      <c r="D111" s="2" t="s">
        <v>342</v>
      </c>
      <c r="E111" s="7" t="s">
        <v>302</v>
      </c>
      <c r="F111" s="2" t="s">
        <v>314</v>
      </c>
      <c r="G111" s="2"/>
      <c r="H111" s="10" t="s">
        <v>321</v>
      </c>
      <c r="I111" s="2"/>
      <c r="J111" s="2"/>
      <c r="K111" s="15"/>
    </row>
    <row r="112" spans="1:11" ht="11.4" customHeight="1" x14ac:dyDescent="0.25">
      <c r="A112" s="4" t="s">
        <v>14</v>
      </c>
      <c r="B112" s="2">
        <v>38</v>
      </c>
      <c r="C112" s="3">
        <v>38</v>
      </c>
      <c r="D112" s="2" t="s">
        <v>344</v>
      </c>
      <c r="E112" s="7" t="s">
        <v>300</v>
      </c>
      <c r="F112" s="2" t="s">
        <v>314</v>
      </c>
      <c r="G112" s="2"/>
      <c r="H112" s="10" t="s">
        <v>321</v>
      </c>
      <c r="I112" s="2"/>
      <c r="J112" s="2"/>
      <c r="K112" s="15"/>
    </row>
    <row r="113" spans="1:11" ht="11.4" customHeight="1" x14ac:dyDescent="0.25">
      <c r="A113" s="4" t="s">
        <v>14</v>
      </c>
      <c r="B113" s="2">
        <v>199</v>
      </c>
      <c r="C113" s="3">
        <v>199</v>
      </c>
      <c r="D113" s="2" t="s">
        <v>345</v>
      </c>
      <c r="E113" s="7" t="s">
        <v>300</v>
      </c>
      <c r="F113" s="2" t="s">
        <v>314</v>
      </c>
      <c r="G113" s="2"/>
      <c r="H113" s="10" t="s">
        <v>321</v>
      </c>
      <c r="I113" s="2"/>
      <c r="J113" s="2"/>
      <c r="K113" s="19"/>
    </row>
    <row r="114" spans="1:11" ht="11.4" customHeight="1" x14ac:dyDescent="0.25">
      <c r="A114" s="4" t="s">
        <v>10</v>
      </c>
      <c r="B114" s="2">
        <v>190</v>
      </c>
      <c r="C114" s="3">
        <v>190</v>
      </c>
      <c r="D114" s="2" t="s">
        <v>346</v>
      </c>
      <c r="E114" s="7" t="s">
        <v>303</v>
      </c>
      <c r="F114" s="2" t="s">
        <v>314</v>
      </c>
      <c r="G114" s="2"/>
      <c r="H114" s="16" t="s">
        <v>321</v>
      </c>
      <c r="I114" s="12"/>
      <c r="J114" s="2"/>
      <c r="K114" s="15"/>
    </row>
    <row r="115" spans="1:11" ht="11.4" customHeight="1" x14ac:dyDescent="0.25">
      <c r="A115" s="4" t="s">
        <v>10</v>
      </c>
      <c r="B115" s="2">
        <v>190</v>
      </c>
      <c r="C115" s="3">
        <v>190</v>
      </c>
      <c r="D115" s="2" t="s">
        <v>346</v>
      </c>
      <c r="E115" s="7" t="s">
        <v>305</v>
      </c>
      <c r="F115" s="2" t="s">
        <v>314</v>
      </c>
      <c r="G115" s="2"/>
      <c r="H115" s="10" t="s">
        <v>321</v>
      </c>
      <c r="I115" s="2"/>
      <c r="J115" s="2"/>
      <c r="K115" s="15"/>
    </row>
    <row r="116" spans="1:11" ht="11.4" customHeight="1" x14ac:dyDescent="0.25">
      <c r="A116" s="4" t="s">
        <v>11</v>
      </c>
      <c r="B116" s="2">
        <v>190</v>
      </c>
      <c r="C116" s="3">
        <v>545</v>
      </c>
      <c r="D116" s="18" t="s">
        <v>347</v>
      </c>
      <c r="E116" s="7" t="s">
        <v>302</v>
      </c>
      <c r="F116" s="2" t="s">
        <v>314</v>
      </c>
      <c r="G116" s="2"/>
      <c r="H116" s="10" t="s">
        <v>321</v>
      </c>
      <c r="I116" s="2"/>
      <c r="J116" s="2"/>
      <c r="K116" s="15"/>
    </row>
    <row r="117" spans="1:11" ht="11.4" customHeight="1" x14ac:dyDescent="0.25">
      <c r="A117" s="4" t="s">
        <v>29</v>
      </c>
      <c r="B117" s="2">
        <v>879</v>
      </c>
      <c r="C117" s="3">
        <v>879</v>
      </c>
      <c r="D117" s="2" t="s">
        <v>348</v>
      </c>
      <c r="E117" s="7" t="s">
        <v>303</v>
      </c>
      <c r="F117" s="2" t="s">
        <v>314</v>
      </c>
      <c r="G117" s="2"/>
      <c r="H117" s="16" t="s">
        <v>321</v>
      </c>
      <c r="I117" s="12"/>
      <c r="J117" s="2"/>
      <c r="K117" s="15"/>
    </row>
    <row r="118" spans="1:11" ht="11.4" customHeight="1" x14ac:dyDescent="0.25">
      <c r="A118" s="4" t="s">
        <v>29</v>
      </c>
      <c r="B118" s="2">
        <v>879</v>
      </c>
      <c r="C118" s="3">
        <v>879</v>
      </c>
      <c r="D118" s="2" t="s">
        <v>348</v>
      </c>
      <c r="E118" s="7" t="s">
        <v>305</v>
      </c>
      <c r="F118" s="2" t="s">
        <v>314</v>
      </c>
      <c r="G118" s="2"/>
      <c r="H118" s="10" t="s">
        <v>321</v>
      </c>
      <c r="I118" s="2"/>
      <c r="J118" s="2"/>
      <c r="K118" s="15"/>
    </row>
    <row r="119" spans="1:11" ht="11.4" customHeight="1" x14ac:dyDescent="0.25">
      <c r="A119" s="4" t="s">
        <v>27</v>
      </c>
      <c r="B119" s="2">
        <v>180</v>
      </c>
      <c r="C119" s="3">
        <v>2186</v>
      </c>
      <c r="D119" s="18" t="s">
        <v>349</v>
      </c>
      <c r="E119" s="7" t="s">
        <v>300</v>
      </c>
      <c r="F119" s="2" t="s">
        <v>313</v>
      </c>
      <c r="G119" s="10" t="s">
        <v>313</v>
      </c>
      <c r="H119" s="10"/>
      <c r="I119" s="2"/>
      <c r="J119" s="2"/>
      <c r="K119" s="15"/>
    </row>
    <row r="120" spans="1:11" ht="11.4" customHeight="1" x14ac:dyDescent="0.25">
      <c r="A120" s="4" t="s">
        <v>28</v>
      </c>
      <c r="B120" s="2">
        <v>180</v>
      </c>
      <c r="C120" s="3">
        <v>180</v>
      </c>
      <c r="D120" s="18" t="s">
        <v>350</v>
      </c>
      <c r="E120" s="7" t="s">
        <v>300</v>
      </c>
      <c r="F120" s="2" t="s">
        <v>314</v>
      </c>
      <c r="G120" s="2"/>
      <c r="H120" s="10" t="s">
        <v>321</v>
      </c>
      <c r="I120" s="2"/>
      <c r="J120" s="2"/>
      <c r="K120" s="15"/>
    </row>
    <row r="121" spans="1:11" ht="11.4" customHeight="1" x14ac:dyDescent="0.25">
      <c r="A121" s="4" t="s">
        <v>15</v>
      </c>
      <c r="B121" s="2">
        <v>199</v>
      </c>
      <c r="C121" s="3">
        <v>2023</v>
      </c>
      <c r="D121" s="2" t="s">
        <v>351</v>
      </c>
      <c r="E121" s="7" t="s">
        <v>300</v>
      </c>
      <c r="F121" s="2" t="s">
        <v>313</v>
      </c>
      <c r="G121" s="10" t="s">
        <v>313</v>
      </c>
      <c r="H121" s="10"/>
      <c r="I121" s="2"/>
      <c r="J121" s="2"/>
      <c r="K121" s="15"/>
    </row>
    <row r="122" spans="1:11" ht="11.4" customHeight="1" x14ac:dyDescent="0.25">
      <c r="A122" s="4" t="s">
        <v>30</v>
      </c>
      <c r="B122" s="2">
        <v>111</v>
      </c>
      <c r="C122" s="3">
        <v>111</v>
      </c>
      <c r="D122" s="2" t="s">
        <v>124</v>
      </c>
      <c r="E122" s="7" t="s">
        <v>298</v>
      </c>
      <c r="F122" s="2" t="s">
        <v>314</v>
      </c>
      <c r="G122" s="2"/>
      <c r="H122" s="10" t="s">
        <v>321</v>
      </c>
      <c r="I122" s="12"/>
      <c r="J122" s="2"/>
      <c r="K122" s="15"/>
    </row>
    <row r="123" spans="1:11" ht="11.4" customHeight="1" x14ac:dyDescent="0.25">
      <c r="A123" s="4" t="s">
        <v>30</v>
      </c>
      <c r="B123" s="2">
        <v>111</v>
      </c>
      <c r="C123" s="3">
        <v>111</v>
      </c>
      <c r="D123" s="2" t="s">
        <v>124</v>
      </c>
      <c r="E123" s="7" t="s">
        <v>299</v>
      </c>
      <c r="F123" s="2" t="s">
        <v>314</v>
      </c>
      <c r="G123" s="2"/>
      <c r="H123" s="10" t="s">
        <v>321</v>
      </c>
      <c r="I123" s="12"/>
      <c r="J123" s="2"/>
      <c r="K123" s="15"/>
    </row>
    <row r="124" spans="1:11" ht="11.4" customHeight="1" x14ac:dyDescent="0.25">
      <c r="A124" s="4" t="s">
        <v>31</v>
      </c>
      <c r="B124" s="2">
        <v>111</v>
      </c>
      <c r="C124" s="3">
        <v>1262</v>
      </c>
      <c r="D124" s="13" t="s">
        <v>125</v>
      </c>
      <c r="E124" s="7" t="s">
        <v>299</v>
      </c>
      <c r="F124" s="2" t="s">
        <v>314</v>
      </c>
      <c r="G124" s="2"/>
      <c r="H124" s="10" t="s">
        <v>321</v>
      </c>
      <c r="I124" s="2"/>
      <c r="J124" s="2"/>
      <c r="K124" s="15"/>
    </row>
    <row r="125" spans="1:11" ht="11.4" customHeight="1" x14ac:dyDescent="0.25">
      <c r="A125" s="4" t="s">
        <v>23</v>
      </c>
      <c r="B125" s="2">
        <v>756</v>
      </c>
      <c r="C125" s="3">
        <v>756</v>
      </c>
      <c r="D125" s="2" t="s">
        <v>126</v>
      </c>
      <c r="E125" s="7" t="s">
        <v>298</v>
      </c>
      <c r="F125" s="2" t="s">
        <v>314</v>
      </c>
      <c r="G125" s="12"/>
      <c r="H125" s="10" t="s">
        <v>321</v>
      </c>
      <c r="I125" s="12"/>
      <c r="J125" s="2"/>
      <c r="K125" s="15"/>
    </row>
    <row r="126" spans="1:11" ht="11.4" customHeight="1" x14ac:dyDescent="0.25">
      <c r="A126" s="4" t="s">
        <v>23</v>
      </c>
      <c r="B126" s="2">
        <v>756</v>
      </c>
      <c r="C126" s="3">
        <v>756</v>
      </c>
      <c r="D126" s="2" t="s">
        <v>126</v>
      </c>
      <c r="E126" s="7" t="s">
        <v>299</v>
      </c>
      <c r="F126" s="2" t="s">
        <v>314</v>
      </c>
      <c r="G126" s="12"/>
      <c r="H126" s="10" t="s">
        <v>321</v>
      </c>
      <c r="I126" s="12"/>
      <c r="J126" s="2"/>
      <c r="K126" s="15"/>
    </row>
    <row r="127" spans="1:11" ht="11.4" customHeight="1" x14ac:dyDescent="0.25">
      <c r="A127" s="4" t="s">
        <v>23</v>
      </c>
      <c r="B127" s="2">
        <v>756</v>
      </c>
      <c r="C127" s="3">
        <v>756</v>
      </c>
      <c r="D127" s="2" t="s">
        <v>126</v>
      </c>
      <c r="E127" s="7" t="s">
        <v>308</v>
      </c>
      <c r="F127" s="2" t="s">
        <v>314</v>
      </c>
      <c r="G127" s="12"/>
      <c r="H127" s="10" t="s">
        <v>321</v>
      </c>
      <c r="I127" s="12"/>
      <c r="J127" s="2"/>
      <c r="K127" s="15"/>
    </row>
    <row r="128" spans="1:11" ht="11.4" customHeight="1" x14ac:dyDescent="0.25">
      <c r="A128" s="4" t="s">
        <v>20</v>
      </c>
      <c r="B128" s="2">
        <v>111</v>
      </c>
      <c r="C128" s="3">
        <v>515</v>
      </c>
      <c r="D128" s="18" t="s">
        <v>127</v>
      </c>
      <c r="E128" s="7" t="s">
        <v>299</v>
      </c>
      <c r="F128" s="2" t="s">
        <v>314</v>
      </c>
      <c r="G128" s="2"/>
      <c r="H128" s="10" t="s">
        <v>321</v>
      </c>
      <c r="I128" s="2"/>
      <c r="J128" s="2"/>
      <c r="K128" s="15"/>
    </row>
    <row r="129" spans="1:11" ht="11.4" customHeight="1" x14ac:dyDescent="0.25">
      <c r="A129" s="4" t="s">
        <v>9</v>
      </c>
      <c r="B129" s="2">
        <v>111</v>
      </c>
      <c r="C129" s="3">
        <v>2314</v>
      </c>
      <c r="D129" s="2" t="s">
        <v>128</v>
      </c>
      <c r="E129" s="7" t="s">
        <v>299</v>
      </c>
      <c r="F129" s="2" t="s">
        <v>313</v>
      </c>
      <c r="G129" s="10" t="s">
        <v>313</v>
      </c>
      <c r="H129" s="10"/>
      <c r="I129" s="2"/>
      <c r="J129" s="2"/>
      <c r="K129" s="15"/>
    </row>
    <row r="130" spans="1:11" ht="11.4" customHeight="1" x14ac:dyDescent="0.25">
      <c r="A130" s="4" t="s">
        <v>32</v>
      </c>
      <c r="B130" s="2">
        <v>638</v>
      </c>
      <c r="C130" s="3">
        <v>638</v>
      </c>
      <c r="D130" s="2" t="s">
        <v>129</v>
      </c>
      <c r="E130" s="7" t="s">
        <v>298</v>
      </c>
      <c r="F130" s="2" t="s">
        <v>314</v>
      </c>
      <c r="G130" s="12"/>
      <c r="H130" s="10" t="s">
        <v>321</v>
      </c>
      <c r="I130" s="12"/>
      <c r="J130" s="2"/>
      <c r="K130" s="15"/>
    </row>
    <row r="131" spans="1:11" ht="11.4" customHeight="1" x14ac:dyDescent="0.25">
      <c r="A131" s="4" t="s">
        <v>32</v>
      </c>
      <c r="B131" s="2">
        <v>638</v>
      </c>
      <c r="C131" s="3">
        <v>638</v>
      </c>
      <c r="D131" s="2" t="s">
        <v>129</v>
      </c>
      <c r="E131" s="7" t="s">
        <v>299</v>
      </c>
      <c r="F131" s="2" t="s">
        <v>314</v>
      </c>
      <c r="G131" s="12"/>
      <c r="H131" s="10" t="s">
        <v>321</v>
      </c>
      <c r="I131" s="12"/>
      <c r="J131" s="2"/>
      <c r="K131" s="15"/>
    </row>
    <row r="132" spans="1:11" ht="11.4" customHeight="1" x14ac:dyDescent="0.25">
      <c r="A132" s="4" t="s">
        <v>33</v>
      </c>
      <c r="B132" s="2">
        <v>640</v>
      </c>
      <c r="C132" s="3">
        <v>2293</v>
      </c>
      <c r="D132" s="2" t="s">
        <v>130</v>
      </c>
      <c r="E132" s="7" t="s">
        <v>304</v>
      </c>
      <c r="F132" s="2" t="s">
        <v>313</v>
      </c>
      <c r="G132" s="10" t="s">
        <v>313</v>
      </c>
      <c r="H132" s="10"/>
      <c r="I132" s="2"/>
      <c r="J132" s="2"/>
      <c r="K132" s="15"/>
    </row>
    <row r="133" spans="1:11" ht="11.4" customHeight="1" x14ac:dyDescent="0.25">
      <c r="A133" s="4" t="s">
        <v>33</v>
      </c>
      <c r="B133" s="2">
        <v>623</v>
      </c>
      <c r="C133" s="3">
        <v>2236</v>
      </c>
      <c r="D133" s="2" t="s">
        <v>131</v>
      </c>
      <c r="E133" s="7" t="s">
        <v>304</v>
      </c>
      <c r="F133" s="2" t="s">
        <v>313</v>
      </c>
      <c r="G133" s="10" t="s">
        <v>313</v>
      </c>
      <c r="H133" s="10"/>
      <c r="I133" s="2"/>
      <c r="J133" s="2"/>
      <c r="K133" s="15"/>
    </row>
    <row r="134" spans="1:11" ht="11.4" customHeight="1" x14ac:dyDescent="0.25">
      <c r="A134" s="4" t="s">
        <v>33</v>
      </c>
      <c r="B134" s="2">
        <v>72</v>
      </c>
      <c r="C134" s="3">
        <v>2028</v>
      </c>
      <c r="D134" s="2" t="s">
        <v>132</v>
      </c>
      <c r="E134" s="7" t="s">
        <v>304</v>
      </c>
      <c r="F134" s="2" t="s">
        <v>313</v>
      </c>
      <c r="G134" s="10" t="s">
        <v>313</v>
      </c>
      <c r="H134" s="10"/>
      <c r="I134" s="2"/>
      <c r="J134" s="2"/>
      <c r="K134" s="15"/>
    </row>
    <row r="135" spans="1:11" ht="11.4" customHeight="1" x14ac:dyDescent="0.25">
      <c r="A135" s="4" t="s">
        <v>34</v>
      </c>
      <c r="B135" s="2">
        <v>165</v>
      </c>
      <c r="C135" s="3">
        <v>2372</v>
      </c>
      <c r="D135" s="2" t="s">
        <v>133</v>
      </c>
      <c r="E135" s="7" t="s">
        <v>304</v>
      </c>
      <c r="F135" s="2" t="s">
        <v>313</v>
      </c>
      <c r="G135" s="10" t="s">
        <v>313</v>
      </c>
      <c r="H135" s="10"/>
      <c r="I135" s="2"/>
      <c r="J135" s="2"/>
      <c r="K135" s="15"/>
    </row>
    <row r="136" spans="1:11" ht="11.4" customHeight="1" x14ac:dyDescent="0.25">
      <c r="A136" s="4" t="s">
        <v>35</v>
      </c>
      <c r="B136" s="2">
        <v>165</v>
      </c>
      <c r="C136" s="3">
        <v>2288</v>
      </c>
      <c r="D136" s="18" t="s">
        <v>134</v>
      </c>
      <c r="E136" s="7" t="s">
        <v>304</v>
      </c>
      <c r="F136" s="2" t="s">
        <v>313</v>
      </c>
      <c r="G136" s="10" t="s">
        <v>313</v>
      </c>
      <c r="H136" s="10"/>
      <c r="I136" s="2"/>
      <c r="J136" s="2"/>
      <c r="K136" s="15"/>
    </row>
    <row r="137" spans="1:11" ht="11.4" customHeight="1" x14ac:dyDescent="0.25">
      <c r="A137" s="4" t="s">
        <v>36</v>
      </c>
      <c r="B137" s="2">
        <v>165</v>
      </c>
      <c r="C137" s="3">
        <v>2380</v>
      </c>
      <c r="D137" s="18" t="s">
        <v>135</v>
      </c>
      <c r="E137" s="7" t="s">
        <v>304</v>
      </c>
      <c r="F137" s="2" t="s">
        <v>313</v>
      </c>
      <c r="G137" s="10" t="s">
        <v>313</v>
      </c>
      <c r="H137" s="10"/>
      <c r="I137" s="2"/>
      <c r="J137" s="2"/>
      <c r="K137" s="15"/>
    </row>
    <row r="138" spans="1:11" ht="11.4" customHeight="1" x14ac:dyDescent="0.25">
      <c r="A138" s="4" t="s">
        <v>37</v>
      </c>
      <c r="B138" s="2">
        <v>165</v>
      </c>
      <c r="C138" s="3">
        <v>2342</v>
      </c>
      <c r="D138" s="18" t="s">
        <v>136</v>
      </c>
      <c r="E138" s="7" t="s">
        <v>304</v>
      </c>
      <c r="F138" s="2" t="s">
        <v>313</v>
      </c>
      <c r="G138" s="10" t="s">
        <v>313</v>
      </c>
      <c r="H138" s="10"/>
      <c r="I138" s="2"/>
      <c r="J138" s="2"/>
      <c r="K138" s="15"/>
    </row>
    <row r="139" spans="1:11" ht="11.4" customHeight="1" x14ac:dyDescent="0.25">
      <c r="A139" s="4" t="s">
        <v>38</v>
      </c>
      <c r="B139" s="2">
        <v>82</v>
      </c>
      <c r="C139" s="3">
        <v>2382</v>
      </c>
      <c r="D139" s="18" t="s">
        <v>137</v>
      </c>
      <c r="E139" s="7" t="s">
        <v>304</v>
      </c>
      <c r="F139" s="2" t="s">
        <v>313</v>
      </c>
      <c r="G139" s="10" t="s">
        <v>313</v>
      </c>
      <c r="H139" s="10"/>
      <c r="I139" s="2"/>
      <c r="J139" s="2"/>
      <c r="K139" s="15"/>
    </row>
    <row r="140" spans="1:11" ht="11.4" customHeight="1" x14ac:dyDescent="0.25">
      <c r="A140" s="4" t="s">
        <v>37</v>
      </c>
      <c r="B140" s="2">
        <v>82</v>
      </c>
      <c r="C140" s="3">
        <v>2344</v>
      </c>
      <c r="D140" s="18" t="s">
        <v>138</v>
      </c>
      <c r="E140" s="7" t="s">
        <v>304</v>
      </c>
      <c r="F140" s="2" t="s">
        <v>313</v>
      </c>
      <c r="G140" s="10" t="s">
        <v>313</v>
      </c>
      <c r="H140" s="10"/>
      <c r="I140" s="2"/>
      <c r="J140" s="2"/>
      <c r="K140" s="15"/>
    </row>
    <row r="141" spans="1:11" ht="11.4" customHeight="1" x14ac:dyDescent="0.25">
      <c r="A141" s="4" t="s">
        <v>34</v>
      </c>
      <c r="B141" s="2">
        <v>163</v>
      </c>
      <c r="C141" s="3">
        <v>2373</v>
      </c>
      <c r="D141" s="2" t="s">
        <v>139</v>
      </c>
      <c r="E141" s="7" t="s">
        <v>304</v>
      </c>
      <c r="F141" s="2" t="s">
        <v>313</v>
      </c>
      <c r="G141" s="10" t="s">
        <v>313</v>
      </c>
      <c r="H141" s="10"/>
      <c r="I141" s="2"/>
      <c r="J141" s="2"/>
      <c r="K141" s="15"/>
    </row>
    <row r="142" spans="1:11" ht="11.4" customHeight="1" x14ac:dyDescent="0.25">
      <c r="A142" s="4" t="s">
        <v>35</v>
      </c>
      <c r="B142" s="2">
        <v>163</v>
      </c>
      <c r="C142" s="3">
        <v>2287</v>
      </c>
      <c r="D142" s="18" t="s">
        <v>140</v>
      </c>
      <c r="E142" s="7" t="s">
        <v>304</v>
      </c>
      <c r="F142" s="2" t="s">
        <v>313</v>
      </c>
      <c r="G142" s="10" t="s">
        <v>313</v>
      </c>
      <c r="H142" s="10"/>
      <c r="I142" s="2"/>
      <c r="J142" s="2"/>
      <c r="K142" s="15"/>
    </row>
    <row r="143" spans="1:11" ht="11.4" customHeight="1" x14ac:dyDescent="0.25">
      <c r="A143" s="4" t="s">
        <v>36</v>
      </c>
      <c r="B143" s="2">
        <v>163</v>
      </c>
      <c r="C143" s="3">
        <v>2381</v>
      </c>
      <c r="D143" s="18" t="s">
        <v>141</v>
      </c>
      <c r="E143" s="7" t="s">
        <v>304</v>
      </c>
      <c r="F143" s="2" t="s">
        <v>313</v>
      </c>
      <c r="G143" s="10" t="s">
        <v>313</v>
      </c>
      <c r="H143" s="10"/>
      <c r="I143" s="2"/>
      <c r="J143" s="2"/>
      <c r="K143" s="15"/>
    </row>
    <row r="144" spans="1:11" ht="11.4" customHeight="1" x14ac:dyDescent="0.25">
      <c r="A144" s="4" t="s">
        <v>37</v>
      </c>
      <c r="B144" s="2">
        <v>163</v>
      </c>
      <c r="C144" s="3">
        <v>2343</v>
      </c>
      <c r="D144" s="18" t="s">
        <v>142</v>
      </c>
      <c r="E144" s="7" t="s">
        <v>304</v>
      </c>
      <c r="F144" s="2" t="s">
        <v>313</v>
      </c>
      <c r="G144" s="10" t="s">
        <v>313</v>
      </c>
      <c r="H144" s="10"/>
      <c r="I144" s="2"/>
      <c r="J144" s="2"/>
      <c r="K144" s="15"/>
    </row>
    <row r="145" spans="1:11" ht="11.4" customHeight="1" x14ac:dyDescent="0.25">
      <c r="A145" s="4" t="s">
        <v>34</v>
      </c>
      <c r="B145" s="2">
        <v>164</v>
      </c>
      <c r="C145" s="3">
        <v>2086</v>
      </c>
      <c r="D145" s="2" t="s">
        <v>143</v>
      </c>
      <c r="E145" s="7" t="s">
        <v>304</v>
      </c>
      <c r="F145" s="2" t="s">
        <v>313</v>
      </c>
      <c r="G145" s="10" t="s">
        <v>313</v>
      </c>
      <c r="H145" s="10"/>
      <c r="I145" s="2"/>
      <c r="J145" s="2"/>
      <c r="K145" s="15"/>
    </row>
    <row r="146" spans="1:11" ht="11.4" customHeight="1" x14ac:dyDescent="0.25">
      <c r="A146" s="4" t="s">
        <v>34</v>
      </c>
      <c r="B146" s="2">
        <v>164</v>
      </c>
      <c r="C146" s="3">
        <v>2182</v>
      </c>
      <c r="D146" s="2" t="s">
        <v>144</v>
      </c>
      <c r="E146" s="7" t="s">
        <v>304</v>
      </c>
      <c r="F146" s="2" t="s">
        <v>313</v>
      </c>
      <c r="G146" s="10" t="s">
        <v>313</v>
      </c>
      <c r="H146" s="10"/>
      <c r="I146" s="2"/>
      <c r="J146" s="2"/>
      <c r="K146" s="15"/>
    </row>
    <row r="147" spans="1:11" ht="11.4" customHeight="1" x14ac:dyDescent="0.25">
      <c r="A147" s="4" t="s">
        <v>34</v>
      </c>
      <c r="B147" s="2">
        <v>162</v>
      </c>
      <c r="C147" s="3">
        <v>2374</v>
      </c>
      <c r="D147" s="2" t="s">
        <v>145</v>
      </c>
      <c r="E147" s="7" t="s">
        <v>304</v>
      </c>
      <c r="F147" s="2" t="s">
        <v>313</v>
      </c>
      <c r="G147" s="10" t="s">
        <v>313</v>
      </c>
      <c r="H147" s="10"/>
      <c r="I147" s="2"/>
      <c r="J147" s="2"/>
      <c r="K147" s="15"/>
    </row>
    <row r="148" spans="1:11" ht="11.4" customHeight="1" x14ac:dyDescent="0.25">
      <c r="A148" s="4" t="s">
        <v>39</v>
      </c>
      <c r="B148" s="2">
        <v>1202</v>
      </c>
      <c r="C148" s="3">
        <v>2367</v>
      </c>
      <c r="D148" s="2" t="s">
        <v>146</v>
      </c>
      <c r="E148" s="7" t="s">
        <v>304</v>
      </c>
      <c r="F148" s="2" t="s">
        <v>313</v>
      </c>
      <c r="G148" s="10" t="s">
        <v>313</v>
      </c>
      <c r="H148" s="10"/>
      <c r="I148" s="2"/>
      <c r="J148" s="2"/>
      <c r="K148" s="15"/>
    </row>
    <row r="149" spans="1:11" ht="11.4" customHeight="1" x14ac:dyDescent="0.25">
      <c r="A149" s="4" t="s">
        <v>39</v>
      </c>
      <c r="B149" s="2">
        <v>1203</v>
      </c>
      <c r="C149" s="3">
        <v>2366</v>
      </c>
      <c r="D149" s="2" t="s">
        <v>147</v>
      </c>
      <c r="E149" s="7" t="s">
        <v>304</v>
      </c>
      <c r="F149" s="2" t="s">
        <v>313</v>
      </c>
      <c r="G149" s="10" t="s">
        <v>313</v>
      </c>
      <c r="H149" s="10"/>
      <c r="I149" s="2"/>
      <c r="J149" s="2"/>
      <c r="K149" s="15"/>
    </row>
    <row r="150" spans="1:11" ht="11.4" customHeight="1" x14ac:dyDescent="0.25">
      <c r="A150" s="4" t="s">
        <v>23</v>
      </c>
      <c r="B150" s="2">
        <v>810</v>
      </c>
      <c r="C150" s="3">
        <v>810</v>
      </c>
      <c r="D150" s="2" t="s">
        <v>148</v>
      </c>
      <c r="E150" s="7" t="s">
        <v>309</v>
      </c>
      <c r="F150" s="2" t="s">
        <v>314</v>
      </c>
      <c r="G150" s="12"/>
      <c r="H150" s="10" t="s">
        <v>321</v>
      </c>
      <c r="I150" s="12"/>
      <c r="J150" s="2"/>
      <c r="K150" s="19" t="s">
        <v>325</v>
      </c>
    </row>
    <row r="151" spans="1:11" ht="11.4" customHeight="1" x14ac:dyDescent="0.25">
      <c r="A151" s="4" t="s">
        <v>23</v>
      </c>
      <c r="B151" s="2">
        <v>810</v>
      </c>
      <c r="C151" s="3">
        <v>810</v>
      </c>
      <c r="D151" s="2" t="s">
        <v>148</v>
      </c>
      <c r="E151" s="7" t="s">
        <v>298</v>
      </c>
      <c r="F151" s="2" t="s">
        <v>314</v>
      </c>
      <c r="G151" s="12"/>
      <c r="H151" s="10" t="s">
        <v>321</v>
      </c>
      <c r="I151" s="12"/>
      <c r="J151" s="2"/>
      <c r="K151" s="15"/>
    </row>
    <row r="152" spans="1:11" ht="11.4" customHeight="1" x14ac:dyDescent="0.25">
      <c r="A152" s="4" t="s">
        <v>23</v>
      </c>
      <c r="B152" s="2">
        <v>810</v>
      </c>
      <c r="C152" s="3">
        <v>810</v>
      </c>
      <c r="D152" s="2" t="s">
        <v>148</v>
      </c>
      <c r="E152" s="7" t="s">
        <v>308</v>
      </c>
      <c r="F152" s="2" t="s">
        <v>314</v>
      </c>
      <c r="G152" s="12"/>
      <c r="H152" s="10" t="s">
        <v>321</v>
      </c>
      <c r="I152" s="12"/>
      <c r="J152" s="2"/>
      <c r="K152" s="15"/>
    </row>
    <row r="153" spans="1:11" ht="11.4" customHeight="1" x14ac:dyDescent="0.25">
      <c r="A153" s="4" t="s">
        <v>8</v>
      </c>
      <c r="B153" s="2">
        <v>127</v>
      </c>
      <c r="C153" s="3">
        <v>127</v>
      </c>
      <c r="D153" s="2" t="s">
        <v>149</v>
      </c>
      <c r="E153" s="7" t="s">
        <v>302</v>
      </c>
      <c r="F153" s="2" t="s">
        <v>314</v>
      </c>
      <c r="G153" s="2"/>
      <c r="H153" s="10" t="s">
        <v>321</v>
      </c>
      <c r="I153" s="12"/>
      <c r="J153" s="2"/>
      <c r="K153" s="15"/>
    </row>
    <row r="154" spans="1:11" ht="11.4" customHeight="1" x14ac:dyDescent="0.25">
      <c r="A154" s="4" t="s">
        <v>5</v>
      </c>
      <c r="B154" s="2">
        <v>662</v>
      </c>
      <c r="C154" s="3">
        <v>662</v>
      </c>
      <c r="D154" s="2" t="s">
        <v>150</v>
      </c>
      <c r="E154" s="7" t="s">
        <v>302</v>
      </c>
      <c r="F154" s="2" t="s">
        <v>314</v>
      </c>
      <c r="G154" s="2"/>
      <c r="H154" s="10" t="s">
        <v>321</v>
      </c>
      <c r="I154" s="12"/>
      <c r="J154" s="2"/>
      <c r="K154" s="15"/>
    </row>
    <row r="155" spans="1:11" ht="11.4" customHeight="1" x14ac:dyDescent="0.25">
      <c r="A155" s="4" t="s">
        <v>4</v>
      </c>
      <c r="B155" s="2">
        <v>540</v>
      </c>
      <c r="C155" s="3">
        <v>540</v>
      </c>
      <c r="D155" s="2" t="s">
        <v>153</v>
      </c>
      <c r="E155" s="7" t="s">
        <v>303</v>
      </c>
      <c r="F155" s="2" t="s">
        <v>314</v>
      </c>
      <c r="G155" s="2"/>
      <c r="H155" s="10"/>
      <c r="I155" s="10" t="s">
        <v>322</v>
      </c>
      <c r="J155" s="2"/>
      <c r="K155" s="15"/>
    </row>
    <row r="156" spans="1:11" ht="11.4" customHeight="1" x14ac:dyDescent="0.25">
      <c r="A156" s="4" t="s">
        <v>40</v>
      </c>
      <c r="B156" s="2">
        <v>312</v>
      </c>
      <c r="C156" s="3">
        <v>2031</v>
      </c>
      <c r="D156" s="2" t="s">
        <v>151</v>
      </c>
      <c r="E156" s="7" t="s">
        <v>300</v>
      </c>
      <c r="F156" s="2" t="s">
        <v>313</v>
      </c>
      <c r="G156" s="10" t="s">
        <v>313</v>
      </c>
      <c r="H156" s="10"/>
      <c r="I156" s="2"/>
      <c r="J156" s="2"/>
      <c r="K156" s="15"/>
    </row>
    <row r="157" spans="1:11" ht="11.4" customHeight="1" x14ac:dyDescent="0.25">
      <c r="A157" s="4" t="s">
        <v>40</v>
      </c>
      <c r="B157" s="2">
        <v>312</v>
      </c>
      <c r="C157" s="3">
        <v>312</v>
      </c>
      <c r="D157" s="2" t="s">
        <v>152</v>
      </c>
      <c r="E157" s="7" t="s">
        <v>310</v>
      </c>
      <c r="F157" s="2" t="s">
        <v>314</v>
      </c>
      <c r="G157" s="2"/>
      <c r="H157" s="10" t="s">
        <v>321</v>
      </c>
      <c r="I157" s="12"/>
      <c r="J157" s="2"/>
      <c r="K157" s="15"/>
    </row>
    <row r="158" spans="1:11" ht="11.4" customHeight="1" x14ac:dyDescent="0.25">
      <c r="A158" s="4" t="s">
        <v>40</v>
      </c>
      <c r="B158" s="2">
        <v>312</v>
      </c>
      <c r="C158" s="3">
        <v>312</v>
      </c>
      <c r="D158" s="2" t="s">
        <v>152</v>
      </c>
      <c r="E158" s="7" t="s">
        <v>300</v>
      </c>
      <c r="F158" s="2" t="s">
        <v>314</v>
      </c>
      <c r="G158" s="2"/>
      <c r="H158" s="10" t="s">
        <v>321</v>
      </c>
      <c r="I158" s="2"/>
      <c r="J158" s="2"/>
      <c r="K158" s="15"/>
    </row>
    <row r="159" spans="1:11" ht="11.4" customHeight="1" x14ac:dyDescent="0.25">
      <c r="A159" s="4" t="s">
        <v>4</v>
      </c>
      <c r="B159" s="2">
        <v>72</v>
      </c>
      <c r="C159" s="3">
        <v>72</v>
      </c>
      <c r="D159" s="2" t="s">
        <v>154</v>
      </c>
      <c r="E159" s="7" t="s">
        <v>302</v>
      </c>
      <c r="F159" s="2" t="s">
        <v>314</v>
      </c>
      <c r="G159" s="2"/>
      <c r="H159" s="10" t="s">
        <v>321</v>
      </c>
      <c r="I159" s="12"/>
      <c r="J159" s="2"/>
      <c r="K159" s="15"/>
    </row>
    <row r="160" spans="1:11" ht="11.4" customHeight="1" x14ac:dyDescent="0.25">
      <c r="A160" s="4" t="s">
        <v>41</v>
      </c>
      <c r="B160" s="2">
        <v>151</v>
      </c>
      <c r="C160" s="3">
        <v>151</v>
      </c>
      <c r="D160" s="2" t="s">
        <v>155</v>
      </c>
      <c r="E160" s="7" t="s">
        <v>300</v>
      </c>
      <c r="F160" s="2" t="s">
        <v>314</v>
      </c>
      <c r="G160" s="2"/>
      <c r="H160" s="10" t="s">
        <v>321</v>
      </c>
      <c r="I160" s="12"/>
      <c r="J160" s="2"/>
      <c r="K160" s="15"/>
    </row>
    <row r="161" spans="1:11" ht="11.4" customHeight="1" x14ac:dyDescent="0.25">
      <c r="A161" s="4" t="s">
        <v>42</v>
      </c>
      <c r="B161" s="2">
        <v>151</v>
      </c>
      <c r="C161" s="3">
        <v>2078</v>
      </c>
      <c r="D161" s="2" t="s">
        <v>156</v>
      </c>
      <c r="E161" s="7" t="s">
        <v>300</v>
      </c>
      <c r="F161" s="2" t="s">
        <v>313</v>
      </c>
      <c r="G161" s="10" t="s">
        <v>313</v>
      </c>
      <c r="H161" s="10"/>
      <c r="I161" s="2"/>
      <c r="J161" s="2"/>
      <c r="K161" s="15"/>
    </row>
    <row r="162" spans="1:11" ht="11.4" customHeight="1" x14ac:dyDescent="0.25">
      <c r="A162" s="4" t="s">
        <v>19</v>
      </c>
      <c r="B162" s="2">
        <v>2371</v>
      </c>
      <c r="C162" s="3">
        <v>2371</v>
      </c>
      <c r="D162" s="2" t="s">
        <v>158</v>
      </c>
      <c r="E162" s="7" t="s">
        <v>302</v>
      </c>
      <c r="F162" s="2" t="s">
        <v>313</v>
      </c>
      <c r="G162" s="10" t="s">
        <v>313</v>
      </c>
      <c r="H162" s="10"/>
      <c r="I162" s="2"/>
      <c r="J162" s="2"/>
      <c r="K162" s="15"/>
    </row>
    <row r="163" spans="1:11" ht="11.4" customHeight="1" x14ac:dyDescent="0.25">
      <c r="A163" s="4" t="s">
        <v>6</v>
      </c>
      <c r="B163" s="2">
        <v>2269</v>
      </c>
      <c r="C163" s="3">
        <v>2269</v>
      </c>
      <c r="D163" s="2" t="s">
        <v>157</v>
      </c>
      <c r="E163" s="7" t="s">
        <v>300</v>
      </c>
      <c r="F163" s="2" t="s">
        <v>313</v>
      </c>
      <c r="G163" s="10" t="s">
        <v>313</v>
      </c>
      <c r="H163" s="10"/>
      <c r="I163" s="2"/>
      <c r="J163" s="2"/>
      <c r="K163" s="15"/>
    </row>
    <row r="164" spans="1:11" ht="11.4" customHeight="1" x14ac:dyDescent="0.25">
      <c r="A164" s="4" t="s">
        <v>6</v>
      </c>
      <c r="B164" s="2">
        <v>144</v>
      </c>
      <c r="C164" s="3">
        <v>144</v>
      </c>
      <c r="D164" s="2" t="s">
        <v>159</v>
      </c>
      <c r="E164" s="7" t="s">
        <v>305</v>
      </c>
      <c r="F164" s="2" t="s">
        <v>314</v>
      </c>
      <c r="G164" s="2"/>
      <c r="H164" s="10" t="s">
        <v>321</v>
      </c>
      <c r="I164" s="2"/>
      <c r="J164" s="2"/>
      <c r="K164" s="15"/>
    </row>
    <row r="165" spans="1:11" ht="11.4" customHeight="1" x14ac:dyDescent="0.25">
      <c r="A165" s="4" t="s">
        <v>4</v>
      </c>
      <c r="B165" s="2">
        <v>142</v>
      </c>
      <c r="C165" s="3">
        <v>142</v>
      </c>
      <c r="D165" s="2" t="s">
        <v>160</v>
      </c>
      <c r="E165" s="7" t="s">
        <v>303</v>
      </c>
      <c r="F165" s="2" t="s">
        <v>314</v>
      </c>
      <c r="G165" s="2"/>
      <c r="H165" s="10"/>
      <c r="I165" s="10" t="s">
        <v>322</v>
      </c>
      <c r="J165" s="2"/>
      <c r="K165" s="15"/>
    </row>
    <row r="166" spans="1:11" ht="11.4" customHeight="1" x14ac:dyDescent="0.25">
      <c r="A166" s="4" t="s">
        <v>43</v>
      </c>
      <c r="B166" s="2">
        <v>90</v>
      </c>
      <c r="C166" s="3">
        <v>90</v>
      </c>
      <c r="D166" s="2" t="s">
        <v>161</v>
      </c>
      <c r="E166" s="7" t="s">
        <v>303</v>
      </c>
      <c r="F166" s="2" t="s">
        <v>314</v>
      </c>
      <c r="G166" s="2"/>
      <c r="H166" s="10"/>
      <c r="I166" s="10" t="s">
        <v>322</v>
      </c>
      <c r="J166" s="2"/>
      <c r="K166" s="15"/>
    </row>
    <row r="167" spans="1:11" ht="11.4" customHeight="1" x14ac:dyDescent="0.25">
      <c r="A167" s="4" t="s">
        <v>43</v>
      </c>
      <c r="B167" s="2">
        <v>90</v>
      </c>
      <c r="C167" s="3">
        <v>90</v>
      </c>
      <c r="D167" s="2" t="s">
        <v>161</v>
      </c>
      <c r="E167" s="7" t="s">
        <v>302</v>
      </c>
      <c r="F167" s="2" t="s">
        <v>314</v>
      </c>
      <c r="G167" s="2"/>
      <c r="H167" s="10" t="s">
        <v>321</v>
      </c>
      <c r="I167" s="2"/>
      <c r="J167" s="2"/>
      <c r="K167" s="15"/>
    </row>
    <row r="168" spans="1:11" ht="11.4" customHeight="1" x14ac:dyDescent="0.25">
      <c r="A168" s="4" t="s">
        <v>6</v>
      </c>
      <c r="B168" s="2">
        <v>145</v>
      </c>
      <c r="C168" s="3">
        <v>145</v>
      </c>
      <c r="D168" s="2" t="s">
        <v>162</v>
      </c>
      <c r="E168" s="7" t="s">
        <v>303</v>
      </c>
      <c r="F168" s="2" t="s">
        <v>314</v>
      </c>
      <c r="G168" s="2"/>
      <c r="H168" s="10"/>
      <c r="I168" s="10" t="s">
        <v>322</v>
      </c>
      <c r="J168" s="2"/>
      <c r="K168" s="15"/>
    </row>
    <row r="169" spans="1:11" ht="11.4" customHeight="1" x14ac:dyDescent="0.25">
      <c r="A169" s="4" t="s">
        <v>6</v>
      </c>
      <c r="B169" s="2">
        <v>145</v>
      </c>
      <c r="C169" s="3">
        <v>145</v>
      </c>
      <c r="D169" s="2" t="s">
        <v>162</v>
      </c>
      <c r="E169" s="7" t="s">
        <v>305</v>
      </c>
      <c r="F169" s="2" t="s">
        <v>314</v>
      </c>
      <c r="G169" s="2"/>
      <c r="H169" s="17"/>
      <c r="I169" s="16" t="s">
        <v>322</v>
      </c>
      <c r="J169" s="2"/>
      <c r="K169" s="15"/>
    </row>
    <row r="170" spans="1:11" ht="11.4" customHeight="1" x14ac:dyDescent="0.25">
      <c r="A170" s="4" t="s">
        <v>6</v>
      </c>
      <c r="B170" s="2">
        <v>102</v>
      </c>
      <c r="C170" s="3">
        <v>102</v>
      </c>
      <c r="D170" s="2" t="s">
        <v>163</v>
      </c>
      <c r="E170" s="7" t="s">
        <v>303</v>
      </c>
      <c r="F170" s="2" t="s">
        <v>314</v>
      </c>
      <c r="G170" s="2"/>
      <c r="H170" s="10"/>
      <c r="I170" s="10" t="s">
        <v>322</v>
      </c>
      <c r="J170" s="2"/>
      <c r="K170" s="15"/>
    </row>
    <row r="171" spans="1:11" ht="11.4" customHeight="1" x14ac:dyDescent="0.25">
      <c r="A171" s="4" t="s">
        <v>15</v>
      </c>
      <c r="B171" s="2">
        <v>470</v>
      </c>
      <c r="C171" s="3">
        <v>2116</v>
      </c>
      <c r="D171" s="2" t="s">
        <v>164</v>
      </c>
      <c r="E171" s="7" t="s">
        <v>300</v>
      </c>
      <c r="F171" s="2" t="s">
        <v>313</v>
      </c>
      <c r="G171" s="10" t="s">
        <v>313</v>
      </c>
      <c r="H171" s="10"/>
      <c r="I171" s="2"/>
      <c r="J171" s="2"/>
      <c r="K171" s="15"/>
    </row>
    <row r="172" spans="1:11" ht="11.4" customHeight="1" x14ac:dyDescent="0.25">
      <c r="A172" s="4" t="s">
        <v>14</v>
      </c>
      <c r="B172" s="2">
        <v>4</v>
      </c>
      <c r="C172" s="3">
        <v>4</v>
      </c>
      <c r="D172" s="2" t="s">
        <v>165</v>
      </c>
      <c r="E172" s="7" t="s">
        <v>303</v>
      </c>
      <c r="F172" s="2" t="s">
        <v>314</v>
      </c>
      <c r="G172" s="2"/>
      <c r="H172" s="16" t="s">
        <v>321</v>
      </c>
      <c r="I172" s="12"/>
      <c r="J172" s="2"/>
      <c r="K172" s="15"/>
    </row>
    <row r="173" spans="1:11" ht="11.4" customHeight="1" x14ac:dyDescent="0.25">
      <c r="A173" s="4" t="s">
        <v>14</v>
      </c>
      <c r="B173" s="2">
        <v>4</v>
      </c>
      <c r="C173" s="3">
        <v>4</v>
      </c>
      <c r="D173" s="2" t="s">
        <v>165</v>
      </c>
      <c r="E173" s="7" t="s">
        <v>302</v>
      </c>
      <c r="F173" s="2" t="s">
        <v>314</v>
      </c>
      <c r="G173" s="2"/>
      <c r="H173" s="10" t="s">
        <v>321</v>
      </c>
      <c r="I173" s="2"/>
      <c r="J173" s="2"/>
      <c r="K173" s="15"/>
    </row>
    <row r="174" spans="1:11" ht="11.4" customHeight="1" x14ac:dyDescent="0.25">
      <c r="A174" s="4" t="s">
        <v>14</v>
      </c>
      <c r="B174" s="2">
        <v>470</v>
      </c>
      <c r="C174" s="3">
        <v>470</v>
      </c>
      <c r="D174" s="2" t="s">
        <v>166</v>
      </c>
      <c r="E174" s="7" t="s">
        <v>300</v>
      </c>
      <c r="F174" s="2" t="s">
        <v>314</v>
      </c>
      <c r="G174" s="2"/>
      <c r="H174" s="16" t="s">
        <v>321</v>
      </c>
      <c r="I174" s="12"/>
      <c r="J174" s="2"/>
      <c r="K174" s="19" t="s">
        <v>326</v>
      </c>
    </row>
    <row r="175" spans="1:11" ht="11.4" customHeight="1" x14ac:dyDescent="0.25">
      <c r="A175" s="4" t="s">
        <v>14</v>
      </c>
      <c r="B175" s="2">
        <v>850</v>
      </c>
      <c r="C175" s="3">
        <v>850</v>
      </c>
      <c r="D175" s="2" t="s">
        <v>167</v>
      </c>
      <c r="E175" s="7" t="s">
        <v>300</v>
      </c>
      <c r="F175" s="2" t="s">
        <v>314</v>
      </c>
      <c r="G175" s="2"/>
      <c r="H175" s="10" t="s">
        <v>321</v>
      </c>
      <c r="I175" s="2"/>
      <c r="J175" s="2"/>
      <c r="K175" s="15"/>
    </row>
    <row r="176" spans="1:11" ht="11.4" customHeight="1" x14ac:dyDescent="0.25">
      <c r="A176" s="4" t="s">
        <v>19</v>
      </c>
      <c r="B176" s="2">
        <v>167</v>
      </c>
      <c r="C176" s="3">
        <v>167</v>
      </c>
      <c r="D176" s="2" t="s">
        <v>168</v>
      </c>
      <c r="E176" s="7" t="s">
        <v>298</v>
      </c>
      <c r="F176" s="2" t="s">
        <v>314</v>
      </c>
      <c r="G176" s="12"/>
      <c r="H176" s="10" t="s">
        <v>321</v>
      </c>
      <c r="I176" s="12"/>
      <c r="J176" s="2"/>
      <c r="K176" s="15"/>
    </row>
    <row r="177" spans="1:11" ht="11.4" customHeight="1" x14ac:dyDescent="0.25">
      <c r="A177" s="4" t="s">
        <v>19</v>
      </c>
      <c r="B177" s="2">
        <v>167</v>
      </c>
      <c r="C177" s="3">
        <v>167</v>
      </c>
      <c r="D177" s="2" t="s">
        <v>168</v>
      </c>
      <c r="E177" s="7" t="s">
        <v>299</v>
      </c>
      <c r="F177" s="2" t="s">
        <v>314</v>
      </c>
      <c r="G177" s="2"/>
      <c r="H177" s="10" t="s">
        <v>321</v>
      </c>
      <c r="I177" s="12"/>
      <c r="J177" s="2"/>
      <c r="K177" s="15"/>
    </row>
    <row r="178" spans="1:11" ht="11.4" customHeight="1" x14ac:dyDescent="0.25">
      <c r="A178" s="4" t="s">
        <v>19</v>
      </c>
      <c r="B178" s="2">
        <v>167</v>
      </c>
      <c r="C178" s="3">
        <v>2416</v>
      </c>
      <c r="D178" s="2" t="s">
        <v>169</v>
      </c>
      <c r="E178" s="7" t="s">
        <v>299</v>
      </c>
      <c r="F178" s="2" t="s">
        <v>313</v>
      </c>
      <c r="G178" s="10" t="s">
        <v>313</v>
      </c>
      <c r="H178" s="10"/>
      <c r="I178" s="2"/>
      <c r="J178" s="2"/>
      <c r="K178" s="15"/>
    </row>
    <row r="179" spans="1:11" ht="11.4" customHeight="1" x14ac:dyDescent="0.25">
      <c r="A179" s="4" t="s">
        <v>19</v>
      </c>
      <c r="B179" s="2">
        <v>292</v>
      </c>
      <c r="C179" s="3">
        <v>292</v>
      </c>
      <c r="D179" s="2" t="s">
        <v>170</v>
      </c>
      <c r="E179" s="7" t="s">
        <v>298</v>
      </c>
      <c r="F179" s="2" t="s">
        <v>314</v>
      </c>
      <c r="G179" s="12"/>
      <c r="H179" s="10" t="s">
        <v>321</v>
      </c>
      <c r="I179" s="12"/>
      <c r="J179" s="2"/>
      <c r="K179" s="15"/>
    </row>
    <row r="180" spans="1:11" ht="11.4" customHeight="1" x14ac:dyDescent="0.25">
      <c r="A180" s="4" t="s">
        <v>19</v>
      </c>
      <c r="B180" s="2">
        <v>292</v>
      </c>
      <c r="C180" s="3">
        <v>292</v>
      </c>
      <c r="D180" s="2" t="s">
        <v>170</v>
      </c>
      <c r="E180" s="7" t="s">
        <v>299</v>
      </c>
      <c r="F180" s="2" t="s">
        <v>314</v>
      </c>
      <c r="G180" s="2"/>
      <c r="H180" s="10" t="s">
        <v>321</v>
      </c>
      <c r="I180" s="12"/>
      <c r="J180" s="2"/>
      <c r="K180" s="15"/>
    </row>
    <row r="181" spans="1:11" ht="11.4" customHeight="1" x14ac:dyDescent="0.25">
      <c r="A181" s="4" t="s">
        <v>19</v>
      </c>
      <c r="B181" s="2">
        <v>292</v>
      </c>
      <c r="C181" s="3">
        <v>2320</v>
      </c>
      <c r="D181" s="2" t="s">
        <v>171</v>
      </c>
      <c r="E181" s="7" t="s">
        <v>299</v>
      </c>
      <c r="F181" s="2" t="s">
        <v>313</v>
      </c>
      <c r="G181" s="10" t="s">
        <v>313</v>
      </c>
      <c r="H181" s="10"/>
      <c r="I181" s="2"/>
      <c r="J181" s="2"/>
      <c r="K181" s="15"/>
    </row>
    <row r="182" spans="1:11" ht="11.4" customHeight="1" x14ac:dyDescent="0.25">
      <c r="A182" s="4" t="s">
        <v>44</v>
      </c>
      <c r="B182" s="2">
        <v>198</v>
      </c>
      <c r="C182" s="3">
        <v>2329</v>
      </c>
      <c r="D182" s="2" t="s">
        <v>172</v>
      </c>
      <c r="E182" s="7" t="s">
        <v>299</v>
      </c>
      <c r="F182" s="2" t="s">
        <v>313</v>
      </c>
      <c r="G182" s="10" t="s">
        <v>313</v>
      </c>
      <c r="H182" s="10"/>
      <c r="I182" s="2"/>
      <c r="J182" s="2"/>
      <c r="K182" s="15"/>
    </row>
    <row r="183" spans="1:11" ht="11.4" customHeight="1" x14ac:dyDescent="0.25">
      <c r="A183" s="4" t="s">
        <v>44</v>
      </c>
      <c r="B183" s="2">
        <v>198</v>
      </c>
      <c r="C183" s="3">
        <v>198</v>
      </c>
      <c r="D183" s="2" t="s">
        <v>173</v>
      </c>
      <c r="E183" s="7" t="s">
        <v>298</v>
      </c>
      <c r="F183" s="2" t="s">
        <v>314</v>
      </c>
      <c r="G183" s="12"/>
      <c r="H183" s="10" t="s">
        <v>321</v>
      </c>
      <c r="I183" s="12"/>
      <c r="J183" s="2"/>
      <c r="K183" s="15"/>
    </row>
    <row r="184" spans="1:11" ht="11.4" customHeight="1" x14ac:dyDescent="0.25">
      <c r="A184" s="4" t="s">
        <v>44</v>
      </c>
      <c r="B184" s="2">
        <v>198</v>
      </c>
      <c r="C184" s="3">
        <v>198</v>
      </c>
      <c r="D184" s="2" t="s">
        <v>173</v>
      </c>
      <c r="E184" s="7" t="s">
        <v>299</v>
      </c>
      <c r="F184" s="2" t="s">
        <v>314</v>
      </c>
      <c r="G184" s="2"/>
      <c r="H184" s="10" t="s">
        <v>321</v>
      </c>
      <c r="I184" s="12"/>
      <c r="J184" s="2"/>
      <c r="K184" s="15"/>
    </row>
    <row r="185" spans="1:11" ht="11.4" customHeight="1" x14ac:dyDescent="0.25">
      <c r="A185" s="4" t="s">
        <v>1</v>
      </c>
      <c r="B185" s="2">
        <v>898</v>
      </c>
      <c r="C185" s="3">
        <v>2337</v>
      </c>
      <c r="D185" s="2" t="s">
        <v>174</v>
      </c>
      <c r="E185" s="7" t="s">
        <v>297</v>
      </c>
      <c r="F185" s="2" t="s">
        <v>313</v>
      </c>
      <c r="G185" s="10" t="s">
        <v>313</v>
      </c>
      <c r="H185" s="10"/>
      <c r="I185" s="2"/>
      <c r="J185" s="2"/>
      <c r="K185" s="15"/>
    </row>
    <row r="186" spans="1:11" ht="11.4" customHeight="1" x14ac:dyDescent="0.25">
      <c r="A186" s="4" t="s">
        <v>1</v>
      </c>
      <c r="B186" s="2">
        <v>898</v>
      </c>
      <c r="C186" s="3">
        <v>898</v>
      </c>
      <c r="D186" s="2" t="s">
        <v>175</v>
      </c>
      <c r="E186" s="7" t="s">
        <v>298</v>
      </c>
      <c r="F186" s="2" t="s">
        <v>314</v>
      </c>
      <c r="G186" s="12"/>
      <c r="H186" s="10" t="s">
        <v>321</v>
      </c>
      <c r="I186" s="12"/>
      <c r="J186" s="2"/>
      <c r="K186" s="15"/>
    </row>
    <row r="187" spans="1:11" ht="11.4" customHeight="1" x14ac:dyDescent="0.25">
      <c r="A187" s="4" t="s">
        <v>1</v>
      </c>
      <c r="B187" s="2">
        <v>898</v>
      </c>
      <c r="C187" s="3">
        <v>898</v>
      </c>
      <c r="D187" s="2" t="s">
        <v>175</v>
      </c>
      <c r="E187" s="7" t="s">
        <v>299</v>
      </c>
      <c r="F187" s="2" t="s">
        <v>314</v>
      </c>
      <c r="G187" s="2"/>
      <c r="H187" s="10" t="s">
        <v>321</v>
      </c>
      <c r="I187" s="12"/>
      <c r="J187" s="2"/>
      <c r="K187" s="15"/>
    </row>
    <row r="188" spans="1:11" ht="11.4" customHeight="1" x14ac:dyDescent="0.25">
      <c r="A188" s="4" t="s">
        <v>19</v>
      </c>
      <c r="B188" s="2">
        <v>165</v>
      </c>
      <c r="C188" s="3">
        <v>2407</v>
      </c>
      <c r="D188" s="2" t="s">
        <v>176</v>
      </c>
      <c r="E188" s="7" t="s">
        <v>299</v>
      </c>
      <c r="F188" s="2" t="s">
        <v>313</v>
      </c>
      <c r="G188" s="10" t="s">
        <v>313</v>
      </c>
      <c r="H188" s="10"/>
      <c r="I188" s="2"/>
      <c r="J188" s="2"/>
      <c r="K188" s="15"/>
    </row>
    <row r="189" spans="1:11" ht="11.4" customHeight="1" x14ac:dyDescent="0.25">
      <c r="A189" s="4" t="s">
        <v>19</v>
      </c>
      <c r="B189" s="2">
        <v>165</v>
      </c>
      <c r="C189" s="3">
        <v>165</v>
      </c>
      <c r="D189" s="2" t="s">
        <v>177</v>
      </c>
      <c r="E189" s="7" t="s">
        <v>298</v>
      </c>
      <c r="F189" s="2" t="s">
        <v>314</v>
      </c>
      <c r="G189" s="12"/>
      <c r="H189" s="10" t="s">
        <v>321</v>
      </c>
      <c r="I189" s="12"/>
      <c r="J189" s="2"/>
      <c r="K189" s="15"/>
    </row>
    <row r="190" spans="1:11" ht="11.4" customHeight="1" x14ac:dyDescent="0.25">
      <c r="A190" s="4" t="s">
        <v>19</v>
      </c>
      <c r="B190" s="2">
        <v>165</v>
      </c>
      <c r="C190" s="3">
        <v>165</v>
      </c>
      <c r="D190" s="2" t="s">
        <v>177</v>
      </c>
      <c r="E190" s="7" t="s">
        <v>299</v>
      </c>
      <c r="F190" s="2" t="s">
        <v>314</v>
      </c>
      <c r="G190" s="2"/>
      <c r="H190" s="10" t="s">
        <v>321</v>
      </c>
      <c r="I190" s="12"/>
      <c r="J190" s="2"/>
      <c r="K190" s="15"/>
    </row>
    <row r="191" spans="1:11" ht="11.4" customHeight="1" x14ac:dyDescent="0.25">
      <c r="A191" s="4" t="s">
        <v>1</v>
      </c>
      <c r="B191" s="2">
        <v>159</v>
      </c>
      <c r="C191" s="3">
        <v>159</v>
      </c>
      <c r="D191" s="2" t="s">
        <v>178</v>
      </c>
      <c r="E191" s="7" t="s">
        <v>298</v>
      </c>
      <c r="F191" s="2" t="s">
        <v>314</v>
      </c>
      <c r="G191" s="12"/>
      <c r="H191" s="10" t="s">
        <v>321</v>
      </c>
      <c r="I191" s="12"/>
      <c r="J191" s="2"/>
      <c r="K191" s="15"/>
    </row>
    <row r="192" spans="1:11" ht="11.4" customHeight="1" x14ac:dyDescent="0.25">
      <c r="A192" s="4" t="s">
        <v>1</v>
      </c>
      <c r="B192" s="2">
        <v>159</v>
      </c>
      <c r="C192" s="3">
        <v>159</v>
      </c>
      <c r="D192" s="2" t="s">
        <v>178</v>
      </c>
      <c r="E192" s="7" t="s">
        <v>299</v>
      </c>
      <c r="F192" s="2" t="s">
        <v>314</v>
      </c>
      <c r="G192" s="12"/>
      <c r="H192" s="10" t="s">
        <v>321</v>
      </c>
      <c r="I192" s="12"/>
      <c r="J192" s="2"/>
      <c r="K192" s="15"/>
    </row>
    <row r="193" spans="1:11" ht="11.4" customHeight="1" x14ac:dyDescent="0.25">
      <c r="A193" s="4" t="s">
        <v>45</v>
      </c>
      <c r="B193" s="2">
        <v>165</v>
      </c>
      <c r="C193" s="3">
        <v>948</v>
      </c>
      <c r="D193" s="18" t="s">
        <v>179</v>
      </c>
      <c r="E193" s="7" t="s">
        <v>298</v>
      </c>
      <c r="F193" s="2" t="s">
        <v>314</v>
      </c>
      <c r="G193" s="2"/>
      <c r="H193" s="10" t="s">
        <v>321</v>
      </c>
      <c r="I193" s="2"/>
      <c r="J193" s="2"/>
      <c r="K193" s="15"/>
    </row>
    <row r="194" spans="1:11" ht="11.4" customHeight="1" x14ac:dyDescent="0.25">
      <c r="A194" s="4" t="s">
        <v>37</v>
      </c>
      <c r="B194" s="2">
        <v>165</v>
      </c>
      <c r="C194" s="3">
        <v>944</v>
      </c>
      <c r="D194" s="18" t="s">
        <v>180</v>
      </c>
      <c r="E194" s="7" t="s">
        <v>299</v>
      </c>
      <c r="F194" s="2" t="s">
        <v>314</v>
      </c>
      <c r="G194" s="2"/>
      <c r="H194" s="10" t="s">
        <v>321</v>
      </c>
      <c r="I194" s="2"/>
      <c r="J194" s="2"/>
      <c r="K194" s="15"/>
    </row>
    <row r="195" spans="1:11" ht="11.4" customHeight="1" x14ac:dyDescent="0.25">
      <c r="A195" s="4" t="s">
        <v>35</v>
      </c>
      <c r="B195" s="2">
        <v>165</v>
      </c>
      <c r="C195" s="3">
        <v>835</v>
      </c>
      <c r="D195" s="18" t="s">
        <v>181</v>
      </c>
      <c r="E195" s="7" t="s">
        <v>299</v>
      </c>
      <c r="F195" s="2" t="s">
        <v>314</v>
      </c>
      <c r="G195" s="2"/>
      <c r="H195" s="10" t="s">
        <v>321</v>
      </c>
      <c r="I195" s="2"/>
      <c r="J195" s="2"/>
      <c r="K195" s="15"/>
    </row>
    <row r="196" spans="1:11" ht="11.4" customHeight="1" x14ac:dyDescent="0.25">
      <c r="A196" s="4" t="s">
        <v>36</v>
      </c>
      <c r="B196" s="2">
        <v>165</v>
      </c>
      <c r="C196" s="3">
        <v>274</v>
      </c>
      <c r="D196" s="18" t="s">
        <v>182</v>
      </c>
      <c r="E196" s="7" t="s">
        <v>298</v>
      </c>
      <c r="F196" s="2" t="s">
        <v>314</v>
      </c>
      <c r="G196" s="2"/>
      <c r="H196" s="10" t="s">
        <v>321</v>
      </c>
      <c r="I196" s="2"/>
      <c r="J196" s="2"/>
      <c r="K196" s="15"/>
    </row>
    <row r="197" spans="1:11" ht="11.4" customHeight="1" x14ac:dyDescent="0.25">
      <c r="A197" s="4" t="s">
        <v>36</v>
      </c>
      <c r="B197" s="2">
        <v>165</v>
      </c>
      <c r="C197" s="3">
        <v>274</v>
      </c>
      <c r="D197" s="18" t="s">
        <v>182</v>
      </c>
      <c r="E197" s="7" t="s">
        <v>299</v>
      </c>
      <c r="F197" s="2" t="s">
        <v>314</v>
      </c>
      <c r="G197" s="2"/>
      <c r="H197" s="10" t="s">
        <v>321</v>
      </c>
      <c r="I197" s="2"/>
      <c r="J197" s="2"/>
      <c r="K197" s="15"/>
    </row>
    <row r="198" spans="1:11" ht="11.4" customHeight="1" x14ac:dyDescent="0.25">
      <c r="A198" s="4" t="s">
        <v>1</v>
      </c>
      <c r="B198" s="2">
        <v>170</v>
      </c>
      <c r="C198" s="3">
        <v>2338</v>
      </c>
      <c r="D198" s="2" t="s">
        <v>183</v>
      </c>
      <c r="E198" s="7" t="s">
        <v>297</v>
      </c>
      <c r="F198" s="2" t="s">
        <v>313</v>
      </c>
      <c r="G198" s="10" t="s">
        <v>313</v>
      </c>
      <c r="H198" s="10"/>
      <c r="I198" s="2"/>
      <c r="J198" s="2"/>
      <c r="K198" s="15"/>
    </row>
    <row r="199" spans="1:11" ht="11.4" customHeight="1" x14ac:dyDescent="0.25">
      <c r="A199" s="4" t="s">
        <v>1</v>
      </c>
      <c r="B199" s="2">
        <v>170</v>
      </c>
      <c r="C199" s="3">
        <v>170</v>
      </c>
      <c r="D199" s="2" t="s">
        <v>184</v>
      </c>
      <c r="E199" s="7" t="s">
        <v>298</v>
      </c>
      <c r="F199" s="2" t="s">
        <v>314</v>
      </c>
      <c r="G199" s="12"/>
      <c r="H199" s="10" t="s">
        <v>321</v>
      </c>
      <c r="I199" s="12"/>
      <c r="J199" s="2"/>
      <c r="K199" s="15"/>
    </row>
    <row r="200" spans="1:11" ht="11.4" customHeight="1" x14ac:dyDescent="0.25">
      <c r="A200" s="4" t="s">
        <v>1</v>
      </c>
      <c r="B200" s="2">
        <v>170</v>
      </c>
      <c r="C200" s="3">
        <v>170</v>
      </c>
      <c r="D200" s="2" t="s">
        <v>184</v>
      </c>
      <c r="E200" s="7" t="s">
        <v>299</v>
      </c>
      <c r="F200" s="2" t="s">
        <v>314</v>
      </c>
      <c r="G200" s="2"/>
      <c r="H200" s="10" t="s">
        <v>321</v>
      </c>
      <c r="I200" s="12"/>
      <c r="J200" s="2"/>
      <c r="K200" s="15"/>
    </row>
    <row r="201" spans="1:11" ht="11.4" customHeight="1" x14ac:dyDescent="0.25">
      <c r="A201" s="4" t="s">
        <v>19</v>
      </c>
      <c r="B201" s="2">
        <v>173</v>
      </c>
      <c r="C201" s="3">
        <v>173</v>
      </c>
      <c r="D201" s="2" t="s">
        <v>185</v>
      </c>
      <c r="E201" s="7" t="s">
        <v>298</v>
      </c>
      <c r="F201" s="2" t="s">
        <v>314</v>
      </c>
      <c r="G201" s="12"/>
      <c r="H201" s="10" t="s">
        <v>321</v>
      </c>
      <c r="I201" s="12"/>
      <c r="J201" s="2"/>
      <c r="K201" s="15"/>
    </row>
    <row r="202" spans="1:11" ht="11.4" customHeight="1" x14ac:dyDescent="0.25">
      <c r="A202" s="4" t="s">
        <v>19</v>
      </c>
      <c r="B202" s="2">
        <v>173</v>
      </c>
      <c r="C202" s="3">
        <v>173</v>
      </c>
      <c r="D202" s="2" t="s">
        <v>185</v>
      </c>
      <c r="E202" s="7" t="s">
        <v>299</v>
      </c>
      <c r="F202" s="2" t="s">
        <v>314</v>
      </c>
      <c r="G202" s="2"/>
      <c r="H202" s="10" t="s">
        <v>321</v>
      </c>
      <c r="I202" s="12"/>
      <c r="J202" s="2"/>
      <c r="K202" s="15"/>
    </row>
    <row r="203" spans="1:11" ht="11.4" customHeight="1" x14ac:dyDescent="0.25">
      <c r="A203" s="4" t="s">
        <v>19</v>
      </c>
      <c r="B203" s="2">
        <v>173</v>
      </c>
      <c r="C203" s="3">
        <v>2230</v>
      </c>
      <c r="D203" s="2" t="s">
        <v>186</v>
      </c>
      <c r="E203" s="7" t="s">
        <v>299</v>
      </c>
      <c r="F203" s="2" t="s">
        <v>313</v>
      </c>
      <c r="G203" s="10" t="s">
        <v>313</v>
      </c>
      <c r="H203" s="10"/>
      <c r="I203" s="2"/>
      <c r="J203" s="2"/>
      <c r="K203" s="15"/>
    </row>
    <row r="204" spans="1:11" ht="11.4" customHeight="1" x14ac:dyDescent="0.25">
      <c r="A204" s="4" t="s">
        <v>38</v>
      </c>
      <c r="B204" s="2">
        <v>82</v>
      </c>
      <c r="C204" s="3">
        <v>276</v>
      </c>
      <c r="D204" s="18" t="s">
        <v>187</v>
      </c>
      <c r="E204" s="7" t="s">
        <v>298</v>
      </c>
      <c r="F204" s="2" t="s">
        <v>314</v>
      </c>
      <c r="G204" s="2"/>
      <c r="H204" s="10" t="s">
        <v>321</v>
      </c>
      <c r="I204" s="2"/>
      <c r="J204" s="2"/>
      <c r="K204" s="15"/>
    </row>
    <row r="205" spans="1:11" ht="11.4" customHeight="1" x14ac:dyDescent="0.25">
      <c r="A205" s="4" t="s">
        <v>38</v>
      </c>
      <c r="B205" s="2">
        <v>82</v>
      </c>
      <c r="C205" s="3">
        <v>276</v>
      </c>
      <c r="D205" s="18" t="s">
        <v>187</v>
      </c>
      <c r="E205" s="7" t="s">
        <v>299</v>
      </c>
      <c r="F205" s="2" t="s">
        <v>314</v>
      </c>
      <c r="G205" s="2"/>
      <c r="H205" s="10" t="s">
        <v>321</v>
      </c>
      <c r="I205" s="2"/>
      <c r="J205" s="2"/>
      <c r="K205" s="15"/>
    </row>
    <row r="206" spans="1:11" ht="11.4" customHeight="1" x14ac:dyDescent="0.25">
      <c r="A206" s="4" t="s">
        <v>37</v>
      </c>
      <c r="B206" s="2">
        <v>82</v>
      </c>
      <c r="C206" s="3">
        <v>947</v>
      </c>
      <c r="D206" s="18" t="s">
        <v>188</v>
      </c>
      <c r="E206" s="7" t="s">
        <v>299</v>
      </c>
      <c r="F206" s="2" t="s">
        <v>314</v>
      </c>
      <c r="G206" s="2"/>
      <c r="H206" s="10" t="s">
        <v>321</v>
      </c>
      <c r="I206" s="2"/>
      <c r="J206" s="2"/>
      <c r="K206" s="15"/>
    </row>
    <row r="207" spans="1:11" ht="11.4" customHeight="1" x14ac:dyDescent="0.25">
      <c r="A207" s="4" t="s">
        <v>44</v>
      </c>
      <c r="B207" s="2">
        <v>82</v>
      </c>
      <c r="C207" s="3">
        <v>2225</v>
      </c>
      <c r="D207" s="2" t="s">
        <v>189</v>
      </c>
      <c r="E207" s="7" t="s">
        <v>299</v>
      </c>
      <c r="F207" s="2" t="s">
        <v>313</v>
      </c>
      <c r="G207" s="10" t="s">
        <v>313</v>
      </c>
      <c r="H207" s="10"/>
      <c r="I207" s="2"/>
      <c r="J207" s="2"/>
      <c r="K207" s="15"/>
    </row>
    <row r="208" spans="1:11" ht="11.4" customHeight="1" x14ac:dyDescent="0.25">
      <c r="A208" s="4" t="s">
        <v>44</v>
      </c>
      <c r="B208" s="2">
        <v>82</v>
      </c>
      <c r="C208" s="3">
        <v>82</v>
      </c>
      <c r="D208" s="2" t="s">
        <v>190</v>
      </c>
      <c r="E208" s="7" t="s">
        <v>298</v>
      </c>
      <c r="F208" s="2" t="s">
        <v>314</v>
      </c>
      <c r="G208" s="12"/>
      <c r="H208" s="10" t="s">
        <v>321</v>
      </c>
      <c r="I208" s="12"/>
      <c r="J208" s="2"/>
      <c r="K208" s="15"/>
    </row>
    <row r="209" spans="1:11" ht="11.4" customHeight="1" x14ac:dyDescent="0.25">
      <c r="A209" s="4" t="s">
        <v>44</v>
      </c>
      <c r="B209" s="2">
        <v>82</v>
      </c>
      <c r="C209" s="3">
        <v>82</v>
      </c>
      <c r="D209" s="2" t="s">
        <v>190</v>
      </c>
      <c r="E209" s="7" t="s">
        <v>299</v>
      </c>
      <c r="F209" s="2" t="s">
        <v>314</v>
      </c>
      <c r="G209" s="2"/>
      <c r="H209" s="10" t="s">
        <v>321</v>
      </c>
      <c r="I209" s="12"/>
      <c r="J209" s="2"/>
      <c r="K209" s="15"/>
    </row>
    <row r="210" spans="1:11" ht="11.4" customHeight="1" x14ac:dyDescent="0.25">
      <c r="A210" s="4" t="s">
        <v>19</v>
      </c>
      <c r="B210" s="2">
        <v>163</v>
      </c>
      <c r="C210" s="3">
        <v>2228</v>
      </c>
      <c r="D210" s="2" t="s">
        <v>191</v>
      </c>
      <c r="E210" s="7" t="s">
        <v>299</v>
      </c>
      <c r="F210" s="2" t="s">
        <v>313</v>
      </c>
      <c r="G210" s="10" t="s">
        <v>313</v>
      </c>
      <c r="H210" s="10"/>
      <c r="I210" s="2"/>
      <c r="J210" s="2"/>
      <c r="K210" s="15"/>
    </row>
    <row r="211" spans="1:11" ht="11.4" customHeight="1" x14ac:dyDescent="0.25">
      <c r="A211" s="4" t="s">
        <v>19</v>
      </c>
      <c r="B211" s="2">
        <v>163</v>
      </c>
      <c r="C211" s="3">
        <v>163</v>
      </c>
      <c r="D211" s="2" t="s">
        <v>192</v>
      </c>
      <c r="E211" s="7" t="s">
        <v>298</v>
      </c>
      <c r="F211" s="2" t="s">
        <v>314</v>
      </c>
      <c r="G211" s="12"/>
      <c r="H211" s="10" t="s">
        <v>321</v>
      </c>
      <c r="I211" s="12"/>
      <c r="J211" s="2"/>
      <c r="K211" s="15"/>
    </row>
    <row r="212" spans="1:11" ht="11.4" customHeight="1" x14ac:dyDescent="0.25">
      <c r="A212" s="4" t="s">
        <v>19</v>
      </c>
      <c r="B212" s="2">
        <v>163</v>
      </c>
      <c r="C212" s="3">
        <v>163</v>
      </c>
      <c r="D212" s="2" t="s">
        <v>192</v>
      </c>
      <c r="E212" s="7" t="s">
        <v>299</v>
      </c>
      <c r="F212" s="2" t="s">
        <v>314</v>
      </c>
      <c r="G212" s="2"/>
      <c r="H212" s="10" t="s">
        <v>321</v>
      </c>
      <c r="I212" s="12"/>
      <c r="J212" s="2"/>
      <c r="K212" s="15"/>
    </row>
    <row r="213" spans="1:11" ht="11.4" customHeight="1" x14ac:dyDescent="0.25">
      <c r="A213" s="4" t="s">
        <v>44</v>
      </c>
      <c r="B213" s="2">
        <v>235</v>
      </c>
      <c r="C213" s="3">
        <v>235</v>
      </c>
      <c r="D213" s="2" t="s">
        <v>193</v>
      </c>
      <c r="E213" s="7" t="s">
        <v>298</v>
      </c>
      <c r="F213" s="2" t="s">
        <v>314</v>
      </c>
      <c r="G213" s="12"/>
      <c r="H213" s="10" t="s">
        <v>321</v>
      </c>
      <c r="I213" s="12"/>
      <c r="J213" s="2"/>
      <c r="K213" s="15"/>
    </row>
    <row r="214" spans="1:11" ht="11.4" customHeight="1" x14ac:dyDescent="0.25">
      <c r="A214" s="4" t="s">
        <v>44</v>
      </c>
      <c r="B214" s="2">
        <v>235</v>
      </c>
      <c r="C214" s="3">
        <v>235</v>
      </c>
      <c r="D214" s="2" t="s">
        <v>193</v>
      </c>
      <c r="E214" s="7" t="s">
        <v>299</v>
      </c>
      <c r="F214" s="2" t="s">
        <v>314</v>
      </c>
      <c r="G214" s="12"/>
      <c r="H214" s="10" t="s">
        <v>321</v>
      </c>
      <c r="I214" s="12"/>
      <c r="J214" s="2"/>
      <c r="K214" s="15"/>
    </row>
    <row r="215" spans="1:11" ht="11.4" customHeight="1" x14ac:dyDescent="0.25">
      <c r="A215" s="4" t="s">
        <v>44</v>
      </c>
      <c r="B215" s="2">
        <v>929</v>
      </c>
      <c r="C215" s="3">
        <v>929</v>
      </c>
      <c r="D215" s="2" t="s">
        <v>194</v>
      </c>
      <c r="E215" s="7" t="s">
        <v>298</v>
      </c>
      <c r="F215" s="2" t="s">
        <v>314</v>
      </c>
      <c r="G215" s="12"/>
      <c r="H215" s="10" t="s">
        <v>321</v>
      </c>
      <c r="I215" s="12"/>
      <c r="J215" s="2"/>
      <c r="K215" s="15"/>
    </row>
    <row r="216" spans="1:11" ht="11.4" customHeight="1" x14ac:dyDescent="0.25">
      <c r="A216" s="4" t="s">
        <v>44</v>
      </c>
      <c r="B216" s="2">
        <v>929</v>
      </c>
      <c r="C216" s="3">
        <v>929</v>
      </c>
      <c r="D216" s="2" t="s">
        <v>194</v>
      </c>
      <c r="E216" s="7" t="s">
        <v>299</v>
      </c>
      <c r="F216" s="2" t="s">
        <v>314</v>
      </c>
      <c r="G216" s="12"/>
      <c r="H216" s="10" t="s">
        <v>321</v>
      </c>
      <c r="I216" s="12"/>
      <c r="J216" s="2"/>
      <c r="K216" s="15"/>
    </row>
    <row r="217" spans="1:11" ht="11.4" customHeight="1" x14ac:dyDescent="0.25">
      <c r="A217" s="4" t="s">
        <v>1</v>
      </c>
      <c r="B217" s="2">
        <v>831</v>
      </c>
      <c r="C217" s="3">
        <v>831</v>
      </c>
      <c r="D217" s="2" t="s">
        <v>195</v>
      </c>
      <c r="E217" s="7" t="s">
        <v>298</v>
      </c>
      <c r="F217" s="2" t="s">
        <v>314</v>
      </c>
      <c r="G217" s="12"/>
      <c r="H217" s="10" t="s">
        <v>321</v>
      </c>
      <c r="I217" s="12"/>
      <c r="J217" s="2"/>
      <c r="K217" s="15"/>
    </row>
    <row r="218" spans="1:11" ht="11.4" customHeight="1" x14ac:dyDescent="0.25">
      <c r="A218" s="4" t="s">
        <v>1</v>
      </c>
      <c r="B218" s="2">
        <v>831</v>
      </c>
      <c r="C218" s="3">
        <v>831</v>
      </c>
      <c r="D218" s="2" t="s">
        <v>195</v>
      </c>
      <c r="E218" s="7" t="s">
        <v>299</v>
      </c>
      <c r="F218" s="2" t="s">
        <v>314</v>
      </c>
      <c r="G218" s="12"/>
      <c r="H218" s="10" t="s">
        <v>321</v>
      </c>
      <c r="I218" s="12"/>
      <c r="J218" s="2"/>
      <c r="K218" s="15"/>
    </row>
    <row r="219" spans="1:11" ht="11.4" customHeight="1" x14ac:dyDescent="0.25">
      <c r="A219" s="4" t="s">
        <v>19</v>
      </c>
      <c r="B219" s="2">
        <v>164</v>
      </c>
      <c r="C219" s="3">
        <v>164</v>
      </c>
      <c r="D219" s="2" t="s">
        <v>196</v>
      </c>
      <c r="E219" s="7" t="s">
        <v>298</v>
      </c>
      <c r="F219" s="2" t="s">
        <v>314</v>
      </c>
      <c r="G219" s="12"/>
      <c r="H219" s="10" t="s">
        <v>321</v>
      </c>
      <c r="I219" s="12"/>
      <c r="J219" s="2"/>
      <c r="K219" s="15"/>
    </row>
    <row r="220" spans="1:11" ht="11.4" customHeight="1" x14ac:dyDescent="0.25">
      <c r="A220" s="4" t="s">
        <v>19</v>
      </c>
      <c r="B220" s="2">
        <v>164</v>
      </c>
      <c r="C220" s="3">
        <v>164</v>
      </c>
      <c r="D220" s="2" t="s">
        <v>196</v>
      </c>
      <c r="E220" s="7" t="s">
        <v>299</v>
      </c>
      <c r="F220" s="2" t="s">
        <v>314</v>
      </c>
      <c r="G220" s="2"/>
      <c r="H220" s="10" t="s">
        <v>321</v>
      </c>
      <c r="I220" s="12"/>
      <c r="J220" s="2"/>
      <c r="K220" s="15"/>
    </row>
    <row r="221" spans="1:11" ht="11.4" customHeight="1" x14ac:dyDescent="0.25">
      <c r="A221" s="4" t="s">
        <v>19</v>
      </c>
      <c r="B221" s="2">
        <v>164</v>
      </c>
      <c r="C221" s="3">
        <v>2273</v>
      </c>
      <c r="D221" s="2" t="s">
        <v>197</v>
      </c>
      <c r="E221" s="7" t="s">
        <v>299</v>
      </c>
      <c r="F221" s="2" t="s">
        <v>313</v>
      </c>
      <c r="G221" s="10" t="s">
        <v>313</v>
      </c>
      <c r="H221" s="10"/>
      <c r="I221" s="2"/>
      <c r="J221" s="2"/>
      <c r="K221" s="15"/>
    </row>
    <row r="222" spans="1:11" ht="11.4" customHeight="1" x14ac:dyDescent="0.25">
      <c r="A222" s="4" t="s">
        <v>45</v>
      </c>
      <c r="B222" s="2">
        <v>164</v>
      </c>
      <c r="C222" s="3">
        <v>949</v>
      </c>
      <c r="D222" s="18" t="s">
        <v>198</v>
      </c>
      <c r="E222" s="7" t="s">
        <v>298</v>
      </c>
      <c r="F222" s="2" t="s">
        <v>314</v>
      </c>
      <c r="G222" s="2"/>
      <c r="H222" s="10" t="s">
        <v>321</v>
      </c>
      <c r="I222" s="2"/>
      <c r="J222" s="2"/>
      <c r="K222" s="15"/>
    </row>
    <row r="223" spans="1:11" ht="11.4" customHeight="1" x14ac:dyDescent="0.25">
      <c r="A223" s="4" t="s">
        <v>37</v>
      </c>
      <c r="B223" s="2">
        <v>164</v>
      </c>
      <c r="C223" s="3">
        <v>945</v>
      </c>
      <c r="D223" s="18" t="s">
        <v>199</v>
      </c>
      <c r="E223" s="7" t="s">
        <v>299</v>
      </c>
      <c r="F223" s="2" t="s">
        <v>314</v>
      </c>
      <c r="G223" s="2"/>
      <c r="H223" s="10" t="s">
        <v>321</v>
      </c>
      <c r="I223" s="2"/>
      <c r="J223" s="2"/>
      <c r="K223" s="15"/>
    </row>
    <row r="224" spans="1:11" ht="11.4" customHeight="1" x14ac:dyDescent="0.25">
      <c r="A224" s="4" t="s">
        <v>35</v>
      </c>
      <c r="B224" s="2">
        <v>164</v>
      </c>
      <c r="C224" s="3">
        <v>836</v>
      </c>
      <c r="D224" s="18" t="s">
        <v>200</v>
      </c>
      <c r="E224" s="7" t="s">
        <v>299</v>
      </c>
      <c r="F224" s="2" t="s">
        <v>314</v>
      </c>
      <c r="G224" s="2"/>
      <c r="H224" s="10" t="s">
        <v>321</v>
      </c>
      <c r="I224" s="2"/>
      <c r="J224" s="2"/>
      <c r="K224" s="15"/>
    </row>
    <row r="225" spans="1:11" ht="11.4" customHeight="1" x14ac:dyDescent="0.25">
      <c r="A225" s="4" t="s">
        <v>36</v>
      </c>
      <c r="B225" s="2">
        <v>164</v>
      </c>
      <c r="C225" s="3">
        <v>272</v>
      </c>
      <c r="D225" s="18" t="s">
        <v>201</v>
      </c>
      <c r="E225" s="7" t="s">
        <v>298</v>
      </c>
      <c r="F225" s="2" t="s">
        <v>314</v>
      </c>
      <c r="G225" s="2"/>
      <c r="H225" s="10" t="s">
        <v>321</v>
      </c>
      <c r="I225" s="2"/>
      <c r="J225" s="2"/>
      <c r="K225" s="15"/>
    </row>
    <row r="226" spans="1:11" ht="11.4" customHeight="1" x14ac:dyDescent="0.25">
      <c r="A226" s="4" t="s">
        <v>36</v>
      </c>
      <c r="B226" s="2">
        <v>164</v>
      </c>
      <c r="C226" s="3">
        <v>272</v>
      </c>
      <c r="D226" s="18" t="s">
        <v>201</v>
      </c>
      <c r="E226" s="7" t="s">
        <v>299</v>
      </c>
      <c r="F226" s="2" t="s">
        <v>314</v>
      </c>
      <c r="G226" s="2"/>
      <c r="H226" s="10" t="s">
        <v>321</v>
      </c>
      <c r="I226" s="2"/>
      <c r="J226" s="2"/>
      <c r="K226" s="15"/>
    </row>
    <row r="227" spans="1:11" ht="11.4" customHeight="1" x14ac:dyDescent="0.25">
      <c r="A227" s="4" t="s">
        <v>19</v>
      </c>
      <c r="B227" s="2">
        <v>1216</v>
      </c>
      <c r="C227" s="3">
        <v>1216</v>
      </c>
      <c r="D227" s="2" t="s">
        <v>202</v>
      </c>
      <c r="E227" s="7" t="s">
        <v>298</v>
      </c>
      <c r="F227" s="2" t="s">
        <v>314</v>
      </c>
      <c r="G227" s="12"/>
      <c r="H227" s="10" t="s">
        <v>321</v>
      </c>
      <c r="I227" s="12"/>
      <c r="J227" s="2"/>
      <c r="K227" s="15"/>
    </row>
    <row r="228" spans="1:11" ht="11.4" customHeight="1" x14ac:dyDescent="0.25">
      <c r="A228" s="4" t="s">
        <v>19</v>
      </c>
      <c r="B228" s="2">
        <v>1216</v>
      </c>
      <c r="C228" s="3">
        <v>1216</v>
      </c>
      <c r="D228" s="2" t="s">
        <v>202</v>
      </c>
      <c r="E228" s="7" t="s">
        <v>299</v>
      </c>
      <c r="F228" s="2" t="s">
        <v>314</v>
      </c>
      <c r="G228" s="12"/>
      <c r="H228" s="10" t="s">
        <v>321</v>
      </c>
      <c r="I228" s="12"/>
      <c r="J228" s="2"/>
      <c r="K228" s="15"/>
    </row>
    <row r="229" spans="1:11" ht="11.4" customHeight="1" x14ac:dyDescent="0.25">
      <c r="A229" s="4" t="s">
        <v>19</v>
      </c>
      <c r="B229" s="2">
        <v>162</v>
      </c>
      <c r="C229" s="3">
        <v>162</v>
      </c>
      <c r="D229" s="2" t="s">
        <v>203</v>
      </c>
      <c r="E229" s="7" t="s">
        <v>298</v>
      </c>
      <c r="F229" s="2" t="s">
        <v>314</v>
      </c>
      <c r="G229" s="12"/>
      <c r="H229" s="10" t="s">
        <v>321</v>
      </c>
      <c r="I229" s="12"/>
      <c r="J229" s="2"/>
      <c r="K229" s="15"/>
    </row>
    <row r="230" spans="1:11" ht="11.4" customHeight="1" x14ac:dyDescent="0.25">
      <c r="A230" s="4" t="s">
        <v>19</v>
      </c>
      <c r="B230" s="2">
        <v>162</v>
      </c>
      <c r="C230" s="3">
        <v>162</v>
      </c>
      <c r="D230" s="2" t="s">
        <v>203</v>
      </c>
      <c r="E230" s="7" t="s">
        <v>299</v>
      </c>
      <c r="F230" s="2" t="s">
        <v>314</v>
      </c>
      <c r="G230" s="2"/>
      <c r="H230" s="10" t="s">
        <v>321</v>
      </c>
      <c r="I230" s="12"/>
      <c r="J230" s="2"/>
      <c r="K230" s="15"/>
    </row>
    <row r="231" spans="1:11" ht="11.4" customHeight="1" x14ac:dyDescent="0.25">
      <c r="A231" s="4" t="s">
        <v>19</v>
      </c>
      <c r="B231" s="2">
        <v>162</v>
      </c>
      <c r="C231" s="3">
        <v>2251</v>
      </c>
      <c r="D231" s="2" t="s">
        <v>204</v>
      </c>
      <c r="E231" s="7" t="s">
        <v>299</v>
      </c>
      <c r="F231" s="2" t="s">
        <v>313</v>
      </c>
      <c r="G231" s="10" t="s">
        <v>313</v>
      </c>
      <c r="H231" s="10"/>
      <c r="I231" s="2"/>
      <c r="J231" s="2"/>
      <c r="K231" s="15"/>
    </row>
    <row r="232" spans="1:11" ht="11.4" customHeight="1" x14ac:dyDescent="0.25">
      <c r="A232" s="4" t="s">
        <v>36</v>
      </c>
      <c r="B232" s="2">
        <v>162</v>
      </c>
      <c r="C232" s="3">
        <v>275</v>
      </c>
      <c r="D232" s="18" t="s">
        <v>205</v>
      </c>
      <c r="E232" s="7" t="s">
        <v>299</v>
      </c>
      <c r="F232" s="2" t="s">
        <v>314</v>
      </c>
      <c r="G232" s="2"/>
      <c r="H232" s="10" t="s">
        <v>321</v>
      </c>
      <c r="I232" s="2"/>
      <c r="J232" s="2"/>
      <c r="K232" s="15"/>
    </row>
    <row r="233" spans="1:11" ht="11.4" customHeight="1" x14ac:dyDescent="0.25">
      <c r="A233" s="4" t="s">
        <v>44</v>
      </c>
      <c r="B233" s="2">
        <v>59</v>
      </c>
      <c r="C233" s="3">
        <v>59</v>
      </c>
      <c r="D233" s="2" t="s">
        <v>206</v>
      </c>
      <c r="E233" s="7" t="s">
        <v>298</v>
      </c>
      <c r="F233" s="2" t="s">
        <v>314</v>
      </c>
      <c r="G233" s="12"/>
      <c r="H233" s="10" t="s">
        <v>321</v>
      </c>
      <c r="I233" s="12"/>
      <c r="J233" s="2"/>
      <c r="K233" s="15"/>
    </row>
    <row r="234" spans="1:11" ht="11.4" customHeight="1" x14ac:dyDescent="0.25">
      <c r="A234" s="4" t="s">
        <v>44</v>
      </c>
      <c r="B234" s="2">
        <v>59</v>
      </c>
      <c r="C234" s="3">
        <v>59</v>
      </c>
      <c r="D234" s="2" t="s">
        <v>206</v>
      </c>
      <c r="E234" s="7" t="s">
        <v>299</v>
      </c>
      <c r="F234" s="2" t="s">
        <v>314</v>
      </c>
      <c r="G234" s="12"/>
      <c r="H234" s="10" t="s">
        <v>321</v>
      </c>
      <c r="I234" s="12"/>
      <c r="J234" s="2"/>
      <c r="K234" s="15"/>
    </row>
    <row r="235" spans="1:11" ht="11.4" customHeight="1" x14ac:dyDescent="0.25">
      <c r="A235" s="4" t="s">
        <v>19</v>
      </c>
      <c r="B235" s="2">
        <v>172</v>
      </c>
      <c r="C235" s="3">
        <v>172</v>
      </c>
      <c r="D235" s="2" t="s">
        <v>207</v>
      </c>
      <c r="E235" s="7" t="s">
        <v>298</v>
      </c>
      <c r="F235" s="2" t="s">
        <v>314</v>
      </c>
      <c r="G235" s="12"/>
      <c r="H235" s="10" t="s">
        <v>321</v>
      </c>
      <c r="I235" s="12"/>
      <c r="J235" s="2"/>
      <c r="K235" s="15"/>
    </row>
    <row r="236" spans="1:11" ht="11.4" customHeight="1" x14ac:dyDescent="0.25">
      <c r="A236" s="4" t="s">
        <v>19</v>
      </c>
      <c r="B236" s="2">
        <v>172</v>
      </c>
      <c r="C236" s="3">
        <v>172</v>
      </c>
      <c r="D236" s="2" t="s">
        <v>207</v>
      </c>
      <c r="E236" s="7" t="s">
        <v>299</v>
      </c>
      <c r="F236" s="2" t="s">
        <v>314</v>
      </c>
      <c r="G236" s="2"/>
      <c r="H236" s="10" t="s">
        <v>321</v>
      </c>
      <c r="I236" s="12"/>
      <c r="J236" s="2"/>
      <c r="K236" s="15"/>
    </row>
    <row r="237" spans="1:11" ht="11.4" customHeight="1" x14ac:dyDescent="0.25">
      <c r="A237" s="4" t="s">
        <v>19</v>
      </c>
      <c r="B237" s="2">
        <v>172</v>
      </c>
      <c r="C237" s="3">
        <v>2232</v>
      </c>
      <c r="D237" s="2" t="s">
        <v>208</v>
      </c>
      <c r="E237" s="7" t="s">
        <v>299</v>
      </c>
      <c r="F237" s="2" t="s">
        <v>313</v>
      </c>
      <c r="G237" s="10" t="s">
        <v>313</v>
      </c>
      <c r="H237" s="10"/>
      <c r="I237" s="2"/>
      <c r="J237" s="2"/>
      <c r="K237" s="15"/>
    </row>
    <row r="238" spans="1:11" ht="11.4" customHeight="1" x14ac:dyDescent="0.25">
      <c r="A238" s="4" t="s">
        <v>44</v>
      </c>
      <c r="B238" s="2">
        <v>343</v>
      </c>
      <c r="C238" s="3">
        <v>343</v>
      </c>
      <c r="D238" s="2" t="s">
        <v>209</v>
      </c>
      <c r="E238" s="7" t="s">
        <v>298</v>
      </c>
      <c r="F238" s="2" t="s">
        <v>314</v>
      </c>
      <c r="G238" s="12"/>
      <c r="H238" s="10" t="s">
        <v>321</v>
      </c>
      <c r="I238" s="12"/>
      <c r="J238" s="2"/>
      <c r="K238" s="15"/>
    </row>
    <row r="239" spans="1:11" ht="11.4" customHeight="1" x14ac:dyDescent="0.25">
      <c r="A239" s="4" t="s">
        <v>44</v>
      </c>
      <c r="B239" s="2">
        <v>343</v>
      </c>
      <c r="C239" s="3">
        <v>343</v>
      </c>
      <c r="D239" s="2" t="s">
        <v>209</v>
      </c>
      <c r="E239" s="7" t="s">
        <v>299</v>
      </c>
      <c r="F239" s="2" t="s">
        <v>314</v>
      </c>
      <c r="G239" s="12"/>
      <c r="H239" s="10" t="s">
        <v>321</v>
      </c>
      <c r="I239" s="12"/>
      <c r="J239" s="2"/>
      <c r="K239" s="15"/>
    </row>
    <row r="240" spans="1:11" ht="11.4" customHeight="1" x14ac:dyDescent="0.25">
      <c r="A240" s="4" t="s">
        <v>30</v>
      </c>
      <c r="B240" s="2">
        <v>137</v>
      </c>
      <c r="C240" s="3">
        <v>137</v>
      </c>
      <c r="D240" s="2" t="s">
        <v>210</v>
      </c>
      <c r="E240" s="7" t="s">
        <v>309</v>
      </c>
      <c r="F240" s="2" t="s">
        <v>314</v>
      </c>
      <c r="G240" s="12"/>
      <c r="H240" s="10" t="s">
        <v>321</v>
      </c>
      <c r="I240" s="12"/>
      <c r="J240" s="2"/>
      <c r="K240" s="15"/>
    </row>
    <row r="241" spans="1:11" ht="11.4" customHeight="1" x14ac:dyDescent="0.25">
      <c r="A241" s="4" t="s">
        <v>30</v>
      </c>
      <c r="B241" s="2">
        <v>137</v>
      </c>
      <c r="C241" s="3">
        <v>137</v>
      </c>
      <c r="D241" s="2" t="s">
        <v>210</v>
      </c>
      <c r="E241" s="7" t="s">
        <v>298</v>
      </c>
      <c r="F241" s="2" t="s">
        <v>314</v>
      </c>
      <c r="G241" s="12"/>
      <c r="H241" s="10" t="s">
        <v>321</v>
      </c>
      <c r="I241" s="12"/>
      <c r="J241" s="2"/>
      <c r="K241" s="15"/>
    </row>
    <row r="242" spans="1:11" ht="11.4" customHeight="1" x14ac:dyDescent="0.25">
      <c r="A242" s="4" t="s">
        <v>30</v>
      </c>
      <c r="B242" s="2">
        <v>137</v>
      </c>
      <c r="C242" s="3">
        <v>137</v>
      </c>
      <c r="D242" s="2" t="s">
        <v>210</v>
      </c>
      <c r="E242" s="7" t="s">
        <v>308</v>
      </c>
      <c r="F242" s="2" t="s">
        <v>314</v>
      </c>
      <c r="G242" s="12"/>
      <c r="H242" s="10" t="s">
        <v>321</v>
      </c>
      <c r="I242" s="12"/>
      <c r="J242" s="2"/>
      <c r="K242" s="15"/>
    </row>
    <row r="243" spans="1:11" ht="11.4" customHeight="1" x14ac:dyDescent="0.25">
      <c r="A243" s="4" t="s">
        <v>30</v>
      </c>
      <c r="B243" s="2">
        <v>120</v>
      </c>
      <c r="C243" s="3">
        <v>120</v>
      </c>
      <c r="D243" s="2" t="s">
        <v>212</v>
      </c>
      <c r="E243" s="7" t="s">
        <v>309</v>
      </c>
      <c r="F243" s="2" t="s">
        <v>314</v>
      </c>
      <c r="G243" s="2"/>
      <c r="H243" s="10" t="s">
        <v>321</v>
      </c>
      <c r="I243" s="12"/>
      <c r="J243" s="2"/>
      <c r="K243" s="15"/>
    </row>
    <row r="244" spans="1:11" ht="11.4" customHeight="1" x14ac:dyDescent="0.25">
      <c r="A244" s="4" t="s">
        <v>30</v>
      </c>
      <c r="B244" s="2">
        <v>120</v>
      </c>
      <c r="C244" s="3">
        <v>120</v>
      </c>
      <c r="D244" s="2" t="s">
        <v>212</v>
      </c>
      <c r="E244" s="7" t="s">
        <v>305</v>
      </c>
      <c r="F244" s="2" t="s">
        <v>314</v>
      </c>
      <c r="G244" s="2"/>
      <c r="H244" s="10" t="s">
        <v>321</v>
      </c>
      <c r="I244" s="12"/>
      <c r="J244" s="2"/>
      <c r="K244" s="15"/>
    </row>
    <row r="245" spans="1:11" ht="11.4" customHeight="1" x14ac:dyDescent="0.25">
      <c r="A245" s="4" t="s">
        <v>30</v>
      </c>
      <c r="B245" s="2">
        <v>120</v>
      </c>
      <c r="C245" s="3">
        <v>120</v>
      </c>
      <c r="D245" s="2" t="s">
        <v>212</v>
      </c>
      <c r="E245" s="7" t="s">
        <v>298</v>
      </c>
      <c r="F245" s="2" t="s">
        <v>314</v>
      </c>
      <c r="G245" s="2"/>
      <c r="H245" s="10" t="s">
        <v>321</v>
      </c>
      <c r="I245" s="12"/>
      <c r="J245" s="2"/>
      <c r="K245" s="15"/>
    </row>
    <row r="246" spans="1:11" ht="11.4" customHeight="1" x14ac:dyDescent="0.25">
      <c r="A246" s="4" t="s">
        <v>30</v>
      </c>
      <c r="B246" s="2">
        <v>120</v>
      </c>
      <c r="C246" s="3">
        <v>120</v>
      </c>
      <c r="D246" s="2" t="s">
        <v>212</v>
      </c>
      <c r="E246" s="7" t="s">
        <v>299</v>
      </c>
      <c r="F246" s="2" t="s">
        <v>314</v>
      </c>
      <c r="G246" s="2"/>
      <c r="H246" s="10" t="s">
        <v>321</v>
      </c>
      <c r="I246" s="12"/>
      <c r="J246" s="2"/>
      <c r="K246" s="15"/>
    </row>
    <row r="247" spans="1:11" ht="11.4" customHeight="1" x14ac:dyDescent="0.25">
      <c r="A247" s="4" t="s">
        <v>30</v>
      </c>
      <c r="B247" s="2">
        <v>120</v>
      </c>
      <c r="C247" s="3">
        <v>120</v>
      </c>
      <c r="D247" s="2" t="s">
        <v>212</v>
      </c>
      <c r="E247" s="7" t="s">
        <v>308</v>
      </c>
      <c r="F247" s="2" t="s">
        <v>314</v>
      </c>
      <c r="G247" s="2"/>
      <c r="H247" s="10" t="s">
        <v>321</v>
      </c>
      <c r="I247" s="12"/>
      <c r="J247" s="2"/>
      <c r="K247" s="15"/>
    </row>
    <row r="248" spans="1:11" ht="11.4" customHeight="1" x14ac:dyDescent="0.25">
      <c r="A248" s="4" t="s">
        <v>9</v>
      </c>
      <c r="B248" s="2">
        <v>120</v>
      </c>
      <c r="C248" s="3">
        <v>2315</v>
      </c>
      <c r="D248" s="2" t="s">
        <v>213</v>
      </c>
      <c r="E248" s="7" t="s">
        <v>299</v>
      </c>
      <c r="F248" s="2" t="s">
        <v>313</v>
      </c>
      <c r="G248" s="10" t="s">
        <v>313</v>
      </c>
      <c r="H248" s="10"/>
      <c r="I248" s="2"/>
      <c r="J248" s="2"/>
      <c r="K248" s="15"/>
    </row>
    <row r="249" spans="1:11" ht="11.4" customHeight="1" x14ac:dyDescent="0.25">
      <c r="A249" s="4" t="s">
        <v>30</v>
      </c>
      <c r="B249" s="2">
        <v>589</v>
      </c>
      <c r="C249" s="3">
        <v>589</v>
      </c>
      <c r="D249" s="2" t="s">
        <v>211</v>
      </c>
      <c r="E249" s="7" t="s">
        <v>299</v>
      </c>
      <c r="F249" s="2" t="s">
        <v>314</v>
      </c>
      <c r="G249" s="2"/>
      <c r="H249" s="10" t="s">
        <v>321</v>
      </c>
      <c r="I249" s="2"/>
      <c r="J249" s="2"/>
      <c r="K249" s="15"/>
    </row>
    <row r="250" spans="1:11" ht="11.4" customHeight="1" x14ac:dyDescent="0.25">
      <c r="A250" s="4" t="s">
        <v>46</v>
      </c>
      <c r="B250" s="2">
        <v>224</v>
      </c>
      <c r="C250" s="3">
        <v>224</v>
      </c>
      <c r="D250" s="2" t="s">
        <v>214</v>
      </c>
      <c r="E250" s="7" t="s">
        <v>307</v>
      </c>
      <c r="F250" s="2" t="s">
        <v>314</v>
      </c>
      <c r="G250" s="2"/>
      <c r="H250" s="10" t="s">
        <v>321</v>
      </c>
      <c r="I250" s="2"/>
      <c r="J250" s="2"/>
      <c r="K250" s="15"/>
    </row>
    <row r="251" spans="1:11" ht="11.4" customHeight="1" x14ac:dyDescent="0.25">
      <c r="A251" s="4" t="s">
        <v>46</v>
      </c>
      <c r="B251" s="2">
        <v>224</v>
      </c>
      <c r="C251" s="3">
        <v>224</v>
      </c>
      <c r="D251" s="2" t="s">
        <v>214</v>
      </c>
      <c r="E251" s="7" t="s">
        <v>305</v>
      </c>
      <c r="F251" s="2" t="s">
        <v>314</v>
      </c>
      <c r="G251" s="2"/>
      <c r="H251" s="10" t="s">
        <v>321</v>
      </c>
      <c r="I251" s="2"/>
      <c r="J251" s="2"/>
      <c r="K251" s="15"/>
    </row>
    <row r="252" spans="1:11" ht="11.4" customHeight="1" x14ac:dyDescent="0.25">
      <c r="A252" s="4" t="s">
        <v>46</v>
      </c>
      <c r="B252" s="2">
        <v>224</v>
      </c>
      <c r="C252" s="3">
        <v>224</v>
      </c>
      <c r="D252" s="2" t="s">
        <v>214</v>
      </c>
      <c r="E252" s="7" t="s">
        <v>306</v>
      </c>
      <c r="F252" s="2" t="s">
        <v>314</v>
      </c>
      <c r="G252" s="2"/>
      <c r="H252" s="10" t="s">
        <v>321</v>
      </c>
      <c r="I252" s="2"/>
      <c r="J252" s="2"/>
      <c r="K252" s="15"/>
    </row>
    <row r="253" spans="1:11" ht="11.4" customHeight="1" x14ac:dyDescent="0.25">
      <c r="A253" s="4" t="s">
        <v>47</v>
      </c>
      <c r="B253" s="2">
        <v>224</v>
      </c>
      <c r="C253" s="3">
        <v>220</v>
      </c>
      <c r="D253" s="18" t="s">
        <v>215</v>
      </c>
      <c r="E253" s="7" t="s">
        <v>307</v>
      </c>
      <c r="F253" s="2" t="s">
        <v>314</v>
      </c>
      <c r="G253" s="2"/>
      <c r="H253" s="10" t="s">
        <v>321</v>
      </c>
      <c r="I253" s="2"/>
      <c r="J253" s="2"/>
      <c r="K253" s="15"/>
    </row>
    <row r="254" spans="1:11" ht="11.4" customHeight="1" x14ac:dyDescent="0.25">
      <c r="A254" s="4" t="s">
        <v>47</v>
      </c>
      <c r="B254" s="2">
        <v>224</v>
      </c>
      <c r="C254" s="3">
        <v>220</v>
      </c>
      <c r="D254" s="18" t="s">
        <v>215</v>
      </c>
      <c r="E254" s="7" t="s">
        <v>305</v>
      </c>
      <c r="F254" s="2" t="s">
        <v>314</v>
      </c>
      <c r="G254" s="2"/>
      <c r="H254" s="10" t="s">
        <v>321</v>
      </c>
      <c r="I254" s="2"/>
      <c r="J254" s="2"/>
      <c r="K254" s="15"/>
    </row>
    <row r="255" spans="1:11" ht="11.4" customHeight="1" x14ac:dyDescent="0.25">
      <c r="A255" s="4" t="s">
        <v>46</v>
      </c>
      <c r="B255" s="2">
        <v>585</v>
      </c>
      <c r="C255" s="3">
        <v>585</v>
      </c>
      <c r="D255" s="2" t="s">
        <v>216</v>
      </c>
      <c r="E255" s="7" t="s">
        <v>307</v>
      </c>
      <c r="F255" s="2" t="s">
        <v>314</v>
      </c>
      <c r="G255" s="2"/>
      <c r="H255" s="10" t="s">
        <v>321</v>
      </c>
      <c r="I255" s="2"/>
      <c r="J255" s="2"/>
      <c r="K255" s="15"/>
    </row>
    <row r="256" spans="1:11" ht="11.4" customHeight="1" x14ac:dyDescent="0.25">
      <c r="A256" s="4" t="s">
        <v>46</v>
      </c>
      <c r="B256" s="2">
        <v>585</v>
      </c>
      <c r="C256" s="3">
        <v>585</v>
      </c>
      <c r="D256" s="2" t="s">
        <v>216</v>
      </c>
      <c r="E256" s="7" t="s">
        <v>305</v>
      </c>
      <c r="F256" s="2" t="s">
        <v>314</v>
      </c>
      <c r="G256" s="2"/>
      <c r="H256" s="10" t="s">
        <v>321</v>
      </c>
      <c r="I256" s="2"/>
      <c r="J256" s="2"/>
      <c r="K256" s="15"/>
    </row>
    <row r="257" spans="1:11" ht="11.4" customHeight="1" x14ac:dyDescent="0.25">
      <c r="A257" s="4" t="s">
        <v>48</v>
      </c>
      <c r="B257" s="2">
        <v>687</v>
      </c>
      <c r="C257" s="3">
        <v>687</v>
      </c>
      <c r="D257" s="2" t="s">
        <v>217</v>
      </c>
      <c r="E257" s="7" t="s">
        <v>305</v>
      </c>
      <c r="F257" s="2" t="s">
        <v>314</v>
      </c>
      <c r="G257" s="2"/>
      <c r="H257" s="10" t="s">
        <v>321</v>
      </c>
      <c r="I257" s="2"/>
      <c r="J257" s="2"/>
      <c r="K257" s="15"/>
    </row>
    <row r="258" spans="1:11" ht="11.4" customHeight="1" x14ac:dyDescent="0.25">
      <c r="A258" s="4" t="s">
        <v>7</v>
      </c>
      <c r="B258" s="2">
        <v>52</v>
      </c>
      <c r="C258" s="3">
        <v>52</v>
      </c>
      <c r="D258" s="2" t="s">
        <v>218</v>
      </c>
      <c r="E258" s="7" t="s">
        <v>307</v>
      </c>
      <c r="F258" s="2" t="s">
        <v>314</v>
      </c>
      <c r="G258" s="2"/>
      <c r="H258" s="10" t="s">
        <v>321</v>
      </c>
      <c r="I258" s="2"/>
      <c r="J258" s="2"/>
      <c r="K258" s="15"/>
    </row>
    <row r="259" spans="1:11" ht="11.4" customHeight="1" x14ac:dyDescent="0.25">
      <c r="A259" s="4" t="s">
        <v>48</v>
      </c>
      <c r="B259" s="2">
        <v>436</v>
      </c>
      <c r="C259" s="3">
        <v>436</v>
      </c>
      <c r="D259" s="2" t="s">
        <v>219</v>
      </c>
      <c r="E259" s="7" t="s">
        <v>307</v>
      </c>
      <c r="F259" s="2" t="s">
        <v>314</v>
      </c>
      <c r="G259" s="2"/>
      <c r="H259" s="10" t="s">
        <v>321</v>
      </c>
      <c r="I259" s="2"/>
      <c r="J259" s="2"/>
      <c r="K259" s="15"/>
    </row>
    <row r="260" spans="1:11" ht="11.4" customHeight="1" x14ac:dyDescent="0.25">
      <c r="A260" s="4" t="s">
        <v>48</v>
      </c>
      <c r="B260" s="2">
        <v>436</v>
      </c>
      <c r="C260" s="3">
        <v>436</v>
      </c>
      <c r="D260" s="2" t="s">
        <v>219</v>
      </c>
      <c r="E260" s="7" t="s">
        <v>305</v>
      </c>
      <c r="F260" s="2" t="s">
        <v>314</v>
      </c>
      <c r="G260" s="2"/>
      <c r="H260" s="10" t="s">
        <v>321</v>
      </c>
      <c r="I260" s="2"/>
      <c r="J260" s="2"/>
      <c r="K260" s="15"/>
    </row>
    <row r="261" spans="1:11" ht="11.4" customHeight="1" x14ac:dyDescent="0.25">
      <c r="A261" s="4" t="s">
        <v>18</v>
      </c>
      <c r="B261" s="2">
        <v>622</v>
      </c>
      <c r="C261" s="3">
        <v>622</v>
      </c>
      <c r="D261" s="2" t="s">
        <v>220</v>
      </c>
      <c r="E261" s="7" t="s">
        <v>305</v>
      </c>
      <c r="F261" s="2" t="s">
        <v>314</v>
      </c>
      <c r="G261" s="2"/>
      <c r="H261" s="10" t="s">
        <v>321</v>
      </c>
      <c r="I261" s="2"/>
      <c r="J261" s="2"/>
      <c r="K261" s="15"/>
    </row>
    <row r="262" spans="1:11" ht="11.4" customHeight="1" x14ac:dyDescent="0.25">
      <c r="A262" s="4" t="s">
        <v>49</v>
      </c>
      <c r="B262" s="2">
        <v>325</v>
      </c>
      <c r="C262" s="3">
        <v>325</v>
      </c>
      <c r="D262" s="2" t="s">
        <v>221</v>
      </c>
      <c r="E262" s="7" t="s">
        <v>307</v>
      </c>
      <c r="F262" s="2" t="s">
        <v>314</v>
      </c>
      <c r="G262" s="2"/>
      <c r="H262" s="10" t="s">
        <v>321</v>
      </c>
      <c r="I262" s="2"/>
      <c r="J262" s="2"/>
      <c r="K262" s="15"/>
    </row>
    <row r="263" spans="1:11" ht="11.4" customHeight="1" x14ac:dyDescent="0.25">
      <c r="A263" s="4" t="s">
        <v>50</v>
      </c>
      <c r="B263" s="2">
        <v>1233</v>
      </c>
      <c r="C263" s="3">
        <v>1233</v>
      </c>
      <c r="D263" s="2" t="s">
        <v>258</v>
      </c>
      <c r="E263" s="7" t="s">
        <v>307</v>
      </c>
      <c r="F263" s="2" t="s">
        <v>314</v>
      </c>
      <c r="G263" s="2"/>
      <c r="H263" s="10" t="s">
        <v>321</v>
      </c>
      <c r="I263" s="2"/>
      <c r="J263" s="2"/>
      <c r="K263" s="15"/>
    </row>
    <row r="264" spans="1:11" ht="11.4" customHeight="1" x14ac:dyDescent="0.25">
      <c r="A264" s="4" t="s">
        <v>50</v>
      </c>
      <c r="B264" s="2">
        <v>1233</v>
      </c>
      <c r="C264" s="3">
        <v>1233</v>
      </c>
      <c r="D264" s="2" t="s">
        <v>258</v>
      </c>
      <c r="E264" s="7" t="s">
        <v>306</v>
      </c>
      <c r="F264" s="2" t="s">
        <v>314</v>
      </c>
      <c r="G264" s="2"/>
      <c r="H264" s="10" t="s">
        <v>321</v>
      </c>
      <c r="I264" s="2"/>
      <c r="J264" s="2"/>
      <c r="K264" s="15"/>
    </row>
    <row r="265" spans="1:11" ht="11.4" customHeight="1" x14ac:dyDescent="0.25">
      <c r="A265" s="4" t="s">
        <v>50</v>
      </c>
      <c r="B265" s="2">
        <v>797</v>
      </c>
      <c r="C265" s="3">
        <v>797</v>
      </c>
      <c r="D265" s="2" t="s">
        <v>222</v>
      </c>
      <c r="E265" s="7" t="s">
        <v>307</v>
      </c>
      <c r="F265" s="2" t="s">
        <v>314</v>
      </c>
      <c r="G265" s="2"/>
      <c r="H265" s="10" t="s">
        <v>321</v>
      </c>
      <c r="I265" s="2"/>
      <c r="J265" s="2"/>
      <c r="K265" s="15"/>
    </row>
    <row r="266" spans="1:11" ht="11.4" customHeight="1" x14ac:dyDescent="0.25">
      <c r="A266" s="4" t="s">
        <v>50</v>
      </c>
      <c r="B266" s="2">
        <v>797</v>
      </c>
      <c r="C266" s="3">
        <v>797</v>
      </c>
      <c r="D266" s="2" t="s">
        <v>222</v>
      </c>
      <c r="E266" s="7" t="s">
        <v>305</v>
      </c>
      <c r="F266" s="2" t="s">
        <v>314</v>
      </c>
      <c r="G266" s="2"/>
      <c r="H266" s="10" t="s">
        <v>321</v>
      </c>
      <c r="I266" s="2"/>
      <c r="J266" s="2"/>
      <c r="K266" s="15"/>
    </row>
    <row r="267" spans="1:11" ht="11.4" customHeight="1" x14ac:dyDescent="0.25">
      <c r="A267" s="4" t="s">
        <v>50</v>
      </c>
      <c r="B267" s="2">
        <v>797</v>
      </c>
      <c r="C267" s="3">
        <v>797</v>
      </c>
      <c r="D267" s="2" t="s">
        <v>222</v>
      </c>
      <c r="E267" s="7" t="s">
        <v>302</v>
      </c>
      <c r="F267" s="2" t="s">
        <v>314</v>
      </c>
      <c r="G267" s="2"/>
      <c r="H267" s="10" t="s">
        <v>321</v>
      </c>
      <c r="I267" s="12"/>
      <c r="J267" s="2"/>
      <c r="K267" s="15"/>
    </row>
    <row r="268" spans="1:11" ht="11.4" customHeight="1" x14ac:dyDescent="0.25">
      <c r="A268" s="4" t="s">
        <v>30</v>
      </c>
      <c r="B268" s="2">
        <v>107</v>
      </c>
      <c r="C268" s="3">
        <v>107</v>
      </c>
      <c r="D268" s="2" t="s">
        <v>223</v>
      </c>
      <c r="E268" s="7" t="s">
        <v>298</v>
      </c>
      <c r="F268" s="2" t="s">
        <v>314</v>
      </c>
      <c r="G268" s="12"/>
      <c r="H268" s="10" t="s">
        <v>321</v>
      </c>
      <c r="I268" s="12"/>
      <c r="J268" s="2"/>
      <c r="K268" s="15"/>
    </row>
    <row r="269" spans="1:11" ht="11.4" customHeight="1" x14ac:dyDescent="0.25">
      <c r="A269" s="4" t="s">
        <v>30</v>
      </c>
      <c r="B269" s="2">
        <v>107</v>
      </c>
      <c r="C269" s="3">
        <v>107</v>
      </c>
      <c r="D269" s="2" t="s">
        <v>223</v>
      </c>
      <c r="E269" s="7" t="s">
        <v>299</v>
      </c>
      <c r="F269" s="2" t="s">
        <v>314</v>
      </c>
      <c r="G269" s="12"/>
      <c r="H269" s="10" t="s">
        <v>321</v>
      </c>
      <c r="I269" s="12"/>
      <c r="J269" s="2"/>
      <c r="K269" s="15"/>
    </row>
    <row r="270" spans="1:11" ht="11.4" customHeight="1" x14ac:dyDescent="0.25">
      <c r="A270" s="4" t="s">
        <v>23</v>
      </c>
      <c r="B270" s="2">
        <v>754</v>
      </c>
      <c r="C270" s="3">
        <v>754</v>
      </c>
      <c r="D270" s="2" t="s">
        <v>224</v>
      </c>
      <c r="E270" s="7" t="s">
        <v>309</v>
      </c>
      <c r="F270" s="2" t="s">
        <v>314</v>
      </c>
      <c r="G270" s="12"/>
      <c r="H270" s="10" t="s">
        <v>321</v>
      </c>
      <c r="I270" s="12"/>
      <c r="J270" s="2"/>
      <c r="K270" s="15"/>
    </row>
    <row r="271" spans="1:11" ht="11.4" customHeight="1" x14ac:dyDescent="0.25">
      <c r="A271" s="4" t="s">
        <v>23</v>
      </c>
      <c r="B271" s="2">
        <v>754</v>
      </c>
      <c r="C271" s="3">
        <v>754</v>
      </c>
      <c r="D271" s="2" t="s">
        <v>224</v>
      </c>
      <c r="E271" s="7" t="s">
        <v>298</v>
      </c>
      <c r="F271" s="2" t="s">
        <v>314</v>
      </c>
      <c r="G271" s="2"/>
      <c r="H271" s="10" t="s">
        <v>321</v>
      </c>
      <c r="I271" s="12"/>
      <c r="J271" s="2"/>
      <c r="K271" s="15"/>
    </row>
    <row r="272" spans="1:11" ht="11.4" customHeight="1" x14ac:dyDescent="0.25">
      <c r="A272" s="4" t="s">
        <v>23</v>
      </c>
      <c r="B272" s="2">
        <v>754</v>
      </c>
      <c r="C272" s="3">
        <v>754</v>
      </c>
      <c r="D272" s="2" t="s">
        <v>224</v>
      </c>
      <c r="E272" s="7" t="s">
        <v>308</v>
      </c>
      <c r="F272" s="2" t="s">
        <v>314</v>
      </c>
      <c r="G272" s="2"/>
      <c r="H272" s="10" t="s">
        <v>321</v>
      </c>
      <c r="I272" s="12"/>
      <c r="J272" s="2"/>
      <c r="K272" s="15"/>
    </row>
    <row r="273" spans="1:11" ht="11.4" customHeight="1" x14ac:dyDescent="0.25">
      <c r="A273" s="4" t="s">
        <v>9</v>
      </c>
      <c r="B273" s="2">
        <v>107</v>
      </c>
      <c r="C273" s="3">
        <v>2312</v>
      </c>
      <c r="D273" s="2" t="s">
        <v>225</v>
      </c>
      <c r="E273" s="7" t="s">
        <v>299</v>
      </c>
      <c r="F273" s="2" t="s">
        <v>313</v>
      </c>
      <c r="G273" s="10" t="s">
        <v>313</v>
      </c>
      <c r="H273" s="10"/>
      <c r="I273" s="2"/>
      <c r="J273" s="2"/>
      <c r="K273" s="15"/>
    </row>
    <row r="274" spans="1:11" ht="11.4" customHeight="1" x14ac:dyDescent="0.25">
      <c r="A274" s="4" t="s">
        <v>40</v>
      </c>
      <c r="B274" s="2">
        <v>370</v>
      </c>
      <c r="C274" s="3">
        <v>370</v>
      </c>
      <c r="D274" s="2" t="s">
        <v>226</v>
      </c>
      <c r="E274" s="7" t="s">
        <v>300</v>
      </c>
      <c r="F274" s="2" t="s">
        <v>314</v>
      </c>
      <c r="G274" s="2"/>
      <c r="H274" s="10" t="s">
        <v>321</v>
      </c>
      <c r="I274" s="12"/>
      <c r="J274" s="2"/>
      <c r="K274" s="15"/>
    </row>
    <row r="275" spans="1:11" ht="11.4" customHeight="1" x14ac:dyDescent="0.25">
      <c r="A275" s="4" t="s">
        <v>40</v>
      </c>
      <c r="B275" s="2">
        <v>370</v>
      </c>
      <c r="C275" s="3">
        <v>2039</v>
      </c>
      <c r="D275" s="2" t="s">
        <v>227</v>
      </c>
      <c r="E275" s="7" t="s">
        <v>300</v>
      </c>
      <c r="F275" s="2" t="s">
        <v>313</v>
      </c>
      <c r="G275" s="10" t="s">
        <v>313</v>
      </c>
      <c r="H275" s="10"/>
      <c r="I275" s="2"/>
      <c r="J275" s="2"/>
      <c r="K275" s="15"/>
    </row>
    <row r="276" spans="1:11" ht="11.4" customHeight="1" x14ac:dyDescent="0.25">
      <c r="A276" s="4" t="s">
        <v>50</v>
      </c>
      <c r="B276" s="2">
        <v>268</v>
      </c>
      <c r="C276" s="3">
        <v>2291</v>
      </c>
      <c r="D276" s="2" t="s">
        <v>259</v>
      </c>
      <c r="E276" s="7" t="s">
        <v>297</v>
      </c>
      <c r="F276" s="2" t="s">
        <v>313</v>
      </c>
      <c r="G276" s="10" t="s">
        <v>313</v>
      </c>
      <c r="H276" s="10"/>
      <c r="I276" s="2"/>
      <c r="J276" s="2"/>
      <c r="K276" s="15"/>
    </row>
    <row r="277" spans="1:11" ht="11.4" customHeight="1" x14ac:dyDescent="0.25">
      <c r="A277" s="4" t="s">
        <v>50</v>
      </c>
      <c r="B277" s="2">
        <v>268</v>
      </c>
      <c r="C277" s="3">
        <v>268</v>
      </c>
      <c r="D277" s="2" t="s">
        <v>260</v>
      </c>
      <c r="E277" s="7" t="s">
        <v>307</v>
      </c>
      <c r="F277" s="2" t="s">
        <v>314</v>
      </c>
      <c r="G277" s="2"/>
      <c r="H277" s="10" t="s">
        <v>321</v>
      </c>
      <c r="I277" s="2"/>
      <c r="J277" s="2"/>
      <c r="K277" s="15"/>
    </row>
    <row r="278" spans="1:11" ht="11.4" customHeight="1" x14ac:dyDescent="0.25">
      <c r="A278" s="4" t="s">
        <v>50</v>
      </c>
      <c r="B278" s="2">
        <v>268</v>
      </c>
      <c r="C278" s="3">
        <v>268</v>
      </c>
      <c r="D278" s="2" t="s">
        <v>260</v>
      </c>
      <c r="E278" s="7" t="s">
        <v>302</v>
      </c>
      <c r="F278" s="2" t="s">
        <v>314</v>
      </c>
      <c r="G278" s="2"/>
      <c r="H278" s="10" t="s">
        <v>321</v>
      </c>
      <c r="I278" s="12"/>
      <c r="J278" s="2"/>
      <c r="K278" s="15"/>
    </row>
    <row r="279" spans="1:11" ht="11.4" customHeight="1" x14ac:dyDescent="0.25">
      <c r="A279" s="4" t="s">
        <v>56</v>
      </c>
      <c r="B279" s="2">
        <v>466</v>
      </c>
      <c r="C279" s="3">
        <v>2164</v>
      </c>
      <c r="D279" s="2" t="s">
        <v>352</v>
      </c>
      <c r="E279" s="7" t="s">
        <v>306</v>
      </c>
      <c r="F279" s="2" t="s">
        <v>313</v>
      </c>
      <c r="G279" s="10" t="s">
        <v>313</v>
      </c>
      <c r="H279" s="10"/>
      <c r="I279" s="2"/>
      <c r="J279" s="2"/>
      <c r="K279" s="15"/>
    </row>
    <row r="280" spans="1:11" ht="11.4" customHeight="1" x14ac:dyDescent="0.25">
      <c r="A280" s="4" t="s">
        <v>56</v>
      </c>
      <c r="B280" s="2">
        <v>226</v>
      </c>
      <c r="C280" s="3">
        <v>2163</v>
      </c>
      <c r="D280" s="2" t="s">
        <v>262</v>
      </c>
      <c r="E280" s="7" t="s">
        <v>306</v>
      </c>
      <c r="F280" s="2" t="s">
        <v>313</v>
      </c>
      <c r="G280" s="10" t="s">
        <v>313</v>
      </c>
      <c r="H280" s="10"/>
      <c r="I280" s="2"/>
      <c r="J280" s="2"/>
      <c r="K280" s="15"/>
    </row>
    <row r="281" spans="1:11" ht="11.4" customHeight="1" x14ac:dyDescent="0.25">
      <c r="A281" s="4" t="s">
        <v>46</v>
      </c>
      <c r="B281" s="2">
        <v>559</v>
      </c>
      <c r="C281" s="3">
        <v>559</v>
      </c>
      <c r="D281" s="2" t="s">
        <v>228</v>
      </c>
      <c r="E281" s="7" t="s">
        <v>307</v>
      </c>
      <c r="F281" s="2" t="s">
        <v>314</v>
      </c>
      <c r="G281" s="2"/>
      <c r="H281" s="10" t="s">
        <v>321</v>
      </c>
      <c r="I281" s="2"/>
      <c r="J281" s="2"/>
      <c r="K281" s="15"/>
    </row>
    <row r="282" spans="1:11" ht="11.4" customHeight="1" x14ac:dyDescent="0.25">
      <c r="A282" s="4" t="s">
        <v>18</v>
      </c>
      <c r="B282" s="2">
        <v>1245</v>
      </c>
      <c r="C282" s="3">
        <v>1249</v>
      </c>
      <c r="D282" s="2" t="s">
        <v>263</v>
      </c>
      <c r="E282" s="7" t="s">
        <v>307</v>
      </c>
      <c r="F282" s="2" t="s">
        <v>314</v>
      </c>
      <c r="G282" s="2"/>
      <c r="H282" s="10" t="s">
        <v>321</v>
      </c>
      <c r="I282" s="2"/>
      <c r="J282" s="2"/>
      <c r="K282" s="15"/>
    </row>
    <row r="283" spans="1:11" ht="11.4" customHeight="1" x14ac:dyDescent="0.25">
      <c r="A283" s="4" t="s">
        <v>52</v>
      </c>
      <c r="B283" s="2">
        <v>895</v>
      </c>
      <c r="C283" s="3">
        <v>1243</v>
      </c>
      <c r="D283" s="13" t="s">
        <v>234</v>
      </c>
      <c r="E283" s="7" t="s">
        <v>307</v>
      </c>
      <c r="F283" s="2" t="s">
        <v>314</v>
      </c>
      <c r="G283" s="2"/>
      <c r="H283" s="10" t="s">
        <v>321</v>
      </c>
      <c r="I283" s="2"/>
      <c r="J283" s="2"/>
      <c r="K283" s="15"/>
    </row>
    <row r="284" spans="1:11" ht="11.4" customHeight="1" x14ac:dyDescent="0.25">
      <c r="A284" s="4" t="s">
        <v>52</v>
      </c>
      <c r="B284" s="2">
        <v>895</v>
      </c>
      <c r="C284" s="3">
        <v>1243</v>
      </c>
      <c r="D284" s="13" t="s">
        <v>234</v>
      </c>
      <c r="E284" s="7" t="s">
        <v>301</v>
      </c>
      <c r="F284" s="2" t="s">
        <v>314</v>
      </c>
      <c r="G284" s="2"/>
      <c r="H284" s="10" t="s">
        <v>321</v>
      </c>
      <c r="I284" s="2"/>
      <c r="J284" s="2"/>
      <c r="K284" s="15"/>
    </row>
    <row r="285" spans="1:11" ht="11.4" customHeight="1" x14ac:dyDescent="0.25">
      <c r="A285" s="4" t="s">
        <v>18</v>
      </c>
      <c r="B285" s="2">
        <v>466</v>
      </c>
      <c r="C285" s="3">
        <v>466</v>
      </c>
      <c r="D285" s="2" t="s">
        <v>230</v>
      </c>
      <c r="E285" s="7" t="s">
        <v>307</v>
      </c>
      <c r="F285" s="2" t="s">
        <v>314</v>
      </c>
      <c r="G285" s="2"/>
      <c r="H285" s="10" t="s">
        <v>321</v>
      </c>
      <c r="I285" s="2"/>
      <c r="J285" s="2"/>
      <c r="K285" s="15"/>
    </row>
    <row r="286" spans="1:11" ht="11.4" customHeight="1" x14ac:dyDescent="0.25">
      <c r="A286" s="4" t="s">
        <v>18</v>
      </c>
      <c r="B286" s="2">
        <v>466</v>
      </c>
      <c r="C286" s="3">
        <v>466</v>
      </c>
      <c r="D286" s="2" t="s">
        <v>230</v>
      </c>
      <c r="E286" s="7" t="s">
        <v>305</v>
      </c>
      <c r="F286" s="2" t="s">
        <v>314</v>
      </c>
      <c r="G286" s="2"/>
      <c r="H286" s="10" t="s">
        <v>321</v>
      </c>
      <c r="I286" s="2"/>
      <c r="J286" s="2"/>
      <c r="K286" s="15"/>
    </row>
    <row r="287" spans="1:11" ht="11.4" customHeight="1" x14ac:dyDescent="0.25">
      <c r="A287" s="4" t="s">
        <v>51</v>
      </c>
      <c r="B287" s="2">
        <v>299</v>
      </c>
      <c r="C287" s="3">
        <v>2033</v>
      </c>
      <c r="D287" s="2" t="s">
        <v>254</v>
      </c>
      <c r="E287" s="7" t="s">
        <v>301</v>
      </c>
      <c r="F287" s="2" t="s">
        <v>313</v>
      </c>
      <c r="G287" s="10" t="s">
        <v>313</v>
      </c>
      <c r="H287" s="10"/>
      <c r="I287" s="2"/>
      <c r="J287" s="2"/>
      <c r="K287" s="15"/>
    </row>
    <row r="288" spans="1:11" ht="11.4" customHeight="1" x14ac:dyDescent="0.25">
      <c r="A288" s="4" t="s">
        <v>50</v>
      </c>
      <c r="B288" s="2">
        <v>874</v>
      </c>
      <c r="C288" s="3">
        <v>2306</v>
      </c>
      <c r="D288" s="2" t="s">
        <v>270</v>
      </c>
      <c r="E288" s="7" t="s">
        <v>297</v>
      </c>
      <c r="F288" s="2" t="s">
        <v>313</v>
      </c>
      <c r="G288" s="10" t="s">
        <v>313</v>
      </c>
      <c r="H288" s="10"/>
      <c r="I288" s="2"/>
      <c r="J288" s="2"/>
      <c r="K288" s="15"/>
    </row>
    <row r="289" spans="1:11" ht="11.4" customHeight="1" x14ac:dyDescent="0.25">
      <c r="A289" s="4" t="s">
        <v>18</v>
      </c>
      <c r="B289" s="2">
        <v>112</v>
      </c>
      <c r="C289" s="3">
        <v>112</v>
      </c>
      <c r="D289" s="2" t="s">
        <v>231</v>
      </c>
      <c r="E289" s="7" t="s">
        <v>305</v>
      </c>
      <c r="F289" s="2" t="s">
        <v>314</v>
      </c>
      <c r="G289" s="2"/>
      <c r="H289" s="10" t="s">
        <v>321</v>
      </c>
      <c r="I289" s="2"/>
      <c r="J289" s="2"/>
      <c r="K289" s="15"/>
    </row>
    <row r="290" spans="1:11" ht="11.4" customHeight="1" x14ac:dyDescent="0.25">
      <c r="A290" s="4" t="s">
        <v>50</v>
      </c>
      <c r="B290" s="2">
        <v>112</v>
      </c>
      <c r="C290" s="3">
        <v>721</v>
      </c>
      <c r="D290" s="2" t="s">
        <v>232</v>
      </c>
      <c r="E290" s="7" t="s">
        <v>305</v>
      </c>
      <c r="F290" s="2" t="s">
        <v>314</v>
      </c>
      <c r="G290" s="2"/>
      <c r="H290" s="10" t="s">
        <v>321</v>
      </c>
      <c r="I290" s="2"/>
      <c r="J290" s="2"/>
      <c r="K290" s="15"/>
    </row>
    <row r="291" spans="1:11" ht="11.4" customHeight="1" x14ac:dyDescent="0.25">
      <c r="A291" s="4" t="s">
        <v>48</v>
      </c>
      <c r="B291" s="2">
        <v>895</v>
      </c>
      <c r="C291" s="3">
        <v>895</v>
      </c>
      <c r="D291" s="2" t="s">
        <v>235</v>
      </c>
      <c r="E291" s="7" t="s">
        <v>307</v>
      </c>
      <c r="F291" s="2" t="s">
        <v>314</v>
      </c>
      <c r="G291" s="2"/>
      <c r="H291" s="10" t="s">
        <v>321</v>
      </c>
      <c r="I291" s="2"/>
      <c r="J291" s="2"/>
      <c r="K291" s="15"/>
    </row>
    <row r="292" spans="1:11" ht="11.4" customHeight="1" x14ac:dyDescent="0.25">
      <c r="A292" s="4" t="s">
        <v>48</v>
      </c>
      <c r="B292" s="2">
        <v>895</v>
      </c>
      <c r="C292" s="3">
        <v>895</v>
      </c>
      <c r="D292" s="2" t="s">
        <v>235</v>
      </c>
      <c r="E292" s="7" t="s">
        <v>305</v>
      </c>
      <c r="F292" s="2" t="s">
        <v>314</v>
      </c>
      <c r="G292" s="2"/>
      <c r="H292" s="10" t="s">
        <v>321</v>
      </c>
      <c r="I292" s="2"/>
      <c r="J292" s="2"/>
      <c r="K292" s="15"/>
    </row>
    <row r="293" spans="1:11" ht="11.4" customHeight="1" x14ac:dyDescent="0.25">
      <c r="A293" s="4" t="s">
        <v>18</v>
      </c>
      <c r="B293" s="2">
        <v>889</v>
      </c>
      <c r="C293" s="3">
        <v>889</v>
      </c>
      <c r="D293" s="2" t="s">
        <v>233</v>
      </c>
      <c r="E293" s="7" t="s">
        <v>307</v>
      </c>
      <c r="F293" s="2" t="s">
        <v>314</v>
      </c>
      <c r="G293" s="2"/>
      <c r="H293" s="10" t="s">
        <v>321</v>
      </c>
      <c r="I293" s="2"/>
      <c r="J293" s="2"/>
      <c r="K293" s="15"/>
    </row>
    <row r="294" spans="1:11" ht="11.4" customHeight="1" x14ac:dyDescent="0.25">
      <c r="A294" s="4" t="s">
        <v>28</v>
      </c>
      <c r="B294" s="2">
        <v>1239</v>
      </c>
      <c r="C294" s="3">
        <v>1239</v>
      </c>
      <c r="D294" s="18" t="s">
        <v>239</v>
      </c>
      <c r="E294" s="7" t="s">
        <v>301</v>
      </c>
      <c r="F294" s="2" t="s">
        <v>314</v>
      </c>
      <c r="G294" s="2"/>
      <c r="H294" s="10" t="s">
        <v>321</v>
      </c>
      <c r="I294" s="2"/>
      <c r="J294" s="2"/>
      <c r="K294" s="15"/>
    </row>
    <row r="295" spans="1:11" ht="11.4" customHeight="1" x14ac:dyDescent="0.25">
      <c r="A295" s="4" t="s">
        <v>18</v>
      </c>
      <c r="B295" s="2">
        <v>889</v>
      </c>
      <c r="C295" s="3">
        <v>889</v>
      </c>
      <c r="D295" s="2" t="s">
        <v>233</v>
      </c>
      <c r="E295" s="7" t="s">
        <v>305</v>
      </c>
      <c r="F295" s="2" t="s">
        <v>314</v>
      </c>
      <c r="G295" s="2"/>
      <c r="H295" s="10" t="s">
        <v>321</v>
      </c>
      <c r="I295" s="2"/>
      <c r="J295" s="2"/>
      <c r="K295" s="15"/>
    </row>
    <row r="296" spans="1:11" ht="11.4" customHeight="1" x14ac:dyDescent="0.25">
      <c r="A296" s="4" t="s">
        <v>18</v>
      </c>
      <c r="B296" s="2">
        <v>889</v>
      </c>
      <c r="C296" s="3">
        <v>889</v>
      </c>
      <c r="D296" s="2" t="s">
        <v>233</v>
      </c>
      <c r="E296" s="7" t="s">
        <v>306</v>
      </c>
      <c r="F296" s="2" t="s">
        <v>314</v>
      </c>
      <c r="G296" s="2"/>
      <c r="H296" s="10" t="s">
        <v>321</v>
      </c>
      <c r="I296" s="2"/>
      <c r="J296" s="2"/>
      <c r="K296" s="15"/>
    </row>
    <row r="297" spans="1:11" ht="11.4" customHeight="1" x14ac:dyDescent="0.25">
      <c r="A297" s="4" t="s">
        <v>53</v>
      </c>
      <c r="B297" s="2">
        <v>837</v>
      </c>
      <c r="C297" s="3">
        <v>837</v>
      </c>
      <c r="D297" s="2" t="s">
        <v>236</v>
      </c>
      <c r="E297" s="7" t="s">
        <v>307</v>
      </c>
      <c r="F297" s="2" t="s">
        <v>314</v>
      </c>
      <c r="G297" s="2"/>
      <c r="H297" s="10" t="s">
        <v>321</v>
      </c>
      <c r="I297" s="2"/>
      <c r="J297" s="2"/>
      <c r="K297" s="15"/>
    </row>
    <row r="298" spans="1:11" ht="11.4" customHeight="1" x14ac:dyDescent="0.25">
      <c r="A298" s="4" t="s">
        <v>53</v>
      </c>
      <c r="B298" s="2">
        <v>837</v>
      </c>
      <c r="C298" s="3">
        <v>837</v>
      </c>
      <c r="D298" s="2" t="s">
        <v>236</v>
      </c>
      <c r="E298" s="7" t="s">
        <v>305</v>
      </c>
      <c r="F298" s="2" t="s">
        <v>314</v>
      </c>
      <c r="G298" s="2"/>
      <c r="H298" s="10" t="s">
        <v>321</v>
      </c>
      <c r="I298" s="2"/>
      <c r="J298" s="2"/>
      <c r="K298" s="15"/>
    </row>
    <row r="299" spans="1:11" ht="11.4" customHeight="1" x14ac:dyDescent="0.25">
      <c r="A299" s="4" t="s">
        <v>18</v>
      </c>
      <c r="B299" s="2">
        <v>774</v>
      </c>
      <c r="C299" s="3">
        <v>774</v>
      </c>
      <c r="D299" s="2" t="s">
        <v>237</v>
      </c>
      <c r="E299" s="7" t="s">
        <v>307</v>
      </c>
      <c r="F299" s="2" t="s">
        <v>314</v>
      </c>
      <c r="G299" s="2"/>
      <c r="H299" s="10" t="s">
        <v>321</v>
      </c>
      <c r="I299" s="2"/>
      <c r="J299" s="2"/>
      <c r="K299" s="15"/>
    </row>
    <row r="300" spans="1:11" ht="11.4" customHeight="1" x14ac:dyDescent="0.25">
      <c r="A300" s="4" t="s">
        <v>18</v>
      </c>
      <c r="B300" s="2">
        <v>774</v>
      </c>
      <c r="C300" s="3">
        <v>774</v>
      </c>
      <c r="D300" s="2" t="s">
        <v>237</v>
      </c>
      <c r="E300" s="7" t="s">
        <v>305</v>
      </c>
      <c r="F300" s="2" t="s">
        <v>314</v>
      </c>
      <c r="G300" s="2"/>
      <c r="H300" s="10" t="s">
        <v>321</v>
      </c>
      <c r="I300" s="2"/>
      <c r="J300" s="2"/>
      <c r="K300" s="15"/>
    </row>
    <row r="301" spans="1:11" ht="11.4" customHeight="1" x14ac:dyDescent="0.25">
      <c r="A301" s="4" t="s">
        <v>18</v>
      </c>
      <c r="B301" s="2">
        <v>774</v>
      </c>
      <c r="C301" s="3">
        <v>774</v>
      </c>
      <c r="D301" s="2" t="s">
        <v>237</v>
      </c>
      <c r="E301" s="7" t="s">
        <v>306</v>
      </c>
      <c r="F301" s="2" t="s">
        <v>314</v>
      </c>
      <c r="G301" s="2"/>
      <c r="H301" s="10" t="s">
        <v>321</v>
      </c>
      <c r="I301" s="2"/>
      <c r="J301" s="2"/>
      <c r="K301" s="15"/>
    </row>
    <row r="302" spans="1:11" ht="11.4" customHeight="1" x14ac:dyDescent="0.25">
      <c r="A302" s="4" t="s">
        <v>54</v>
      </c>
      <c r="B302" s="2">
        <v>794</v>
      </c>
      <c r="C302" s="3">
        <v>794</v>
      </c>
      <c r="D302" s="2" t="s">
        <v>238</v>
      </c>
      <c r="E302" s="7" t="s">
        <v>307</v>
      </c>
      <c r="F302" s="2" t="s">
        <v>314</v>
      </c>
      <c r="G302" s="2"/>
      <c r="H302" s="10" t="s">
        <v>321</v>
      </c>
      <c r="I302" s="2"/>
      <c r="J302" s="2"/>
      <c r="K302" s="15"/>
    </row>
    <row r="303" spans="1:11" ht="11.4" customHeight="1" x14ac:dyDescent="0.25">
      <c r="A303" s="4" t="s">
        <v>54</v>
      </c>
      <c r="B303" s="2">
        <v>794</v>
      </c>
      <c r="C303" s="3">
        <v>794</v>
      </c>
      <c r="D303" s="2" t="s">
        <v>238</v>
      </c>
      <c r="E303" s="7" t="s">
        <v>305</v>
      </c>
      <c r="F303" s="2" t="s">
        <v>314</v>
      </c>
      <c r="G303" s="2"/>
      <c r="H303" s="10" t="s">
        <v>321</v>
      </c>
      <c r="I303" s="2"/>
      <c r="J303" s="2"/>
      <c r="K303" s="15"/>
    </row>
    <row r="304" spans="1:11" ht="11.4" customHeight="1" x14ac:dyDescent="0.25">
      <c r="A304" s="4" t="s">
        <v>59</v>
      </c>
      <c r="B304" s="2">
        <v>794</v>
      </c>
      <c r="C304" s="3">
        <v>2157</v>
      </c>
      <c r="D304" s="2" t="s">
        <v>267</v>
      </c>
      <c r="E304" s="7" t="s">
        <v>306</v>
      </c>
      <c r="F304" s="2" t="s">
        <v>313</v>
      </c>
      <c r="G304" s="10" t="s">
        <v>313</v>
      </c>
      <c r="H304" s="10"/>
      <c r="I304" s="2"/>
      <c r="J304" s="2"/>
      <c r="K304" s="15"/>
    </row>
    <row r="305" spans="1:11" ht="11.4" customHeight="1" x14ac:dyDescent="0.25">
      <c r="A305" s="4" t="s">
        <v>56</v>
      </c>
      <c r="B305" s="2">
        <v>546</v>
      </c>
      <c r="C305" s="3">
        <v>2156</v>
      </c>
      <c r="D305" s="2" t="s">
        <v>271</v>
      </c>
      <c r="E305" s="7" t="s">
        <v>306</v>
      </c>
      <c r="F305" s="2" t="s">
        <v>313</v>
      </c>
      <c r="G305" s="10" t="s">
        <v>313</v>
      </c>
      <c r="H305" s="10"/>
      <c r="I305" s="2"/>
      <c r="J305" s="2"/>
      <c r="K305" s="15"/>
    </row>
    <row r="306" spans="1:11" ht="11.4" customHeight="1" x14ac:dyDescent="0.25">
      <c r="A306" s="4" t="s">
        <v>55</v>
      </c>
      <c r="B306" s="2">
        <v>1242</v>
      </c>
      <c r="C306" s="3">
        <v>1244</v>
      </c>
      <c r="D306" s="18" t="s">
        <v>245</v>
      </c>
      <c r="E306" s="7" t="s">
        <v>301</v>
      </c>
      <c r="F306" s="2" t="s">
        <v>313</v>
      </c>
      <c r="G306" s="10" t="s">
        <v>313</v>
      </c>
      <c r="H306" s="10"/>
      <c r="I306" s="2"/>
      <c r="J306" s="2"/>
      <c r="K306" s="15"/>
    </row>
    <row r="307" spans="1:11" ht="11.4" customHeight="1" x14ac:dyDescent="0.25">
      <c r="A307" s="4" t="s">
        <v>55</v>
      </c>
      <c r="B307" s="2">
        <v>1242</v>
      </c>
      <c r="C307" s="3">
        <v>1242</v>
      </c>
      <c r="D307" s="18" t="s">
        <v>246</v>
      </c>
      <c r="E307" s="7" t="s">
        <v>307</v>
      </c>
      <c r="F307" s="2" t="s">
        <v>314</v>
      </c>
      <c r="G307" s="2"/>
      <c r="H307" s="10" t="s">
        <v>321</v>
      </c>
      <c r="I307" s="2"/>
      <c r="J307" s="2"/>
      <c r="K307" s="15"/>
    </row>
    <row r="308" spans="1:11" ht="11.4" customHeight="1" x14ac:dyDescent="0.25">
      <c r="A308" s="4" t="s">
        <v>51</v>
      </c>
      <c r="B308" s="2">
        <v>326</v>
      </c>
      <c r="C308" s="3">
        <v>2034</v>
      </c>
      <c r="D308" s="2" t="s">
        <v>255</v>
      </c>
      <c r="E308" s="7" t="s">
        <v>301</v>
      </c>
      <c r="F308" s="2" t="s">
        <v>313</v>
      </c>
      <c r="G308" s="10" t="s">
        <v>313</v>
      </c>
      <c r="H308" s="10"/>
      <c r="I308" s="2"/>
      <c r="J308" s="2"/>
      <c r="K308" s="15"/>
    </row>
    <row r="309" spans="1:11" ht="11.4" customHeight="1" x14ac:dyDescent="0.25">
      <c r="A309" s="4" t="s">
        <v>49</v>
      </c>
      <c r="B309" s="2">
        <v>326</v>
      </c>
      <c r="C309" s="3">
        <v>326</v>
      </c>
      <c r="D309" s="2" t="s">
        <v>256</v>
      </c>
      <c r="E309" s="7" t="s">
        <v>307</v>
      </c>
      <c r="F309" s="2" t="s">
        <v>314</v>
      </c>
      <c r="G309" s="2"/>
      <c r="H309" s="10" t="s">
        <v>321</v>
      </c>
      <c r="I309" s="2"/>
      <c r="J309" s="2"/>
      <c r="K309" s="15"/>
    </row>
    <row r="310" spans="1:11" ht="11.4" customHeight="1" x14ac:dyDescent="0.25">
      <c r="A310" s="4" t="s">
        <v>54</v>
      </c>
      <c r="B310" s="2">
        <v>61</v>
      </c>
      <c r="C310" s="3">
        <v>61</v>
      </c>
      <c r="D310" s="2" t="s">
        <v>240</v>
      </c>
      <c r="E310" s="7" t="s">
        <v>307</v>
      </c>
      <c r="F310" s="2" t="s">
        <v>314</v>
      </c>
      <c r="G310" s="2"/>
      <c r="H310" s="10" t="s">
        <v>321</v>
      </c>
      <c r="I310" s="2"/>
      <c r="J310" s="2"/>
      <c r="K310" s="15"/>
    </row>
    <row r="311" spans="1:11" ht="11.4" customHeight="1" x14ac:dyDescent="0.25">
      <c r="A311" s="4" t="s">
        <v>54</v>
      </c>
      <c r="B311" s="2">
        <v>61</v>
      </c>
      <c r="C311" s="3">
        <v>61</v>
      </c>
      <c r="D311" s="2" t="s">
        <v>240</v>
      </c>
      <c r="E311" s="7" t="s">
        <v>305</v>
      </c>
      <c r="F311" s="2" t="s">
        <v>314</v>
      </c>
      <c r="G311" s="2"/>
      <c r="H311" s="10" t="s">
        <v>321</v>
      </c>
      <c r="I311" s="2"/>
      <c r="J311" s="2"/>
      <c r="K311" s="15"/>
    </row>
    <row r="312" spans="1:11" ht="11.4" customHeight="1" x14ac:dyDescent="0.25">
      <c r="A312" s="4" t="s">
        <v>54</v>
      </c>
      <c r="B312" s="2">
        <v>61</v>
      </c>
      <c r="C312" s="3">
        <v>61</v>
      </c>
      <c r="D312" s="2" t="s">
        <v>240</v>
      </c>
      <c r="E312" s="7" t="s">
        <v>311</v>
      </c>
      <c r="F312" s="2" t="s">
        <v>314</v>
      </c>
      <c r="G312" s="2"/>
      <c r="H312" s="10" t="s">
        <v>321</v>
      </c>
      <c r="I312" s="12"/>
      <c r="J312" s="2"/>
      <c r="K312" s="15"/>
    </row>
    <row r="313" spans="1:11" ht="11.4" customHeight="1" x14ac:dyDescent="0.25">
      <c r="A313" s="4" t="s">
        <v>50</v>
      </c>
      <c r="B313" s="2">
        <v>873</v>
      </c>
      <c r="C313" s="3">
        <v>2305</v>
      </c>
      <c r="D313" s="2" t="s">
        <v>272</v>
      </c>
      <c r="E313" s="7" t="s">
        <v>297</v>
      </c>
      <c r="F313" s="2" t="s">
        <v>313</v>
      </c>
      <c r="G313" s="10" t="s">
        <v>313</v>
      </c>
      <c r="H313" s="10"/>
      <c r="I313" s="2"/>
      <c r="J313" s="2"/>
      <c r="K313" s="15"/>
    </row>
    <row r="314" spans="1:11" ht="11.4" customHeight="1" x14ac:dyDescent="0.25">
      <c r="A314" s="4" t="s">
        <v>59</v>
      </c>
      <c r="B314" s="2">
        <v>61</v>
      </c>
      <c r="C314" s="3">
        <v>2161</v>
      </c>
      <c r="D314" s="2" t="s">
        <v>273</v>
      </c>
      <c r="E314" s="7" t="s">
        <v>306</v>
      </c>
      <c r="F314" s="2" t="s">
        <v>313</v>
      </c>
      <c r="G314" s="10" t="s">
        <v>313</v>
      </c>
      <c r="H314" s="10"/>
      <c r="I314" s="2"/>
      <c r="J314" s="2"/>
      <c r="K314" s="15"/>
    </row>
    <row r="315" spans="1:11" ht="11.4" customHeight="1" x14ac:dyDescent="0.25">
      <c r="A315" s="4" t="s">
        <v>50</v>
      </c>
      <c r="B315" s="2">
        <v>872</v>
      </c>
      <c r="C315" s="3">
        <v>2292</v>
      </c>
      <c r="D315" s="2" t="s">
        <v>241</v>
      </c>
      <c r="E315" s="7" t="s">
        <v>297</v>
      </c>
      <c r="F315" s="2" t="s">
        <v>313</v>
      </c>
      <c r="G315" s="10" t="s">
        <v>313</v>
      </c>
      <c r="H315" s="10"/>
      <c r="I315" s="2"/>
      <c r="J315" s="2"/>
      <c r="K315" s="15"/>
    </row>
    <row r="316" spans="1:11" ht="11.4" customHeight="1" x14ac:dyDescent="0.25">
      <c r="A316" s="4" t="s">
        <v>50</v>
      </c>
      <c r="B316" s="2">
        <v>251</v>
      </c>
      <c r="C316" s="3">
        <v>251</v>
      </c>
      <c r="D316" s="2" t="s">
        <v>242</v>
      </c>
      <c r="E316" s="7" t="s">
        <v>307</v>
      </c>
      <c r="F316" s="2" t="s">
        <v>314</v>
      </c>
      <c r="G316" s="2"/>
      <c r="H316" s="10" t="s">
        <v>321</v>
      </c>
      <c r="I316" s="2"/>
      <c r="J316" s="2"/>
      <c r="K316" s="15"/>
    </row>
    <row r="317" spans="1:11" ht="11.4" customHeight="1" x14ac:dyDescent="0.25">
      <c r="A317" s="4" t="s">
        <v>50</v>
      </c>
      <c r="B317" s="2">
        <v>251</v>
      </c>
      <c r="C317" s="3">
        <v>251</v>
      </c>
      <c r="D317" s="2" t="s">
        <v>242</v>
      </c>
      <c r="E317" s="7" t="s">
        <v>301</v>
      </c>
      <c r="F317" s="2" t="s">
        <v>314</v>
      </c>
      <c r="G317" s="2"/>
      <c r="H317" s="10" t="s">
        <v>321</v>
      </c>
      <c r="I317" s="12"/>
      <c r="J317" s="2"/>
      <c r="K317" s="15"/>
    </row>
    <row r="318" spans="1:11" ht="11.4" customHeight="1" x14ac:dyDescent="0.25">
      <c r="A318" s="4" t="s">
        <v>51</v>
      </c>
      <c r="B318" s="2">
        <v>682</v>
      </c>
      <c r="C318" s="3">
        <v>2282</v>
      </c>
      <c r="D318" s="2" t="s">
        <v>229</v>
      </c>
      <c r="E318" s="7" t="s">
        <v>301</v>
      </c>
      <c r="F318" s="2" t="s">
        <v>313</v>
      </c>
      <c r="G318" s="10" t="s">
        <v>313</v>
      </c>
      <c r="H318" s="10"/>
      <c r="I318" s="2"/>
      <c r="J318" s="2"/>
      <c r="K318" s="15"/>
    </row>
    <row r="319" spans="1:11" ht="11.4" customHeight="1" x14ac:dyDescent="0.25">
      <c r="A319" s="4" t="s">
        <v>48</v>
      </c>
      <c r="B319" s="2">
        <v>683</v>
      </c>
      <c r="C319" s="3">
        <v>683</v>
      </c>
      <c r="D319" s="2" t="s">
        <v>353</v>
      </c>
      <c r="E319" s="7" t="s">
        <v>307</v>
      </c>
      <c r="F319" s="2" t="s">
        <v>314</v>
      </c>
      <c r="G319" s="2"/>
      <c r="H319" s="10" t="s">
        <v>321</v>
      </c>
      <c r="I319" s="2"/>
      <c r="J319" s="2"/>
      <c r="K319" s="15"/>
    </row>
    <row r="320" spans="1:11" ht="11.4" customHeight="1" x14ac:dyDescent="0.25">
      <c r="A320" s="4" t="s">
        <v>48</v>
      </c>
      <c r="B320" s="2">
        <v>683</v>
      </c>
      <c r="C320" s="3">
        <v>683</v>
      </c>
      <c r="D320" s="2" t="s">
        <v>243</v>
      </c>
      <c r="E320" s="7" t="s">
        <v>305</v>
      </c>
      <c r="F320" s="2" t="s">
        <v>314</v>
      </c>
      <c r="G320" s="2"/>
      <c r="H320" s="10" t="s">
        <v>321</v>
      </c>
      <c r="I320" s="2"/>
      <c r="J320" s="2"/>
      <c r="K320" s="15"/>
    </row>
    <row r="321" spans="1:11" ht="11.4" customHeight="1" x14ac:dyDescent="0.25">
      <c r="A321" s="4" t="s">
        <v>54</v>
      </c>
      <c r="B321" s="2">
        <v>1232</v>
      </c>
      <c r="C321" s="3">
        <v>1232</v>
      </c>
      <c r="D321" s="2" t="s">
        <v>354</v>
      </c>
      <c r="E321" s="7" t="s">
        <v>307</v>
      </c>
      <c r="F321" s="2" t="s">
        <v>314</v>
      </c>
      <c r="G321" s="2"/>
      <c r="H321" s="10" t="s">
        <v>321</v>
      </c>
      <c r="I321" s="2"/>
      <c r="J321" s="2"/>
      <c r="K321" s="15"/>
    </row>
    <row r="322" spans="1:11" ht="11.4" customHeight="1" x14ac:dyDescent="0.25">
      <c r="A322" s="4" t="s">
        <v>59</v>
      </c>
      <c r="B322" s="2">
        <v>1232</v>
      </c>
      <c r="C322" s="3">
        <v>2422</v>
      </c>
      <c r="D322" s="2" t="s">
        <v>355</v>
      </c>
      <c r="E322" s="7" t="s">
        <v>306</v>
      </c>
      <c r="F322" s="2" t="s">
        <v>313</v>
      </c>
      <c r="G322" s="10" t="s">
        <v>313</v>
      </c>
      <c r="H322" s="10"/>
      <c r="I322" s="2"/>
      <c r="J322" s="2"/>
      <c r="K322" s="15"/>
    </row>
    <row r="323" spans="1:11" ht="11.4" customHeight="1" x14ac:dyDescent="0.25">
      <c r="A323" s="4" t="s">
        <v>54</v>
      </c>
      <c r="B323" s="2">
        <v>58</v>
      </c>
      <c r="C323" s="3">
        <v>58</v>
      </c>
      <c r="D323" s="2" t="s">
        <v>244</v>
      </c>
      <c r="E323" s="7" t="s">
        <v>307</v>
      </c>
      <c r="F323" s="2" t="s">
        <v>314</v>
      </c>
      <c r="G323" s="2"/>
      <c r="H323" s="10" t="s">
        <v>321</v>
      </c>
      <c r="I323" s="2"/>
      <c r="J323" s="2"/>
      <c r="K323" s="15"/>
    </row>
    <row r="324" spans="1:11" ht="11.4" customHeight="1" x14ac:dyDescent="0.25">
      <c r="A324" s="4" t="s">
        <v>54</v>
      </c>
      <c r="B324" s="2">
        <v>58</v>
      </c>
      <c r="C324" s="3">
        <v>58</v>
      </c>
      <c r="D324" s="2" t="s">
        <v>244</v>
      </c>
      <c r="E324" s="7" t="s">
        <v>305</v>
      </c>
      <c r="F324" s="2" t="s">
        <v>314</v>
      </c>
      <c r="G324" s="2"/>
      <c r="H324" s="10" t="s">
        <v>321</v>
      </c>
      <c r="I324" s="2"/>
      <c r="J324" s="2"/>
      <c r="K324" s="15"/>
    </row>
    <row r="325" spans="1:11" ht="11.4" customHeight="1" x14ac:dyDescent="0.25">
      <c r="A325" s="4" t="s">
        <v>54</v>
      </c>
      <c r="B325" s="2">
        <v>58</v>
      </c>
      <c r="C325" s="3">
        <v>58</v>
      </c>
      <c r="D325" s="2" t="s">
        <v>244</v>
      </c>
      <c r="E325" s="7" t="s">
        <v>311</v>
      </c>
      <c r="F325" s="2" t="s">
        <v>314</v>
      </c>
      <c r="G325" s="2"/>
      <c r="H325" s="10" t="s">
        <v>321</v>
      </c>
      <c r="I325" s="2"/>
      <c r="J325" s="2"/>
      <c r="K325" s="15"/>
    </row>
    <row r="326" spans="1:11" ht="11.4" customHeight="1" x14ac:dyDescent="0.25">
      <c r="A326" s="4" t="s">
        <v>18</v>
      </c>
      <c r="B326" s="2">
        <v>888</v>
      </c>
      <c r="C326" s="3">
        <v>888</v>
      </c>
      <c r="D326" s="2" t="s">
        <v>247</v>
      </c>
      <c r="E326" s="7" t="s">
        <v>307</v>
      </c>
      <c r="F326" s="2" t="s">
        <v>314</v>
      </c>
      <c r="G326" s="2"/>
      <c r="H326" s="10" t="s">
        <v>321</v>
      </c>
      <c r="I326" s="2"/>
      <c r="J326" s="2"/>
      <c r="K326" s="15"/>
    </row>
    <row r="327" spans="1:11" ht="11.4" customHeight="1" x14ac:dyDescent="0.25">
      <c r="A327" s="4" t="s">
        <v>18</v>
      </c>
      <c r="B327" s="2">
        <v>888</v>
      </c>
      <c r="C327" s="3">
        <v>888</v>
      </c>
      <c r="D327" s="2" t="s">
        <v>247</v>
      </c>
      <c r="E327" s="7" t="s">
        <v>305</v>
      </c>
      <c r="F327" s="2" t="s">
        <v>314</v>
      </c>
      <c r="G327" s="2"/>
      <c r="H327" s="10" t="s">
        <v>321</v>
      </c>
      <c r="I327" s="2"/>
      <c r="J327" s="2"/>
      <c r="K327" s="15"/>
    </row>
    <row r="328" spans="1:11" ht="11.4" customHeight="1" x14ac:dyDescent="0.25">
      <c r="A328" s="4" t="s">
        <v>18</v>
      </c>
      <c r="B328" s="2">
        <v>888</v>
      </c>
      <c r="C328" s="3">
        <v>888</v>
      </c>
      <c r="D328" s="2" t="s">
        <v>247</v>
      </c>
      <c r="E328" s="7" t="s">
        <v>299</v>
      </c>
      <c r="F328" s="2" t="s">
        <v>314</v>
      </c>
      <c r="G328" s="2"/>
      <c r="H328" s="10" t="s">
        <v>321</v>
      </c>
      <c r="I328" s="2"/>
      <c r="J328" s="2"/>
      <c r="K328" s="15"/>
    </row>
    <row r="329" spans="1:11" ht="11.4" customHeight="1" x14ac:dyDescent="0.25">
      <c r="A329" s="4" t="s">
        <v>18</v>
      </c>
      <c r="B329" s="2">
        <v>888</v>
      </c>
      <c r="C329" s="3">
        <v>888</v>
      </c>
      <c r="D329" s="2" t="s">
        <v>247</v>
      </c>
      <c r="E329" s="7" t="s">
        <v>306</v>
      </c>
      <c r="F329" s="2" t="s">
        <v>314</v>
      </c>
      <c r="G329" s="2"/>
      <c r="H329" s="10" t="s">
        <v>321</v>
      </c>
      <c r="I329" s="2"/>
      <c r="J329" s="2"/>
      <c r="K329" s="15"/>
    </row>
    <row r="330" spans="1:11" ht="11.4" customHeight="1" x14ac:dyDescent="0.25">
      <c r="A330" s="4" t="s">
        <v>53</v>
      </c>
      <c r="B330" s="2">
        <v>938</v>
      </c>
      <c r="C330" s="3">
        <v>938</v>
      </c>
      <c r="D330" s="2" t="s">
        <v>248</v>
      </c>
      <c r="E330" s="7" t="s">
        <v>305</v>
      </c>
      <c r="F330" s="2" t="s">
        <v>314</v>
      </c>
      <c r="G330" s="2"/>
      <c r="H330" s="10" t="s">
        <v>321</v>
      </c>
      <c r="I330" s="2"/>
      <c r="J330" s="2"/>
      <c r="K330" s="15"/>
    </row>
    <row r="331" spans="1:11" ht="11.4" customHeight="1" x14ac:dyDescent="0.25">
      <c r="A331" s="4" t="s">
        <v>47</v>
      </c>
      <c r="B331" s="2">
        <v>895</v>
      </c>
      <c r="C331" s="3">
        <v>206</v>
      </c>
      <c r="D331" s="18" t="s">
        <v>261</v>
      </c>
      <c r="E331" s="7" t="s">
        <v>307</v>
      </c>
      <c r="F331" s="2" t="s">
        <v>314</v>
      </c>
      <c r="G331" s="2"/>
      <c r="H331" s="10" t="s">
        <v>321</v>
      </c>
      <c r="I331" s="2"/>
      <c r="J331" s="2"/>
      <c r="K331" s="15"/>
    </row>
    <row r="332" spans="1:11" ht="11.4" customHeight="1" x14ac:dyDescent="0.25">
      <c r="A332" s="4" t="s">
        <v>47</v>
      </c>
      <c r="B332" s="2">
        <v>895</v>
      </c>
      <c r="C332" s="3">
        <v>206</v>
      </c>
      <c r="D332" s="18" t="s">
        <v>261</v>
      </c>
      <c r="E332" s="7" t="s">
        <v>306</v>
      </c>
      <c r="F332" s="2" t="s">
        <v>314</v>
      </c>
      <c r="G332" s="2"/>
      <c r="H332" s="10" t="s">
        <v>321</v>
      </c>
      <c r="I332" s="2"/>
      <c r="J332" s="2"/>
      <c r="K332" s="15"/>
    </row>
    <row r="333" spans="1:11" ht="11.4" customHeight="1" x14ac:dyDescent="0.25">
      <c r="A333" s="4" t="s">
        <v>59</v>
      </c>
      <c r="B333" s="2">
        <v>58</v>
      </c>
      <c r="C333" s="3">
        <v>2159</v>
      </c>
      <c r="D333" s="2" t="s">
        <v>276</v>
      </c>
      <c r="E333" s="7" t="s">
        <v>306</v>
      </c>
      <c r="F333" s="2" t="s">
        <v>313</v>
      </c>
      <c r="G333" s="10" t="s">
        <v>313</v>
      </c>
      <c r="H333" s="10"/>
      <c r="I333" s="2"/>
      <c r="J333" s="2"/>
      <c r="K333" s="15"/>
    </row>
    <row r="334" spans="1:11" ht="11.4" customHeight="1" x14ac:dyDescent="0.25">
      <c r="A334" s="4" t="s">
        <v>48</v>
      </c>
      <c r="B334" s="2">
        <v>453</v>
      </c>
      <c r="C334" s="3">
        <v>453</v>
      </c>
      <c r="D334" s="2" t="s">
        <v>249</v>
      </c>
      <c r="E334" s="7" t="s">
        <v>303</v>
      </c>
      <c r="F334" s="2" t="s">
        <v>314</v>
      </c>
      <c r="G334" s="2"/>
      <c r="H334" s="10" t="s">
        <v>321</v>
      </c>
      <c r="I334" s="2"/>
      <c r="J334" s="2"/>
      <c r="K334" s="15"/>
    </row>
    <row r="335" spans="1:11" ht="11.4" customHeight="1" x14ac:dyDescent="0.25">
      <c r="A335" s="4" t="s">
        <v>57</v>
      </c>
      <c r="B335" s="2">
        <v>936</v>
      </c>
      <c r="C335" s="3">
        <v>936</v>
      </c>
      <c r="D335" s="18" t="s">
        <v>264</v>
      </c>
      <c r="E335" s="7" t="s">
        <v>305</v>
      </c>
      <c r="F335" s="2" t="s">
        <v>314</v>
      </c>
      <c r="G335" s="2"/>
      <c r="H335" s="10" t="s">
        <v>321</v>
      </c>
      <c r="I335" s="2"/>
      <c r="J335" s="2"/>
      <c r="K335" s="15"/>
    </row>
    <row r="336" spans="1:11" ht="11.4" customHeight="1" x14ac:dyDescent="0.25">
      <c r="A336" s="4" t="s">
        <v>57</v>
      </c>
      <c r="B336" s="2">
        <v>936</v>
      </c>
      <c r="C336" s="3">
        <v>2221</v>
      </c>
      <c r="D336" s="18" t="s">
        <v>265</v>
      </c>
      <c r="E336" s="7" t="s">
        <v>301</v>
      </c>
      <c r="F336" s="2" t="s">
        <v>313</v>
      </c>
      <c r="G336" s="10" t="s">
        <v>313</v>
      </c>
      <c r="H336" s="10"/>
      <c r="I336" s="2"/>
      <c r="J336" s="2"/>
      <c r="K336" s="15"/>
    </row>
    <row r="337" spans="1:11" ht="11.4" customHeight="1" x14ac:dyDescent="0.25">
      <c r="A337" s="4" t="s">
        <v>58</v>
      </c>
      <c r="B337" s="2">
        <v>1239</v>
      </c>
      <c r="C337" s="3">
        <v>2368</v>
      </c>
      <c r="D337" s="18" t="s">
        <v>266</v>
      </c>
      <c r="E337" s="7" t="s">
        <v>301</v>
      </c>
      <c r="F337" s="2" t="s">
        <v>313</v>
      </c>
      <c r="G337" s="10" t="s">
        <v>313</v>
      </c>
      <c r="H337" s="10"/>
      <c r="I337" s="2"/>
      <c r="J337" s="2"/>
      <c r="K337" s="15"/>
    </row>
    <row r="338" spans="1:11" ht="11.4" customHeight="1" x14ac:dyDescent="0.25">
      <c r="A338" s="4" t="s">
        <v>48</v>
      </c>
      <c r="B338" s="2">
        <v>453</v>
      </c>
      <c r="C338" s="3">
        <v>453</v>
      </c>
      <c r="D338" s="2" t="s">
        <v>249</v>
      </c>
      <c r="E338" s="7" t="s">
        <v>305</v>
      </c>
      <c r="F338" s="2" t="s">
        <v>314</v>
      </c>
      <c r="G338" s="2"/>
      <c r="H338" s="10" t="s">
        <v>321</v>
      </c>
      <c r="I338" s="2"/>
      <c r="J338" s="2"/>
      <c r="K338" s="15"/>
    </row>
    <row r="339" spans="1:11" ht="11.4" customHeight="1" x14ac:dyDescent="0.25">
      <c r="A339" s="4" t="s">
        <v>48</v>
      </c>
      <c r="B339" s="2">
        <v>22</v>
      </c>
      <c r="C339" s="3">
        <v>22</v>
      </c>
      <c r="D339" s="2" t="s">
        <v>250</v>
      </c>
      <c r="E339" s="7" t="s">
        <v>307</v>
      </c>
      <c r="F339" s="2" t="s">
        <v>314</v>
      </c>
      <c r="G339" s="2"/>
      <c r="H339" s="10" t="s">
        <v>321</v>
      </c>
      <c r="I339" s="2"/>
      <c r="J339" s="2"/>
      <c r="K339" s="15"/>
    </row>
    <row r="340" spans="1:11" ht="11.4" customHeight="1" x14ac:dyDescent="0.25">
      <c r="A340" s="4" t="s">
        <v>48</v>
      </c>
      <c r="B340" s="2">
        <v>22</v>
      </c>
      <c r="C340" s="3">
        <v>22</v>
      </c>
      <c r="D340" s="2" t="s">
        <v>250</v>
      </c>
      <c r="E340" s="7" t="s">
        <v>305</v>
      </c>
      <c r="F340" s="2" t="s">
        <v>314</v>
      </c>
      <c r="G340" s="2"/>
      <c r="H340" s="10" t="s">
        <v>321</v>
      </c>
      <c r="I340" s="2"/>
      <c r="J340" s="2"/>
      <c r="K340" s="15"/>
    </row>
    <row r="341" spans="1:11" ht="11.4" customHeight="1" x14ac:dyDescent="0.25">
      <c r="A341" s="4" t="s">
        <v>56</v>
      </c>
      <c r="B341" s="2">
        <v>902</v>
      </c>
      <c r="C341" s="3">
        <v>2330</v>
      </c>
      <c r="D341" s="2" t="s">
        <v>251</v>
      </c>
      <c r="E341" s="7" t="s">
        <v>306</v>
      </c>
      <c r="F341" s="2" t="s">
        <v>313</v>
      </c>
      <c r="G341" s="10" t="s">
        <v>313</v>
      </c>
      <c r="H341" s="10"/>
      <c r="I341" s="2"/>
      <c r="J341" s="2"/>
      <c r="K341" s="15"/>
    </row>
    <row r="342" spans="1:11" ht="11.4" customHeight="1" x14ac:dyDescent="0.25">
      <c r="A342" s="4" t="s">
        <v>54</v>
      </c>
      <c r="B342" s="2">
        <v>909</v>
      </c>
      <c r="C342" s="3">
        <v>909</v>
      </c>
      <c r="D342" s="2" t="s">
        <v>252</v>
      </c>
      <c r="E342" s="7" t="s">
        <v>311</v>
      </c>
      <c r="F342" s="2" t="s">
        <v>314</v>
      </c>
      <c r="G342" s="2"/>
      <c r="H342" s="10" t="s">
        <v>321</v>
      </c>
      <c r="I342" s="2"/>
      <c r="J342" s="2"/>
      <c r="K342" s="15"/>
    </row>
    <row r="343" spans="1:11" ht="11.4" customHeight="1" x14ac:dyDescent="0.25">
      <c r="A343" s="4" t="s">
        <v>59</v>
      </c>
      <c r="B343" s="2">
        <v>909</v>
      </c>
      <c r="C343" s="3">
        <v>2153</v>
      </c>
      <c r="D343" s="2" t="s">
        <v>268</v>
      </c>
      <c r="E343" s="7" t="s">
        <v>306</v>
      </c>
      <c r="F343" s="2" t="s">
        <v>313</v>
      </c>
      <c r="G343" s="10" t="s">
        <v>313</v>
      </c>
      <c r="H343" s="10"/>
      <c r="I343" s="2"/>
      <c r="J343" s="2"/>
      <c r="K343" s="15"/>
    </row>
    <row r="344" spans="1:11" ht="11.4" customHeight="1" x14ac:dyDescent="0.25">
      <c r="A344" s="4" t="s">
        <v>59</v>
      </c>
      <c r="B344" s="2">
        <v>225</v>
      </c>
      <c r="C344" s="3">
        <v>2158</v>
      </c>
      <c r="D344" s="2" t="s">
        <v>269</v>
      </c>
      <c r="E344" s="7" t="s">
        <v>306</v>
      </c>
      <c r="F344" s="2" t="s">
        <v>313</v>
      </c>
      <c r="G344" s="10" t="s">
        <v>313</v>
      </c>
      <c r="H344" s="10"/>
      <c r="I344" s="2"/>
      <c r="J344" s="2"/>
      <c r="K344" s="15"/>
    </row>
    <row r="345" spans="1:11" ht="11.4" customHeight="1" x14ac:dyDescent="0.25">
      <c r="A345" s="4" t="s">
        <v>54</v>
      </c>
      <c r="B345" s="2">
        <v>225</v>
      </c>
      <c r="C345" s="3">
        <v>225</v>
      </c>
      <c r="D345" s="2" t="s">
        <v>253</v>
      </c>
      <c r="E345" s="7" t="s">
        <v>307</v>
      </c>
      <c r="F345" s="2" t="s">
        <v>314</v>
      </c>
      <c r="G345" s="2"/>
      <c r="H345" s="10" t="s">
        <v>321</v>
      </c>
      <c r="I345" s="2"/>
      <c r="J345" s="2"/>
      <c r="K345" s="15"/>
    </row>
    <row r="346" spans="1:11" ht="11.4" customHeight="1" x14ac:dyDescent="0.25">
      <c r="A346" s="4" t="s">
        <v>54</v>
      </c>
      <c r="B346" s="2">
        <v>225</v>
      </c>
      <c r="C346" s="3">
        <v>225</v>
      </c>
      <c r="D346" s="2" t="s">
        <v>253</v>
      </c>
      <c r="E346" s="7" t="s">
        <v>305</v>
      </c>
      <c r="F346" s="2" t="s">
        <v>314</v>
      </c>
      <c r="G346" s="2"/>
      <c r="H346" s="10" t="s">
        <v>321</v>
      </c>
      <c r="I346" s="2"/>
      <c r="J346" s="2"/>
      <c r="K346" s="15"/>
    </row>
    <row r="347" spans="1:11" ht="11.4" customHeight="1" x14ac:dyDescent="0.25">
      <c r="A347" s="4" t="s">
        <v>58</v>
      </c>
      <c r="B347" s="2">
        <v>58</v>
      </c>
      <c r="C347" s="3">
        <v>2189</v>
      </c>
      <c r="D347" s="18" t="s">
        <v>274</v>
      </c>
      <c r="E347" s="7" t="s">
        <v>306</v>
      </c>
      <c r="F347" s="2" t="s">
        <v>313</v>
      </c>
      <c r="G347" s="10" t="s">
        <v>313</v>
      </c>
      <c r="H347" s="10"/>
      <c r="I347" s="2"/>
      <c r="J347" s="2"/>
      <c r="K347" s="15"/>
    </row>
    <row r="348" spans="1:11" ht="11.4" customHeight="1" x14ac:dyDescent="0.25">
      <c r="A348" s="4" t="s">
        <v>57</v>
      </c>
      <c r="B348" s="2">
        <v>58</v>
      </c>
      <c r="C348" s="3">
        <v>2222</v>
      </c>
      <c r="D348" s="18" t="s">
        <v>275</v>
      </c>
      <c r="E348" s="7" t="s">
        <v>301</v>
      </c>
      <c r="F348" s="2" t="s">
        <v>313</v>
      </c>
      <c r="G348" s="10" t="s">
        <v>313</v>
      </c>
      <c r="H348" s="10"/>
      <c r="I348" s="2"/>
      <c r="J348" s="2"/>
      <c r="K348" s="15"/>
    </row>
    <row r="349" spans="1:11" ht="11.4" customHeight="1" x14ac:dyDescent="0.25">
      <c r="A349" s="4" t="s">
        <v>40</v>
      </c>
      <c r="B349" s="2">
        <v>307</v>
      </c>
      <c r="C349" s="3">
        <v>307</v>
      </c>
      <c r="D349" s="2" t="s">
        <v>257</v>
      </c>
      <c r="E349" s="7" t="s">
        <v>300</v>
      </c>
      <c r="F349" s="2" t="s">
        <v>314</v>
      </c>
      <c r="G349" s="2"/>
      <c r="H349" s="10" t="s">
        <v>321</v>
      </c>
      <c r="I349" s="12"/>
      <c r="J349" s="2"/>
      <c r="K349" s="15"/>
    </row>
    <row r="350" spans="1:11" ht="11.4" customHeight="1" x14ac:dyDescent="0.25">
      <c r="A350" s="4" t="s">
        <v>12</v>
      </c>
      <c r="B350" s="2">
        <v>2</v>
      </c>
      <c r="C350" s="3">
        <v>2</v>
      </c>
      <c r="D350" s="2" t="s">
        <v>277</v>
      </c>
      <c r="E350" s="7" t="s">
        <v>303</v>
      </c>
      <c r="F350" s="2" t="s">
        <v>314</v>
      </c>
      <c r="G350" s="2"/>
      <c r="H350" s="16" t="s">
        <v>321</v>
      </c>
      <c r="I350" s="12"/>
      <c r="J350" s="2"/>
      <c r="K350" s="15"/>
    </row>
    <row r="351" spans="1:11" ht="11.4" customHeight="1" x14ac:dyDescent="0.25">
      <c r="A351" s="4" t="s">
        <v>12</v>
      </c>
      <c r="B351" s="2">
        <v>2</v>
      </c>
      <c r="C351" s="3">
        <v>2</v>
      </c>
      <c r="D351" s="2" t="s">
        <v>277</v>
      </c>
      <c r="E351" s="7" t="s">
        <v>302</v>
      </c>
      <c r="F351" s="2" t="s">
        <v>314</v>
      </c>
      <c r="G351" s="2"/>
      <c r="H351" s="10" t="s">
        <v>321</v>
      </c>
      <c r="I351" s="2"/>
      <c r="J351" s="2"/>
      <c r="K351" s="15"/>
    </row>
    <row r="352" spans="1:11" ht="11.4" customHeight="1" x14ac:dyDescent="0.25">
      <c r="A352" s="4" t="s">
        <v>30</v>
      </c>
      <c r="B352" s="2">
        <v>978</v>
      </c>
      <c r="C352" s="3">
        <v>978</v>
      </c>
      <c r="D352" s="2" t="s">
        <v>278</v>
      </c>
      <c r="E352" s="7" t="s">
        <v>298</v>
      </c>
      <c r="F352" s="2" t="s">
        <v>314</v>
      </c>
      <c r="G352" s="12"/>
      <c r="H352" s="10" t="s">
        <v>321</v>
      </c>
      <c r="I352" s="12"/>
      <c r="J352" s="2"/>
      <c r="K352" s="15"/>
    </row>
    <row r="353" spans="1:11" ht="11.4" customHeight="1" x14ac:dyDescent="0.25">
      <c r="A353" s="4" t="s">
        <v>30</v>
      </c>
      <c r="B353" s="2">
        <v>978</v>
      </c>
      <c r="C353" s="3">
        <v>978</v>
      </c>
      <c r="D353" s="2" t="s">
        <v>278</v>
      </c>
      <c r="E353" s="7" t="s">
        <v>299</v>
      </c>
      <c r="F353" s="2" t="s">
        <v>314</v>
      </c>
      <c r="G353" s="2"/>
      <c r="H353" s="10" t="s">
        <v>321</v>
      </c>
      <c r="I353" s="12"/>
      <c r="J353" s="2"/>
      <c r="K353" s="15"/>
    </row>
    <row r="354" spans="1:11" ht="11.4" customHeight="1" x14ac:dyDescent="0.25">
      <c r="A354" s="4" t="s">
        <v>30</v>
      </c>
      <c r="B354" s="2">
        <v>978</v>
      </c>
      <c r="C354" s="3">
        <v>978</v>
      </c>
      <c r="D354" s="2" t="s">
        <v>278</v>
      </c>
      <c r="E354" s="7" t="s">
        <v>308</v>
      </c>
      <c r="F354" s="2" t="s">
        <v>314</v>
      </c>
      <c r="G354" s="2"/>
      <c r="H354" s="10" t="s">
        <v>321</v>
      </c>
      <c r="I354" s="12"/>
      <c r="J354" s="2"/>
      <c r="K354" s="15"/>
    </row>
    <row r="355" spans="1:11" ht="11.4" customHeight="1" x14ac:dyDescent="0.25">
      <c r="A355" s="4" t="s">
        <v>9</v>
      </c>
      <c r="B355" s="2">
        <v>978</v>
      </c>
      <c r="C355" s="3">
        <v>2316</v>
      </c>
      <c r="D355" s="2" t="s">
        <v>279</v>
      </c>
      <c r="E355" s="7" t="s">
        <v>299</v>
      </c>
      <c r="F355" s="2" t="s">
        <v>313</v>
      </c>
      <c r="G355" s="10" t="s">
        <v>313</v>
      </c>
      <c r="H355" s="10"/>
      <c r="I355" s="2"/>
      <c r="J355" s="2"/>
      <c r="K355" s="15"/>
    </row>
    <row r="356" spans="1:11" ht="11.4" customHeight="1" x14ac:dyDescent="0.25">
      <c r="A356" s="4" t="s">
        <v>23</v>
      </c>
      <c r="B356" s="2">
        <v>903</v>
      </c>
      <c r="C356" s="3">
        <v>903</v>
      </c>
      <c r="D356" s="2" t="s">
        <v>280</v>
      </c>
      <c r="E356" s="7" t="s">
        <v>298</v>
      </c>
      <c r="F356" s="2" t="s">
        <v>314</v>
      </c>
      <c r="G356" s="12"/>
      <c r="H356" s="10" t="s">
        <v>321</v>
      </c>
      <c r="I356" s="12"/>
      <c r="J356" s="2"/>
      <c r="K356" s="15"/>
    </row>
    <row r="357" spans="1:11" ht="11.4" customHeight="1" x14ac:dyDescent="0.25">
      <c r="A357" s="4" t="s">
        <v>23</v>
      </c>
      <c r="B357" s="2">
        <v>903</v>
      </c>
      <c r="C357" s="3">
        <v>903</v>
      </c>
      <c r="D357" s="2" t="s">
        <v>280</v>
      </c>
      <c r="E357" s="7" t="s">
        <v>299</v>
      </c>
      <c r="F357" s="2" t="s">
        <v>314</v>
      </c>
      <c r="G357" s="12"/>
      <c r="H357" s="10" t="s">
        <v>321</v>
      </c>
      <c r="I357" s="12"/>
      <c r="J357" s="2"/>
      <c r="K357" s="15"/>
    </row>
    <row r="358" spans="1:11" ht="11.4" customHeight="1" x14ac:dyDescent="0.25">
      <c r="A358" s="4" t="s">
        <v>43</v>
      </c>
      <c r="B358" s="2">
        <v>141</v>
      </c>
      <c r="C358" s="3">
        <v>141</v>
      </c>
      <c r="D358" s="2" t="s">
        <v>281</v>
      </c>
      <c r="E358" s="7" t="s">
        <v>302</v>
      </c>
      <c r="F358" s="2" t="s">
        <v>314</v>
      </c>
      <c r="G358" s="2"/>
      <c r="H358" s="10" t="s">
        <v>321</v>
      </c>
      <c r="I358" s="12"/>
      <c r="J358" s="2"/>
      <c r="K358" s="15"/>
    </row>
    <row r="359" spans="1:11" ht="11.4" customHeight="1" x14ac:dyDescent="0.25">
      <c r="A359" s="4" t="s">
        <v>14</v>
      </c>
      <c r="B359" s="2">
        <v>578</v>
      </c>
      <c r="C359" s="3">
        <v>578</v>
      </c>
      <c r="D359" s="2" t="s">
        <v>282</v>
      </c>
      <c r="E359" s="7" t="s">
        <v>303</v>
      </c>
      <c r="F359" s="2" t="s">
        <v>314</v>
      </c>
      <c r="G359" s="2"/>
      <c r="H359" s="16" t="s">
        <v>321</v>
      </c>
      <c r="I359" s="12"/>
      <c r="J359" s="2"/>
      <c r="K359" s="15"/>
    </row>
    <row r="360" spans="1:11" ht="11.4" customHeight="1" x14ac:dyDescent="0.25">
      <c r="A360" s="4" t="s">
        <v>14</v>
      </c>
      <c r="B360" s="2">
        <v>578</v>
      </c>
      <c r="C360" s="3">
        <v>578</v>
      </c>
      <c r="D360" s="2" t="s">
        <v>282</v>
      </c>
      <c r="E360" s="7" t="s">
        <v>305</v>
      </c>
      <c r="F360" s="2" t="s">
        <v>314</v>
      </c>
      <c r="G360" s="2"/>
      <c r="H360" s="10" t="s">
        <v>321</v>
      </c>
      <c r="I360" s="2"/>
      <c r="J360" s="2"/>
      <c r="K360" s="15"/>
    </row>
    <row r="361" spans="1:11" ht="11.4" customHeight="1" x14ac:dyDescent="0.25">
      <c r="A361" s="4" t="s">
        <v>40</v>
      </c>
      <c r="B361" s="2">
        <v>575</v>
      </c>
      <c r="C361" s="3">
        <v>575</v>
      </c>
      <c r="D361" s="18" t="s">
        <v>283</v>
      </c>
      <c r="E361" s="7" t="s">
        <v>303</v>
      </c>
      <c r="F361" s="2" t="s">
        <v>314</v>
      </c>
      <c r="G361" s="2"/>
      <c r="H361" s="10" t="s">
        <v>321</v>
      </c>
      <c r="I361" s="2"/>
      <c r="J361" s="2"/>
      <c r="K361" s="15"/>
    </row>
    <row r="362" spans="1:11" ht="11.4" customHeight="1" x14ac:dyDescent="0.25">
      <c r="A362" s="4" t="s">
        <v>40</v>
      </c>
      <c r="B362" s="2">
        <v>575</v>
      </c>
      <c r="C362" s="3">
        <v>575</v>
      </c>
      <c r="D362" s="18" t="s">
        <v>283</v>
      </c>
      <c r="E362" s="7" t="s">
        <v>302</v>
      </c>
      <c r="F362" s="2" t="s">
        <v>314</v>
      </c>
      <c r="G362" s="2"/>
      <c r="H362" s="10" t="s">
        <v>321</v>
      </c>
      <c r="I362" s="2"/>
      <c r="J362" s="2"/>
      <c r="K362" s="15"/>
    </row>
    <row r="363" spans="1:11" ht="11.4" customHeight="1" x14ac:dyDescent="0.25">
      <c r="A363" s="4" t="s">
        <v>30</v>
      </c>
      <c r="B363" s="2">
        <v>330</v>
      </c>
      <c r="C363" s="3">
        <v>330</v>
      </c>
      <c r="D363" s="2" t="s">
        <v>284</v>
      </c>
      <c r="E363" s="7" t="s">
        <v>299</v>
      </c>
      <c r="F363" s="2" t="s">
        <v>314</v>
      </c>
      <c r="G363" s="12"/>
      <c r="H363" s="10" t="s">
        <v>321</v>
      </c>
      <c r="I363" s="12"/>
      <c r="J363" s="2"/>
      <c r="K363" s="15"/>
    </row>
    <row r="364" spans="1:11" ht="11.4" customHeight="1" x14ac:dyDescent="0.25">
      <c r="A364" s="4" t="s">
        <v>4</v>
      </c>
      <c r="B364" s="2">
        <v>1213</v>
      </c>
      <c r="C364" s="3">
        <v>1213</v>
      </c>
      <c r="D364" s="2" t="s">
        <v>294</v>
      </c>
      <c r="E364" s="7" t="s">
        <v>303</v>
      </c>
      <c r="F364" s="2" t="s">
        <v>314</v>
      </c>
      <c r="G364" s="2"/>
      <c r="H364" s="10"/>
      <c r="I364" s="10" t="s">
        <v>322</v>
      </c>
      <c r="J364" s="2"/>
      <c r="K364" s="15"/>
    </row>
    <row r="365" spans="1:11" ht="11.4" customHeight="1" x14ac:dyDescent="0.25">
      <c r="A365" s="4" t="s">
        <v>4</v>
      </c>
      <c r="B365" s="2">
        <v>1213</v>
      </c>
      <c r="C365" s="3">
        <v>1213</v>
      </c>
      <c r="D365" s="2" t="s">
        <v>294</v>
      </c>
      <c r="E365" s="7" t="s">
        <v>302</v>
      </c>
      <c r="F365" s="2" t="s">
        <v>314</v>
      </c>
      <c r="G365" s="2"/>
      <c r="H365" s="10" t="s">
        <v>321</v>
      </c>
      <c r="I365" s="2"/>
      <c r="J365" s="2"/>
      <c r="K365" s="15"/>
    </row>
    <row r="366" spans="1:11" ht="11.4" customHeight="1" x14ac:dyDescent="0.25">
      <c r="A366" s="4" t="s">
        <v>4</v>
      </c>
      <c r="B366" s="2">
        <v>779</v>
      </c>
      <c r="C366" s="3">
        <v>779</v>
      </c>
      <c r="D366" s="2" t="s">
        <v>285</v>
      </c>
      <c r="E366" s="7" t="s">
        <v>303</v>
      </c>
      <c r="F366" s="2" t="s">
        <v>314</v>
      </c>
      <c r="G366" s="2"/>
      <c r="H366" s="16" t="s">
        <v>321</v>
      </c>
      <c r="I366" s="12"/>
      <c r="J366" s="2"/>
      <c r="K366" s="15"/>
    </row>
    <row r="367" spans="1:11" ht="11.4" customHeight="1" x14ac:dyDescent="0.25">
      <c r="A367" s="4" t="s">
        <v>4</v>
      </c>
      <c r="B367" s="2">
        <v>779</v>
      </c>
      <c r="C367" s="3">
        <v>779</v>
      </c>
      <c r="D367" s="2" t="s">
        <v>285</v>
      </c>
      <c r="E367" s="7" t="s">
        <v>302</v>
      </c>
      <c r="F367" s="2" t="s">
        <v>314</v>
      </c>
      <c r="G367" s="2"/>
      <c r="H367" s="10" t="s">
        <v>321</v>
      </c>
      <c r="I367" s="2"/>
      <c r="J367" s="2"/>
      <c r="K367" s="15"/>
    </row>
    <row r="368" spans="1:11" ht="11.4" customHeight="1" x14ac:dyDescent="0.25">
      <c r="A368" s="4" t="s">
        <v>62</v>
      </c>
      <c r="B368" s="2">
        <v>298</v>
      </c>
      <c r="C368" s="3">
        <v>2035</v>
      </c>
      <c r="D368" s="2" t="s">
        <v>292</v>
      </c>
      <c r="E368" s="7" t="s">
        <v>300</v>
      </c>
      <c r="F368" s="2" t="s">
        <v>313</v>
      </c>
      <c r="G368" s="10" t="s">
        <v>313</v>
      </c>
      <c r="H368" s="10"/>
      <c r="I368" s="2"/>
      <c r="J368" s="2"/>
      <c r="K368" s="15"/>
    </row>
    <row r="369" spans="1:11" ht="11.4" customHeight="1" x14ac:dyDescent="0.25">
      <c r="A369" s="4" t="s">
        <v>62</v>
      </c>
      <c r="B369" s="2">
        <v>298</v>
      </c>
      <c r="C369" s="3">
        <v>298</v>
      </c>
      <c r="D369" s="2" t="s">
        <v>293</v>
      </c>
      <c r="E369" s="7" t="s">
        <v>300</v>
      </c>
      <c r="F369" s="2" t="s">
        <v>314</v>
      </c>
      <c r="G369" s="2"/>
      <c r="H369" s="10" t="s">
        <v>321</v>
      </c>
      <c r="I369" s="12"/>
      <c r="J369" s="2"/>
      <c r="K369" s="15"/>
    </row>
    <row r="370" spans="1:11" ht="11.4" customHeight="1" x14ac:dyDescent="0.25">
      <c r="A370" s="4" t="s">
        <v>63</v>
      </c>
      <c r="B370" s="2">
        <v>13</v>
      </c>
      <c r="C370" s="3">
        <v>2106</v>
      </c>
      <c r="D370" s="2" t="s">
        <v>295</v>
      </c>
      <c r="E370" s="7" t="s">
        <v>300</v>
      </c>
      <c r="F370" s="2" t="s">
        <v>313</v>
      </c>
      <c r="G370" s="10" t="s">
        <v>313</v>
      </c>
      <c r="H370" s="10"/>
      <c r="I370" s="2"/>
      <c r="J370" s="2"/>
      <c r="K370" s="15"/>
    </row>
    <row r="371" spans="1:11" ht="11.4" customHeight="1" x14ac:dyDescent="0.25">
      <c r="A371" s="4" t="s">
        <v>60</v>
      </c>
      <c r="B371" s="2">
        <v>13</v>
      </c>
      <c r="C371" s="3">
        <v>13</v>
      </c>
      <c r="D371" s="2" t="s">
        <v>286</v>
      </c>
      <c r="E371" s="7" t="s">
        <v>310</v>
      </c>
      <c r="F371" s="2" t="s">
        <v>314</v>
      </c>
      <c r="G371" s="2"/>
      <c r="H371" s="10" t="s">
        <v>321</v>
      </c>
      <c r="I371" s="12"/>
      <c r="J371" s="2"/>
      <c r="K371" s="15"/>
    </row>
    <row r="372" spans="1:11" ht="11.4" customHeight="1" x14ac:dyDescent="0.25">
      <c r="A372" s="4" t="s">
        <v>60</v>
      </c>
      <c r="B372" s="2">
        <v>13</v>
      </c>
      <c r="C372" s="3">
        <v>13</v>
      </c>
      <c r="D372" s="2" t="s">
        <v>286</v>
      </c>
      <c r="E372" s="7" t="s">
        <v>300</v>
      </c>
      <c r="F372" s="2" t="s">
        <v>314</v>
      </c>
      <c r="G372" s="2"/>
      <c r="H372" s="10" t="s">
        <v>321</v>
      </c>
      <c r="I372" s="2"/>
      <c r="J372" s="2"/>
      <c r="K372" s="15"/>
    </row>
    <row r="373" spans="1:11" ht="11.4" customHeight="1" x14ac:dyDescent="0.25">
      <c r="A373" s="4" t="s">
        <v>4</v>
      </c>
      <c r="B373" s="2">
        <v>71</v>
      </c>
      <c r="C373" s="3">
        <v>71</v>
      </c>
      <c r="D373" s="2" t="s">
        <v>287</v>
      </c>
      <c r="E373" s="7" t="s">
        <v>303</v>
      </c>
      <c r="F373" s="2" t="s">
        <v>314</v>
      </c>
      <c r="G373" s="2"/>
      <c r="H373" s="10"/>
      <c r="I373" s="10" t="s">
        <v>322</v>
      </c>
      <c r="J373" s="2"/>
      <c r="K373" s="15"/>
    </row>
    <row r="374" spans="1:11" ht="11.4" customHeight="1" x14ac:dyDescent="0.25">
      <c r="A374" s="4" t="s">
        <v>4</v>
      </c>
      <c r="B374" s="2">
        <v>71</v>
      </c>
      <c r="C374" s="3">
        <v>71</v>
      </c>
      <c r="D374" s="2" t="s">
        <v>287</v>
      </c>
      <c r="E374" s="7" t="s">
        <v>302</v>
      </c>
      <c r="F374" s="2" t="s">
        <v>314</v>
      </c>
      <c r="G374" s="2"/>
      <c r="H374" s="10" t="s">
        <v>321</v>
      </c>
      <c r="I374" s="2"/>
      <c r="J374" s="2"/>
      <c r="K374" s="15"/>
    </row>
    <row r="375" spans="1:11" ht="11.4" customHeight="1" x14ac:dyDescent="0.25">
      <c r="A375" s="4" t="s">
        <v>19</v>
      </c>
      <c r="B375" s="2">
        <v>640</v>
      </c>
      <c r="C375" s="3">
        <v>640</v>
      </c>
      <c r="D375" s="2" t="s">
        <v>288</v>
      </c>
      <c r="E375" s="7" t="s">
        <v>308</v>
      </c>
      <c r="F375" s="2" t="s">
        <v>314</v>
      </c>
      <c r="G375" s="12"/>
      <c r="H375" s="10" t="s">
        <v>321</v>
      </c>
      <c r="I375" s="12"/>
      <c r="J375" s="2"/>
      <c r="K375" s="15"/>
    </row>
    <row r="376" spans="1:11" ht="11.4" customHeight="1" x14ac:dyDescent="0.25">
      <c r="A376" s="4" t="s">
        <v>44</v>
      </c>
      <c r="B376" s="2">
        <v>645</v>
      </c>
      <c r="C376" s="3">
        <v>645</v>
      </c>
      <c r="D376" s="2" t="s">
        <v>289</v>
      </c>
      <c r="E376" s="7" t="s">
        <v>308</v>
      </c>
      <c r="F376" s="2" t="s">
        <v>314</v>
      </c>
      <c r="G376" s="12"/>
      <c r="H376" s="10" t="s">
        <v>321</v>
      </c>
      <c r="I376" s="12"/>
      <c r="J376" s="2"/>
      <c r="K376" s="15"/>
    </row>
    <row r="377" spans="1:11" ht="11.4" customHeight="1" x14ac:dyDescent="0.25">
      <c r="A377" s="4" t="s">
        <v>60</v>
      </c>
      <c r="B377" s="2">
        <v>910</v>
      </c>
      <c r="C377" s="3">
        <v>910</v>
      </c>
      <c r="D377" s="2" t="s">
        <v>290</v>
      </c>
      <c r="E377" s="7" t="s">
        <v>303</v>
      </c>
      <c r="F377" s="2" t="s">
        <v>314</v>
      </c>
      <c r="G377" s="2"/>
      <c r="H377" s="16" t="s">
        <v>321</v>
      </c>
      <c r="I377" s="12"/>
      <c r="J377" s="2"/>
      <c r="K377" s="15"/>
    </row>
    <row r="378" spans="1:11" ht="11.4" customHeight="1" x14ac:dyDescent="0.25">
      <c r="A378" s="4" t="s">
        <v>60</v>
      </c>
      <c r="B378" s="2">
        <v>910</v>
      </c>
      <c r="C378" s="3">
        <v>910</v>
      </c>
      <c r="D378" s="2" t="s">
        <v>290</v>
      </c>
      <c r="E378" s="7" t="s">
        <v>302</v>
      </c>
      <c r="F378" s="2" t="s">
        <v>314</v>
      </c>
      <c r="G378" s="2"/>
      <c r="H378" s="10" t="s">
        <v>321</v>
      </c>
      <c r="I378" s="2"/>
      <c r="J378" s="2"/>
      <c r="K378" s="15"/>
    </row>
    <row r="379" spans="1:11" ht="11.4" customHeight="1" x14ac:dyDescent="0.25">
      <c r="A379" s="4" t="s">
        <v>61</v>
      </c>
      <c r="B379" s="2">
        <v>323</v>
      </c>
      <c r="C379" s="3">
        <v>323</v>
      </c>
      <c r="D379" s="2" t="s">
        <v>291</v>
      </c>
      <c r="E379" s="7" t="s">
        <v>303</v>
      </c>
      <c r="F379" s="2" t="s">
        <v>314</v>
      </c>
      <c r="G379" s="2"/>
      <c r="H379" s="10"/>
      <c r="I379" s="10" t="s">
        <v>322</v>
      </c>
      <c r="J379" s="2"/>
      <c r="K379" s="15"/>
    </row>
  </sheetData>
  <autoFilter ref="A1:J379">
    <sortState ref="A2:J388">
      <sortCondition ref="D1:D388"/>
    </sortState>
  </autoFilter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81"/>
  <sheetViews>
    <sheetView showGridLines="0" topLeftCell="A113" zoomScale="120" zoomScaleNormal="120" workbookViewId="0">
      <selection activeCell="A2" sqref="A2:E328"/>
    </sheetView>
  </sheetViews>
  <sheetFormatPr defaultRowHeight="12.5" x14ac:dyDescent="0.25"/>
  <cols>
    <col min="1" max="1" width="25" style="6" customWidth="1"/>
    <col min="2" max="2" width="6.1796875" customWidth="1"/>
    <col min="3" max="3" width="8.81640625" customWidth="1"/>
    <col min="4" max="4" width="38.1796875" customWidth="1"/>
    <col min="5" max="5" width="9.81640625" style="25" customWidth="1"/>
    <col min="6" max="7" width="4" customWidth="1"/>
    <col min="8" max="8" width="7.90625" customWidth="1"/>
    <col min="9" max="9" width="11.6328125" customWidth="1"/>
    <col min="10" max="10" width="4.6328125" customWidth="1"/>
    <col min="11" max="14" width="5.81640625" customWidth="1"/>
  </cols>
  <sheetData>
    <row r="1" spans="1:15" ht="23" x14ac:dyDescent="0.25">
      <c r="A1" s="5" t="s">
        <v>0</v>
      </c>
      <c r="B1" s="1" t="s">
        <v>316</v>
      </c>
      <c r="C1" s="1" t="s">
        <v>315</v>
      </c>
      <c r="D1" s="1" t="s">
        <v>64</v>
      </c>
      <c r="E1" s="23" t="s">
        <v>296</v>
      </c>
      <c r="F1" s="1" t="s">
        <v>312</v>
      </c>
      <c r="G1" s="1"/>
      <c r="H1" s="8" t="s">
        <v>356</v>
      </c>
      <c r="I1" s="8" t="s">
        <v>357</v>
      </c>
      <c r="J1" s="8" t="s">
        <v>358</v>
      </c>
      <c r="K1" s="1" t="s">
        <v>317</v>
      </c>
      <c r="L1" s="1" t="s">
        <v>318</v>
      </c>
      <c r="M1" s="1" t="s">
        <v>319</v>
      </c>
      <c r="N1" s="11" t="s">
        <v>320</v>
      </c>
    </row>
    <row r="2" spans="1:15" ht="11.4" customHeight="1" x14ac:dyDescent="0.25">
      <c r="A2" s="4" t="s">
        <v>12</v>
      </c>
      <c r="B2" s="2">
        <v>2</v>
      </c>
      <c r="C2" s="3">
        <v>2</v>
      </c>
      <c r="D2" s="2" t="s">
        <v>368</v>
      </c>
      <c r="E2" s="24" t="s">
        <v>303</v>
      </c>
      <c r="F2" s="2" t="s">
        <v>314</v>
      </c>
      <c r="G2" s="2"/>
      <c r="H2" s="2"/>
      <c r="I2" s="20">
        <f>463+1697</f>
        <v>2160</v>
      </c>
      <c r="J2" s="20"/>
      <c r="K2" s="2"/>
      <c r="L2" s="10" t="s">
        <v>321</v>
      </c>
      <c r="M2" s="10" t="s">
        <v>322</v>
      </c>
      <c r="N2" s="2"/>
      <c r="O2" s="15"/>
    </row>
    <row r="3" spans="1:15" ht="11.4" hidden="1" customHeight="1" x14ac:dyDescent="0.25">
      <c r="A3" s="4" t="s">
        <v>12</v>
      </c>
      <c r="B3" s="2">
        <v>2</v>
      </c>
      <c r="C3" s="3">
        <v>2</v>
      </c>
      <c r="D3" s="2" t="s">
        <v>277</v>
      </c>
      <c r="E3" s="24" t="s">
        <v>302</v>
      </c>
      <c r="F3" s="2" t="s">
        <v>314</v>
      </c>
      <c r="G3" s="2"/>
      <c r="H3" s="2"/>
      <c r="I3" s="20">
        <f>126+155</f>
        <v>281</v>
      </c>
      <c r="J3" s="20"/>
      <c r="K3" s="2"/>
      <c r="L3" s="10" t="s">
        <v>321</v>
      </c>
      <c r="M3" s="2"/>
      <c r="N3" s="2"/>
      <c r="O3" s="15"/>
    </row>
    <row r="4" spans="1:15" ht="11.4" customHeight="1" x14ac:dyDescent="0.25">
      <c r="A4" s="4" t="s">
        <v>14</v>
      </c>
      <c r="B4" s="2">
        <v>4</v>
      </c>
      <c r="C4" s="3">
        <v>4</v>
      </c>
      <c r="D4" s="2" t="s">
        <v>369</v>
      </c>
      <c r="E4" s="24" t="s">
        <v>303</v>
      </c>
      <c r="F4" s="2" t="s">
        <v>314</v>
      </c>
      <c r="G4" s="2"/>
      <c r="H4" s="2"/>
      <c r="I4" s="20">
        <f>1083+1172</f>
        <v>2255</v>
      </c>
      <c r="J4" s="20"/>
      <c r="K4" s="2"/>
      <c r="L4" s="10" t="s">
        <v>321</v>
      </c>
      <c r="M4" s="2" t="s">
        <v>322</v>
      </c>
      <c r="N4" s="2"/>
      <c r="O4" s="15"/>
    </row>
    <row r="5" spans="1:15" ht="11.4" hidden="1" customHeight="1" x14ac:dyDescent="0.25">
      <c r="A5" s="4" t="s">
        <v>14</v>
      </c>
      <c r="B5" s="2">
        <v>4</v>
      </c>
      <c r="C5" s="3">
        <v>4</v>
      </c>
      <c r="D5" s="2" t="s">
        <v>165</v>
      </c>
      <c r="E5" s="24" t="s">
        <v>302</v>
      </c>
      <c r="F5" s="2" t="s">
        <v>314</v>
      </c>
      <c r="G5" s="2"/>
      <c r="H5" s="2"/>
      <c r="I5" s="20">
        <f>133+1378</f>
        <v>1511</v>
      </c>
      <c r="J5" s="20"/>
      <c r="K5" s="2"/>
      <c r="L5" s="10" t="s">
        <v>321</v>
      </c>
      <c r="M5" s="2"/>
      <c r="N5" s="2"/>
      <c r="O5" s="15"/>
    </row>
    <row r="6" spans="1:15" ht="11.4" hidden="1" customHeight="1" x14ac:dyDescent="0.25">
      <c r="A6" s="4" t="s">
        <v>15</v>
      </c>
      <c r="B6" s="2">
        <v>9</v>
      </c>
      <c r="C6" s="3">
        <v>2093</v>
      </c>
      <c r="D6" s="2" t="s">
        <v>96</v>
      </c>
      <c r="E6" s="24" t="s">
        <v>300</v>
      </c>
      <c r="F6" s="2" t="s">
        <v>313</v>
      </c>
      <c r="G6" s="2"/>
      <c r="H6" s="2">
        <f>3738+5027</f>
        <v>8765</v>
      </c>
      <c r="I6" s="20">
        <f>1495+2011</f>
        <v>3506</v>
      </c>
      <c r="J6" s="26">
        <f>I6/H6</f>
        <v>0.4</v>
      </c>
      <c r="K6" s="10" t="s">
        <v>313</v>
      </c>
      <c r="L6" s="10"/>
      <c r="M6" s="2"/>
      <c r="N6" s="2"/>
      <c r="O6" s="15"/>
    </row>
    <row r="7" spans="1:15" ht="11.4" hidden="1" customHeight="1" x14ac:dyDescent="0.25">
      <c r="A7" s="4" t="s">
        <v>60</v>
      </c>
      <c r="B7" s="2">
        <v>13</v>
      </c>
      <c r="C7" s="3">
        <v>13</v>
      </c>
      <c r="D7" s="2" t="s">
        <v>370</v>
      </c>
      <c r="E7" s="24" t="s">
        <v>300</v>
      </c>
      <c r="F7" s="2" t="s">
        <v>314</v>
      </c>
      <c r="G7" s="2"/>
      <c r="H7" s="2"/>
      <c r="I7" s="20">
        <f>4+1263+1711</f>
        <v>2978</v>
      </c>
      <c r="J7" s="20"/>
      <c r="K7" s="2"/>
      <c r="L7" s="10" t="s">
        <v>321</v>
      </c>
      <c r="M7" s="2"/>
      <c r="N7" s="2"/>
      <c r="O7" s="15"/>
    </row>
    <row r="8" spans="1:15" ht="11.4" hidden="1" customHeight="1" x14ac:dyDescent="0.25">
      <c r="A8" s="4" t="s">
        <v>63</v>
      </c>
      <c r="B8" s="2">
        <v>13</v>
      </c>
      <c r="C8" s="3">
        <v>2106</v>
      </c>
      <c r="D8" s="2" t="s">
        <v>295</v>
      </c>
      <c r="E8" s="24" t="s">
        <v>300</v>
      </c>
      <c r="F8" s="2" t="s">
        <v>313</v>
      </c>
      <c r="G8" s="2"/>
      <c r="H8" s="2">
        <f>186+471</f>
        <v>657</v>
      </c>
      <c r="I8" s="20">
        <f>65+165</f>
        <v>230</v>
      </c>
      <c r="J8" s="26">
        <f>I8/H8</f>
        <v>0.35007610350076102</v>
      </c>
      <c r="K8" s="10" t="s">
        <v>313</v>
      </c>
      <c r="L8" s="10"/>
      <c r="M8" s="2"/>
      <c r="N8" s="2"/>
      <c r="O8" s="15"/>
    </row>
    <row r="9" spans="1:15" ht="11.4" hidden="1" customHeight="1" x14ac:dyDescent="0.25">
      <c r="A9" s="4" t="s">
        <v>48</v>
      </c>
      <c r="B9" s="2">
        <v>22</v>
      </c>
      <c r="C9" s="3">
        <v>22</v>
      </c>
      <c r="D9" s="2" t="s">
        <v>250</v>
      </c>
      <c r="E9" s="24" t="s">
        <v>305</v>
      </c>
      <c r="F9" s="2" t="s">
        <v>314</v>
      </c>
      <c r="G9" s="2"/>
      <c r="H9" s="2"/>
      <c r="I9" s="20">
        <f>28+85+1039+2751+3</f>
        <v>3906</v>
      </c>
      <c r="J9" s="20"/>
      <c r="K9" s="2"/>
      <c r="L9" s="10" t="s">
        <v>321</v>
      </c>
      <c r="M9" s="2"/>
      <c r="N9" s="2"/>
      <c r="O9" s="15"/>
    </row>
    <row r="10" spans="1:15" ht="11.4" hidden="1" customHeight="1" x14ac:dyDescent="0.25">
      <c r="A10" s="4" t="s">
        <v>26</v>
      </c>
      <c r="B10" s="2">
        <v>23</v>
      </c>
      <c r="C10" s="3">
        <v>23</v>
      </c>
      <c r="D10" s="2" t="s">
        <v>371</v>
      </c>
      <c r="E10" s="24" t="s">
        <v>300</v>
      </c>
      <c r="F10" s="2" t="s">
        <v>314</v>
      </c>
      <c r="G10" s="2"/>
      <c r="H10" s="2"/>
      <c r="I10" s="20">
        <f>93+2102</f>
        <v>2195</v>
      </c>
      <c r="J10" s="20"/>
      <c r="K10" s="2"/>
      <c r="L10" s="10" t="s">
        <v>321</v>
      </c>
      <c r="M10" s="2"/>
      <c r="N10" s="2"/>
      <c r="O10" s="15"/>
    </row>
    <row r="11" spans="1:15" ht="11.4" hidden="1" customHeight="1" x14ac:dyDescent="0.25">
      <c r="A11" s="4" t="s">
        <v>26</v>
      </c>
      <c r="B11" s="2">
        <v>24</v>
      </c>
      <c r="C11" s="3">
        <v>24</v>
      </c>
      <c r="D11" s="2" t="s">
        <v>123</v>
      </c>
      <c r="E11" s="24" t="s">
        <v>300</v>
      </c>
      <c r="F11" s="2" t="s">
        <v>314</v>
      </c>
      <c r="G11" s="2"/>
      <c r="H11" s="2"/>
      <c r="I11" s="20">
        <f>58+1985</f>
        <v>2043</v>
      </c>
      <c r="J11" s="20"/>
      <c r="K11" s="2"/>
      <c r="L11" s="10" t="s">
        <v>321</v>
      </c>
      <c r="M11" s="2"/>
      <c r="N11" s="2"/>
      <c r="O11" s="15"/>
    </row>
    <row r="12" spans="1:15" ht="11.4" hidden="1" customHeight="1" x14ac:dyDescent="0.25">
      <c r="A12" s="4" t="s">
        <v>14</v>
      </c>
      <c r="B12" s="2">
        <v>38</v>
      </c>
      <c r="C12" s="3">
        <v>38</v>
      </c>
      <c r="D12" s="2" t="s">
        <v>344</v>
      </c>
      <c r="E12" s="24" t="s">
        <v>300</v>
      </c>
      <c r="F12" s="2" t="s">
        <v>314</v>
      </c>
      <c r="G12" s="2"/>
      <c r="H12" s="2"/>
      <c r="I12" s="20">
        <f>2054+7296</f>
        <v>9350</v>
      </c>
      <c r="J12" s="20"/>
      <c r="K12" s="2"/>
      <c r="L12" s="10" t="s">
        <v>321</v>
      </c>
      <c r="M12" s="2"/>
      <c r="N12" s="2"/>
      <c r="O12" s="15"/>
    </row>
    <row r="13" spans="1:15" ht="11.4" customHeight="1" x14ac:dyDescent="0.25">
      <c r="A13" s="4" t="s">
        <v>10</v>
      </c>
      <c r="B13" s="2">
        <v>39</v>
      </c>
      <c r="C13" s="3">
        <v>39</v>
      </c>
      <c r="D13" s="2" t="s">
        <v>342</v>
      </c>
      <c r="E13" s="24" t="s">
        <v>303</v>
      </c>
      <c r="F13" s="2" t="s">
        <v>314</v>
      </c>
      <c r="G13" s="2"/>
      <c r="H13" s="2"/>
      <c r="I13" s="20">
        <f>4938+7802</f>
        <v>12740</v>
      </c>
      <c r="J13" s="20"/>
      <c r="K13" s="2"/>
      <c r="L13" s="10" t="s">
        <v>321</v>
      </c>
      <c r="M13" s="2" t="s">
        <v>367</v>
      </c>
      <c r="N13" s="2"/>
      <c r="O13" s="15"/>
    </row>
    <row r="14" spans="1:15" ht="11.4" hidden="1" customHeight="1" x14ac:dyDescent="0.25">
      <c r="A14" s="4" t="s">
        <v>10</v>
      </c>
      <c r="B14" s="2">
        <v>39</v>
      </c>
      <c r="C14" s="3">
        <v>39</v>
      </c>
      <c r="D14" s="2" t="s">
        <v>342</v>
      </c>
      <c r="E14" s="24" t="s">
        <v>305</v>
      </c>
      <c r="F14" s="2" t="s">
        <v>314</v>
      </c>
      <c r="G14" s="2"/>
      <c r="H14" s="2"/>
      <c r="I14" s="20">
        <f>314+1633</f>
        <v>1947</v>
      </c>
      <c r="J14" s="20"/>
      <c r="K14" s="2"/>
      <c r="L14" s="10" t="s">
        <v>321</v>
      </c>
      <c r="M14" s="2"/>
      <c r="N14" s="2"/>
      <c r="O14" s="15"/>
    </row>
    <row r="15" spans="1:15" ht="11.4" hidden="1" customHeight="1" x14ac:dyDescent="0.25">
      <c r="A15" s="4" t="s">
        <v>10</v>
      </c>
      <c r="B15" s="2">
        <v>39</v>
      </c>
      <c r="C15" s="3">
        <v>39</v>
      </c>
      <c r="D15" s="2" t="s">
        <v>342</v>
      </c>
      <c r="E15" s="24" t="s">
        <v>302</v>
      </c>
      <c r="F15" s="2" t="s">
        <v>314</v>
      </c>
      <c r="G15" s="2"/>
      <c r="H15" s="2"/>
      <c r="I15" s="20">
        <f>958+1121</f>
        <v>2079</v>
      </c>
      <c r="J15" s="20"/>
      <c r="K15" s="2"/>
      <c r="L15" s="10" t="s">
        <v>321</v>
      </c>
      <c r="M15" s="2"/>
      <c r="N15" s="2"/>
      <c r="O15" s="15"/>
    </row>
    <row r="16" spans="1:15" ht="11.4" hidden="1" customHeight="1" x14ac:dyDescent="0.25">
      <c r="A16" s="4" t="s">
        <v>25</v>
      </c>
      <c r="B16" s="2">
        <v>39</v>
      </c>
      <c r="C16" s="3">
        <v>1241</v>
      </c>
      <c r="D16" s="29" t="s">
        <v>343</v>
      </c>
      <c r="E16" s="30" t="s">
        <v>303</v>
      </c>
      <c r="F16" s="29" t="s">
        <v>314</v>
      </c>
      <c r="G16" s="29"/>
      <c r="H16" s="29"/>
      <c r="I16" s="31">
        <v>458</v>
      </c>
      <c r="J16" s="31"/>
      <c r="K16" s="29"/>
      <c r="L16" s="32" t="s">
        <v>321</v>
      </c>
      <c r="M16" s="29"/>
      <c r="N16" s="29"/>
      <c r="O16" s="15"/>
    </row>
    <row r="17" spans="1:15" ht="11.4" customHeight="1" x14ac:dyDescent="0.25">
      <c r="A17" s="4" t="s">
        <v>10</v>
      </c>
      <c r="B17" s="2">
        <v>41</v>
      </c>
      <c r="C17" s="3">
        <v>41</v>
      </c>
      <c r="D17" s="2" t="s">
        <v>337</v>
      </c>
      <c r="E17" s="24" t="s">
        <v>303</v>
      </c>
      <c r="F17" s="2" t="s">
        <v>314</v>
      </c>
      <c r="G17" s="2"/>
      <c r="H17" s="2"/>
      <c r="I17" s="20">
        <f>12856+18290</f>
        <v>31146</v>
      </c>
      <c r="J17" s="20"/>
      <c r="K17" s="2"/>
      <c r="L17" s="10" t="s">
        <v>321</v>
      </c>
      <c r="M17" s="2" t="s">
        <v>322</v>
      </c>
      <c r="N17" s="2"/>
      <c r="O17" s="15"/>
    </row>
    <row r="18" spans="1:15" ht="11.4" hidden="1" customHeight="1" x14ac:dyDescent="0.25">
      <c r="A18" s="4" t="s">
        <v>10</v>
      </c>
      <c r="B18" s="2">
        <v>41</v>
      </c>
      <c r="C18" s="3">
        <v>41</v>
      </c>
      <c r="D18" s="2" t="s">
        <v>337</v>
      </c>
      <c r="E18" s="24" t="s">
        <v>305</v>
      </c>
      <c r="F18" s="2" t="s">
        <v>314</v>
      </c>
      <c r="G18" s="2"/>
      <c r="H18" s="2"/>
      <c r="I18" s="20">
        <f>496+3428</f>
        <v>3924</v>
      </c>
      <c r="J18" s="20"/>
      <c r="K18" s="2"/>
      <c r="L18" s="10" t="s">
        <v>321</v>
      </c>
      <c r="M18" s="2"/>
      <c r="N18" s="2"/>
      <c r="O18" s="15"/>
    </row>
    <row r="19" spans="1:15" ht="11.4" hidden="1" customHeight="1" x14ac:dyDescent="0.25">
      <c r="A19" s="4" t="s">
        <v>10</v>
      </c>
      <c r="B19" s="2">
        <v>41</v>
      </c>
      <c r="C19" s="3">
        <v>41</v>
      </c>
      <c r="D19" s="2" t="s">
        <v>337</v>
      </c>
      <c r="E19" s="24" t="s">
        <v>302</v>
      </c>
      <c r="F19" s="2" t="s">
        <v>314</v>
      </c>
      <c r="G19" s="2"/>
      <c r="H19" s="2"/>
      <c r="I19" s="20">
        <f>1806+6250</f>
        <v>8056</v>
      </c>
      <c r="J19" s="20"/>
      <c r="K19" s="2"/>
      <c r="L19" s="10" t="s">
        <v>321</v>
      </c>
      <c r="M19" s="2"/>
      <c r="N19" s="2"/>
      <c r="O19" s="15"/>
    </row>
    <row r="20" spans="1:15" ht="11.4" hidden="1" customHeight="1" x14ac:dyDescent="0.25">
      <c r="A20" s="4" t="s">
        <v>11</v>
      </c>
      <c r="B20" s="2">
        <v>41</v>
      </c>
      <c r="C20" s="3">
        <v>543</v>
      </c>
      <c r="D20" s="29" t="s">
        <v>338</v>
      </c>
      <c r="E20" s="30" t="s">
        <v>302</v>
      </c>
      <c r="F20" s="29" t="s">
        <v>314</v>
      </c>
      <c r="G20" s="29"/>
      <c r="H20" s="29"/>
      <c r="I20" s="31">
        <v>790</v>
      </c>
      <c r="J20" s="31"/>
      <c r="K20" s="29"/>
      <c r="L20" s="32" t="s">
        <v>321</v>
      </c>
      <c r="M20" s="29"/>
      <c r="N20" s="29"/>
      <c r="O20" s="15"/>
    </row>
    <row r="21" spans="1:15" ht="11.4" hidden="1" customHeight="1" x14ac:dyDescent="0.25">
      <c r="A21" s="4" t="s">
        <v>10</v>
      </c>
      <c r="B21" s="2">
        <v>46</v>
      </c>
      <c r="C21" s="3">
        <v>46</v>
      </c>
      <c r="D21" s="2" t="s">
        <v>86</v>
      </c>
      <c r="E21" s="24" t="s">
        <v>302</v>
      </c>
      <c r="F21" s="2" t="s">
        <v>314</v>
      </c>
      <c r="G21" s="2"/>
      <c r="H21" s="2"/>
      <c r="I21" s="20">
        <f>3068+4317</f>
        <v>7385</v>
      </c>
      <c r="J21" s="20"/>
      <c r="K21" s="2"/>
      <c r="L21" s="10" t="s">
        <v>321</v>
      </c>
      <c r="M21" s="2"/>
      <c r="N21" s="2"/>
      <c r="O21" s="15"/>
    </row>
    <row r="22" spans="1:15" ht="11.4" hidden="1" customHeight="1" x14ac:dyDescent="0.25">
      <c r="A22" s="4" t="s">
        <v>11</v>
      </c>
      <c r="B22" s="2">
        <v>46</v>
      </c>
      <c r="C22" s="3">
        <v>551</v>
      </c>
      <c r="D22" s="29" t="s">
        <v>87</v>
      </c>
      <c r="E22" s="30" t="s">
        <v>302</v>
      </c>
      <c r="F22" s="29" t="s">
        <v>314</v>
      </c>
      <c r="G22" s="29"/>
      <c r="H22" s="29"/>
      <c r="I22" s="31">
        <v>548</v>
      </c>
      <c r="J22" s="31"/>
      <c r="K22" s="29"/>
      <c r="L22" s="32" t="s">
        <v>321</v>
      </c>
      <c r="M22" s="29"/>
      <c r="N22" s="29"/>
      <c r="O22" s="15"/>
    </row>
    <row r="23" spans="1:15" ht="11.4" hidden="1" customHeight="1" x14ac:dyDescent="0.25">
      <c r="A23" s="4" t="s">
        <v>7</v>
      </c>
      <c r="B23" s="2">
        <v>52</v>
      </c>
      <c r="C23" s="3">
        <v>52</v>
      </c>
      <c r="D23" s="2" t="s">
        <v>218</v>
      </c>
      <c r="E23" s="24" t="s">
        <v>307</v>
      </c>
      <c r="F23" s="2" t="s">
        <v>314</v>
      </c>
      <c r="G23" s="2"/>
      <c r="H23" s="2"/>
      <c r="I23" s="20">
        <f>283+1231</f>
        <v>1514</v>
      </c>
      <c r="J23" s="20"/>
      <c r="K23" s="2"/>
      <c r="L23" s="10" t="s">
        <v>321</v>
      </c>
      <c r="M23" s="2"/>
      <c r="N23" s="2"/>
      <c r="O23" s="15"/>
    </row>
    <row r="24" spans="1:15" ht="11.4" hidden="1" customHeight="1" x14ac:dyDescent="0.25">
      <c r="A24" s="4" t="s">
        <v>54</v>
      </c>
      <c r="B24" s="2">
        <v>58</v>
      </c>
      <c r="C24" s="3">
        <v>58</v>
      </c>
      <c r="D24" s="2" t="s">
        <v>244</v>
      </c>
      <c r="E24" s="24" t="s">
        <v>307</v>
      </c>
      <c r="F24" s="2" t="s">
        <v>314</v>
      </c>
      <c r="G24" s="2"/>
      <c r="H24" s="2"/>
      <c r="I24" s="20">
        <f>188+229</f>
        <v>417</v>
      </c>
      <c r="J24" s="20"/>
      <c r="K24" s="2"/>
      <c r="L24" s="10" t="s">
        <v>321</v>
      </c>
      <c r="M24" s="2"/>
      <c r="N24" s="2"/>
      <c r="O24" s="15"/>
    </row>
    <row r="25" spans="1:15" ht="11.4" hidden="1" customHeight="1" x14ac:dyDescent="0.25">
      <c r="A25" s="4" t="s">
        <v>54</v>
      </c>
      <c r="B25" s="2">
        <v>58</v>
      </c>
      <c r="C25" s="3">
        <v>58</v>
      </c>
      <c r="D25" s="2" t="s">
        <v>244</v>
      </c>
      <c r="E25" s="24" t="s">
        <v>305</v>
      </c>
      <c r="F25" s="2" t="s">
        <v>314</v>
      </c>
      <c r="G25" s="2"/>
      <c r="H25" s="2"/>
      <c r="I25" s="20">
        <f>1400+3381</f>
        <v>4781</v>
      </c>
      <c r="J25" s="20"/>
      <c r="K25" s="2"/>
      <c r="L25" s="10" t="s">
        <v>321</v>
      </c>
      <c r="M25" s="2"/>
      <c r="N25" s="2"/>
      <c r="O25" s="15"/>
    </row>
    <row r="26" spans="1:15" ht="11.4" hidden="1" customHeight="1" x14ac:dyDescent="0.25">
      <c r="A26" s="4" t="s">
        <v>59</v>
      </c>
      <c r="B26" s="2">
        <v>58</v>
      </c>
      <c r="C26" s="3">
        <v>2159</v>
      </c>
      <c r="D26" s="2" t="s">
        <v>276</v>
      </c>
      <c r="E26" s="24" t="s">
        <v>306</v>
      </c>
      <c r="F26" s="2" t="s">
        <v>313</v>
      </c>
      <c r="G26" s="2"/>
      <c r="H26" s="2">
        <f>3385+3845</f>
        <v>7230</v>
      </c>
      <c r="I26" s="20">
        <f>1117+1269</f>
        <v>2386</v>
      </c>
      <c r="J26" s="26">
        <f>I26/H26</f>
        <v>0.33001383125864453</v>
      </c>
      <c r="K26" s="10" t="s">
        <v>313</v>
      </c>
      <c r="L26" s="10" t="s">
        <v>321</v>
      </c>
      <c r="M26" s="10"/>
      <c r="N26" s="2"/>
      <c r="O26" s="15"/>
    </row>
    <row r="27" spans="1:15" ht="11.4" hidden="1" customHeight="1" x14ac:dyDescent="0.25">
      <c r="A27" s="4" t="s">
        <v>58</v>
      </c>
      <c r="B27" s="2">
        <v>58</v>
      </c>
      <c r="C27" s="3">
        <v>2189</v>
      </c>
      <c r="D27" s="29" t="s">
        <v>274</v>
      </c>
      <c r="E27" s="30" t="s">
        <v>306</v>
      </c>
      <c r="F27" s="29" t="s">
        <v>313</v>
      </c>
      <c r="G27" s="29"/>
      <c r="H27" s="29">
        <f>790</f>
        <v>790</v>
      </c>
      <c r="I27" s="31">
        <v>261</v>
      </c>
      <c r="J27" s="33">
        <f>I27/H27</f>
        <v>0.33037974683544302</v>
      </c>
      <c r="K27" s="32" t="s">
        <v>313</v>
      </c>
      <c r="L27" s="32"/>
      <c r="M27" s="32"/>
      <c r="N27" s="29"/>
      <c r="O27" s="15"/>
    </row>
    <row r="28" spans="1:15" ht="11.4" hidden="1" customHeight="1" x14ac:dyDescent="0.25">
      <c r="A28" s="4" t="s">
        <v>57</v>
      </c>
      <c r="B28" s="2">
        <v>58</v>
      </c>
      <c r="C28" s="3">
        <v>2222</v>
      </c>
      <c r="D28" s="29" t="s">
        <v>275</v>
      </c>
      <c r="E28" s="30" t="s">
        <v>301</v>
      </c>
      <c r="F28" s="29" t="s">
        <v>313</v>
      </c>
      <c r="G28" s="29"/>
      <c r="H28" s="29">
        <v>1450</v>
      </c>
      <c r="I28" s="31">
        <v>479</v>
      </c>
      <c r="J28" s="33">
        <f>I28/H28</f>
        <v>0.33034482758620692</v>
      </c>
      <c r="K28" s="32" t="s">
        <v>313</v>
      </c>
      <c r="L28" s="32"/>
      <c r="M28" s="29"/>
      <c r="N28" s="29"/>
      <c r="O28" s="15"/>
    </row>
    <row r="29" spans="1:15" ht="11.4" hidden="1" customHeight="1" x14ac:dyDescent="0.25">
      <c r="A29" s="4" t="s">
        <v>44</v>
      </c>
      <c r="B29" s="2">
        <v>59</v>
      </c>
      <c r="C29" s="3">
        <v>59</v>
      </c>
      <c r="D29" s="2" t="s">
        <v>206</v>
      </c>
      <c r="E29" s="24" t="s">
        <v>298</v>
      </c>
      <c r="F29" s="2" t="s">
        <v>314</v>
      </c>
      <c r="G29" s="2"/>
      <c r="H29" s="2"/>
      <c r="I29" s="20">
        <f>27+272</f>
        <v>299</v>
      </c>
      <c r="J29" s="20"/>
      <c r="K29" s="2"/>
      <c r="L29" s="10" t="s">
        <v>321</v>
      </c>
      <c r="M29" s="2"/>
      <c r="N29" s="2"/>
      <c r="O29" s="15"/>
    </row>
    <row r="30" spans="1:15" ht="11.4" customHeight="1" x14ac:dyDescent="0.25">
      <c r="A30" s="4" t="s">
        <v>44</v>
      </c>
      <c r="B30" s="2">
        <v>59</v>
      </c>
      <c r="C30" s="3">
        <v>59</v>
      </c>
      <c r="D30" s="2" t="s">
        <v>206</v>
      </c>
      <c r="E30" s="24" t="s">
        <v>299</v>
      </c>
      <c r="F30" s="2" t="s">
        <v>314</v>
      </c>
      <c r="G30" s="2"/>
      <c r="H30" s="2"/>
      <c r="I30" s="20">
        <f>40+559</f>
        <v>599</v>
      </c>
      <c r="J30" s="20"/>
      <c r="K30" s="2" t="s">
        <v>313</v>
      </c>
      <c r="L30" s="10" t="s">
        <v>321</v>
      </c>
      <c r="M30" s="2" t="s">
        <v>322</v>
      </c>
      <c r="N30" s="2"/>
      <c r="O30" s="15"/>
    </row>
    <row r="31" spans="1:15" ht="11.4" hidden="1" customHeight="1" x14ac:dyDescent="0.25">
      <c r="A31" s="4" t="s">
        <v>54</v>
      </c>
      <c r="B31" s="2">
        <v>61</v>
      </c>
      <c r="C31" s="3">
        <v>61</v>
      </c>
      <c r="D31" s="2" t="s">
        <v>240</v>
      </c>
      <c r="E31" s="24" t="s">
        <v>305</v>
      </c>
      <c r="F31" s="2" t="s">
        <v>314</v>
      </c>
      <c r="G31" s="2"/>
      <c r="H31" s="2"/>
      <c r="I31" s="20">
        <f>91+721</f>
        <v>812</v>
      </c>
      <c r="J31" s="20"/>
      <c r="K31" s="2"/>
      <c r="L31" s="10" t="s">
        <v>321</v>
      </c>
      <c r="M31" s="2"/>
      <c r="N31" s="2"/>
      <c r="O31" s="15"/>
    </row>
    <row r="32" spans="1:15" ht="11.4" hidden="1" customHeight="1" x14ac:dyDescent="0.25">
      <c r="A32" s="4" t="s">
        <v>59</v>
      </c>
      <c r="B32" s="2">
        <v>61</v>
      </c>
      <c r="C32" s="3">
        <v>2161</v>
      </c>
      <c r="D32" s="2" t="s">
        <v>273</v>
      </c>
      <c r="E32" s="24" t="s">
        <v>306</v>
      </c>
      <c r="F32" s="2" t="s">
        <v>313</v>
      </c>
      <c r="G32" s="2"/>
      <c r="H32" s="2">
        <f>2243+3613</f>
        <v>5856</v>
      </c>
      <c r="I32" s="20">
        <f>740+1192</f>
        <v>1932</v>
      </c>
      <c r="J32" s="26">
        <f>I32/H32</f>
        <v>0.32991803278688525</v>
      </c>
      <c r="K32" s="10" t="s">
        <v>313</v>
      </c>
      <c r="L32" s="10" t="s">
        <v>321</v>
      </c>
      <c r="M32" s="10"/>
      <c r="N32" s="2"/>
      <c r="O32" s="28"/>
    </row>
    <row r="33" spans="1:15" ht="11.4" hidden="1" customHeight="1" x14ac:dyDescent="0.25">
      <c r="A33" s="4" t="s">
        <v>18</v>
      </c>
      <c r="B33" s="2">
        <v>63</v>
      </c>
      <c r="C33" s="3">
        <v>63</v>
      </c>
      <c r="D33" s="2" t="s">
        <v>333</v>
      </c>
      <c r="E33" s="24" t="s">
        <v>305</v>
      </c>
      <c r="F33" s="2" t="s">
        <v>314</v>
      </c>
      <c r="G33" s="2"/>
      <c r="H33" s="2"/>
      <c r="I33" s="20">
        <f>4505+5882</f>
        <v>10387</v>
      </c>
      <c r="J33" s="20"/>
      <c r="K33" s="2"/>
      <c r="L33" s="10" t="s">
        <v>321</v>
      </c>
      <c r="M33" s="2"/>
      <c r="N33" s="2"/>
      <c r="O33" s="15"/>
    </row>
    <row r="34" spans="1:15" ht="11.4" customHeight="1" x14ac:dyDescent="0.25">
      <c r="A34" s="4" t="s">
        <v>5</v>
      </c>
      <c r="B34" s="2">
        <v>66</v>
      </c>
      <c r="C34" s="3">
        <v>66</v>
      </c>
      <c r="D34" s="2" t="s">
        <v>71</v>
      </c>
      <c r="E34" s="24" t="s">
        <v>303</v>
      </c>
      <c r="F34" s="2" t="s">
        <v>314</v>
      </c>
      <c r="G34" s="2"/>
      <c r="H34" s="2"/>
      <c r="I34" s="22">
        <f>1658+6990</f>
        <v>8648</v>
      </c>
      <c r="J34" s="22"/>
      <c r="K34" s="2"/>
      <c r="L34" s="10"/>
      <c r="M34" s="10" t="s">
        <v>322</v>
      </c>
      <c r="N34" s="2"/>
    </row>
    <row r="35" spans="1:15" ht="11.4" hidden="1" customHeight="1" x14ac:dyDescent="0.25">
      <c r="A35" s="4" t="s">
        <v>5</v>
      </c>
      <c r="B35" s="2">
        <v>66</v>
      </c>
      <c r="C35" s="3">
        <v>66</v>
      </c>
      <c r="D35" s="2" t="s">
        <v>71</v>
      </c>
      <c r="E35" s="24" t="s">
        <v>302</v>
      </c>
      <c r="F35" s="2" t="s">
        <v>314</v>
      </c>
      <c r="G35" s="2"/>
      <c r="H35" s="2"/>
      <c r="I35" s="20">
        <f>508+575</f>
        <v>1083</v>
      </c>
      <c r="J35" s="20"/>
      <c r="K35" s="2"/>
      <c r="L35" s="10" t="s">
        <v>321</v>
      </c>
      <c r="M35" s="2"/>
      <c r="N35" s="2"/>
    </row>
    <row r="36" spans="1:15" ht="11.4" customHeight="1" x14ac:dyDescent="0.25">
      <c r="A36" s="4" t="s">
        <v>6</v>
      </c>
      <c r="B36" s="2">
        <v>67</v>
      </c>
      <c r="C36" s="3">
        <v>67</v>
      </c>
      <c r="D36" s="2" t="s">
        <v>83</v>
      </c>
      <c r="E36" s="24" t="s">
        <v>303</v>
      </c>
      <c r="F36" s="2" t="s">
        <v>314</v>
      </c>
      <c r="G36" s="2"/>
      <c r="H36" s="2"/>
      <c r="I36" s="20">
        <f>1062+1677</f>
        <v>2739</v>
      </c>
      <c r="J36" s="20"/>
      <c r="K36" s="2"/>
      <c r="L36" s="10"/>
      <c r="M36" s="10" t="s">
        <v>322</v>
      </c>
      <c r="N36" s="2"/>
    </row>
    <row r="37" spans="1:15" ht="11.4" hidden="1" customHeight="1" x14ac:dyDescent="0.25">
      <c r="A37" s="4" t="s">
        <v>6</v>
      </c>
      <c r="B37" s="2">
        <v>67</v>
      </c>
      <c r="C37" s="3">
        <v>67</v>
      </c>
      <c r="D37" s="2" t="s">
        <v>83</v>
      </c>
      <c r="E37" s="24" t="s">
        <v>301</v>
      </c>
      <c r="F37" s="2" t="s">
        <v>314</v>
      </c>
      <c r="G37" s="2"/>
      <c r="H37" s="2"/>
      <c r="I37" s="20">
        <f>4171+6390</f>
        <v>10561</v>
      </c>
      <c r="J37" s="20"/>
      <c r="K37" s="2"/>
      <c r="L37" s="10" t="s">
        <v>321</v>
      </c>
      <c r="M37" s="2"/>
      <c r="N37" s="2"/>
    </row>
    <row r="38" spans="1:15" ht="11.4" customHeight="1" x14ac:dyDescent="0.25">
      <c r="A38" s="4" t="s">
        <v>4</v>
      </c>
      <c r="B38" s="2">
        <v>71</v>
      </c>
      <c r="C38" s="3">
        <v>71</v>
      </c>
      <c r="D38" s="2" t="s">
        <v>287</v>
      </c>
      <c r="E38" s="24" t="s">
        <v>303</v>
      </c>
      <c r="F38" s="2" t="s">
        <v>314</v>
      </c>
      <c r="G38" s="2"/>
      <c r="H38" s="2"/>
      <c r="I38" s="20">
        <f>79+488+13</f>
        <v>580</v>
      </c>
      <c r="J38" s="20"/>
      <c r="K38" s="2"/>
      <c r="L38" s="10"/>
      <c r="M38" s="10" t="s">
        <v>322</v>
      </c>
      <c r="N38" s="2"/>
      <c r="O38" s="15"/>
    </row>
    <row r="39" spans="1:15" ht="11.4" hidden="1" customHeight="1" x14ac:dyDescent="0.25">
      <c r="A39" s="4" t="s">
        <v>4</v>
      </c>
      <c r="B39" s="2">
        <v>72</v>
      </c>
      <c r="C39" s="3">
        <v>72</v>
      </c>
      <c r="D39" s="2" t="s">
        <v>154</v>
      </c>
      <c r="E39" s="24" t="s">
        <v>302</v>
      </c>
      <c r="F39" s="2" t="s">
        <v>314</v>
      </c>
      <c r="G39" s="2"/>
      <c r="H39" s="2"/>
      <c r="I39" s="20">
        <f>8+187</f>
        <v>195</v>
      </c>
      <c r="J39" s="20"/>
      <c r="K39" s="2"/>
      <c r="L39" s="10" t="s">
        <v>321</v>
      </c>
      <c r="M39" s="2"/>
      <c r="N39" s="2"/>
      <c r="O39" s="15"/>
    </row>
    <row r="40" spans="1:15" ht="11.4" hidden="1" customHeight="1" x14ac:dyDescent="0.25">
      <c r="A40" s="4" t="s">
        <v>33</v>
      </c>
      <c r="B40" s="2">
        <v>72</v>
      </c>
      <c r="C40" s="3">
        <v>2028</v>
      </c>
      <c r="D40" s="2" t="s">
        <v>132</v>
      </c>
      <c r="E40" s="24" t="s">
        <v>304</v>
      </c>
      <c r="F40" s="2" t="s">
        <v>313</v>
      </c>
      <c r="G40" s="2"/>
      <c r="H40" s="2">
        <f>580+2300</f>
        <v>2880</v>
      </c>
      <c r="I40" s="20">
        <f>58+230</f>
        <v>288</v>
      </c>
      <c r="J40" s="26">
        <f>I40/H40</f>
        <v>0.1</v>
      </c>
      <c r="K40" s="10" t="s">
        <v>313</v>
      </c>
      <c r="L40" s="10"/>
      <c r="M40" s="2"/>
      <c r="N40" s="2"/>
      <c r="O40" s="15"/>
    </row>
    <row r="41" spans="1:15" ht="11.4" customHeight="1" x14ac:dyDescent="0.25">
      <c r="A41" s="4" t="s">
        <v>4</v>
      </c>
      <c r="B41" s="2">
        <v>81</v>
      </c>
      <c r="C41" s="3">
        <v>81</v>
      </c>
      <c r="D41" s="2" t="s">
        <v>75</v>
      </c>
      <c r="E41" s="24" t="s">
        <v>303</v>
      </c>
      <c r="F41" s="2" t="s">
        <v>314</v>
      </c>
      <c r="G41" s="2"/>
      <c r="H41" s="2"/>
      <c r="I41" s="20">
        <f>65+441+3</f>
        <v>509</v>
      </c>
      <c r="J41" s="20"/>
      <c r="K41" s="2"/>
      <c r="L41" s="10"/>
      <c r="M41" s="10" t="s">
        <v>322</v>
      </c>
      <c r="N41" s="2"/>
    </row>
    <row r="42" spans="1:15" ht="11.4" hidden="1" customHeight="1" x14ac:dyDescent="0.25">
      <c r="A42" s="4" t="s">
        <v>44</v>
      </c>
      <c r="B42" s="2">
        <v>82</v>
      </c>
      <c r="C42" s="3">
        <v>82</v>
      </c>
      <c r="D42" s="2" t="s">
        <v>190</v>
      </c>
      <c r="E42" s="24" t="s">
        <v>298</v>
      </c>
      <c r="F42" s="2" t="s">
        <v>314</v>
      </c>
      <c r="G42" s="2"/>
      <c r="H42" s="2"/>
      <c r="I42" s="20">
        <f>201+1128</f>
        <v>1329</v>
      </c>
      <c r="J42" s="20"/>
      <c r="K42" s="2"/>
      <c r="L42" s="10" t="s">
        <v>321</v>
      </c>
      <c r="M42" s="2"/>
      <c r="N42" s="2"/>
      <c r="O42" s="15"/>
    </row>
    <row r="43" spans="1:15" ht="11.4" customHeight="1" x14ac:dyDescent="0.25">
      <c r="A43" s="4" t="s">
        <v>44</v>
      </c>
      <c r="B43" s="2">
        <v>82</v>
      </c>
      <c r="C43" s="3">
        <v>82</v>
      </c>
      <c r="D43" s="2" t="s">
        <v>190</v>
      </c>
      <c r="E43" s="24" t="s">
        <v>299</v>
      </c>
      <c r="F43" s="2" t="s">
        <v>314</v>
      </c>
      <c r="G43" s="2"/>
      <c r="H43" s="2"/>
      <c r="I43" s="20">
        <f>374+1347</f>
        <v>1721</v>
      </c>
      <c r="J43" s="20"/>
      <c r="K43" s="2"/>
      <c r="L43" s="10" t="s">
        <v>321</v>
      </c>
      <c r="M43" s="10" t="s">
        <v>322</v>
      </c>
      <c r="N43" s="2"/>
      <c r="O43" s="15"/>
    </row>
    <row r="44" spans="1:15" ht="11.4" hidden="1" customHeight="1" x14ac:dyDescent="0.25">
      <c r="A44" s="4" t="s">
        <v>38</v>
      </c>
      <c r="B44" s="2">
        <v>82</v>
      </c>
      <c r="C44" s="3">
        <v>276</v>
      </c>
      <c r="D44" s="29" t="s">
        <v>187</v>
      </c>
      <c r="E44" s="30" t="s">
        <v>298</v>
      </c>
      <c r="F44" s="29" t="s">
        <v>314</v>
      </c>
      <c r="G44" s="29"/>
      <c r="H44" s="29"/>
      <c r="I44" s="31">
        <f>236+1817</f>
        <v>2053</v>
      </c>
      <c r="J44" s="31"/>
      <c r="K44" s="29"/>
      <c r="L44" s="32" t="s">
        <v>321</v>
      </c>
      <c r="M44" s="29"/>
      <c r="N44" s="29"/>
      <c r="O44" s="15"/>
    </row>
    <row r="45" spans="1:15" ht="11.4" hidden="1" customHeight="1" x14ac:dyDescent="0.25">
      <c r="A45" s="4" t="s">
        <v>38</v>
      </c>
      <c r="B45" s="2">
        <v>82</v>
      </c>
      <c r="C45" s="3">
        <v>276</v>
      </c>
      <c r="D45" s="29" t="s">
        <v>187</v>
      </c>
      <c r="E45" s="30" t="s">
        <v>299</v>
      </c>
      <c r="F45" s="29" t="s">
        <v>314</v>
      </c>
      <c r="G45" s="29"/>
      <c r="H45" s="29"/>
      <c r="I45" s="31">
        <f>407+1694</f>
        <v>2101</v>
      </c>
      <c r="J45" s="31"/>
      <c r="K45" s="29" t="s">
        <v>313</v>
      </c>
      <c r="L45" s="32" t="s">
        <v>321</v>
      </c>
      <c r="M45" s="29"/>
      <c r="N45" s="29"/>
      <c r="O45" s="15"/>
    </row>
    <row r="46" spans="1:15" ht="11.4" hidden="1" customHeight="1" x14ac:dyDescent="0.25">
      <c r="A46" s="4" t="s">
        <v>37</v>
      </c>
      <c r="B46" s="2">
        <v>82</v>
      </c>
      <c r="C46" s="3">
        <v>947</v>
      </c>
      <c r="D46" s="29" t="s">
        <v>188</v>
      </c>
      <c r="E46" s="30" t="s">
        <v>299</v>
      </c>
      <c r="F46" s="29" t="s">
        <v>314</v>
      </c>
      <c r="G46" s="29"/>
      <c r="H46" s="29"/>
      <c r="I46" s="31">
        <f>2+547</f>
        <v>549</v>
      </c>
      <c r="J46" s="31"/>
      <c r="K46" s="29" t="s">
        <v>313</v>
      </c>
      <c r="L46" s="32" t="s">
        <v>321</v>
      </c>
      <c r="M46" s="29"/>
      <c r="N46" s="29"/>
      <c r="O46" s="15"/>
    </row>
    <row r="47" spans="1:15" ht="11.4" hidden="1" customHeight="1" x14ac:dyDescent="0.25">
      <c r="A47" s="4" t="s">
        <v>44</v>
      </c>
      <c r="B47" s="2">
        <v>82</v>
      </c>
      <c r="C47" s="3">
        <v>2225</v>
      </c>
      <c r="D47" s="2" t="s">
        <v>189</v>
      </c>
      <c r="E47" s="24" t="s">
        <v>299</v>
      </c>
      <c r="F47" s="2" t="s">
        <v>313</v>
      </c>
      <c r="G47" s="2"/>
      <c r="H47" s="2">
        <f>1432+3819</f>
        <v>5251</v>
      </c>
      <c r="I47" s="20">
        <f>544+1451</f>
        <v>1995</v>
      </c>
      <c r="J47" s="26">
        <f>I47/H47</f>
        <v>0.37992763283184156</v>
      </c>
      <c r="K47" s="10" t="s">
        <v>313</v>
      </c>
      <c r="L47" s="10"/>
      <c r="M47" s="2"/>
      <c r="N47" s="2"/>
      <c r="O47" s="15"/>
    </row>
    <row r="48" spans="1:15" ht="11.4" hidden="1" customHeight="1" x14ac:dyDescent="0.25">
      <c r="A48" s="4" t="s">
        <v>37</v>
      </c>
      <c r="B48" s="2">
        <v>82</v>
      </c>
      <c r="C48" s="3">
        <v>2344</v>
      </c>
      <c r="D48" s="29" t="s">
        <v>138</v>
      </c>
      <c r="E48" s="30" t="s">
        <v>304</v>
      </c>
      <c r="F48" s="29" t="s">
        <v>313</v>
      </c>
      <c r="G48" s="29"/>
      <c r="H48" s="29">
        <v>7020</v>
      </c>
      <c r="I48" s="31">
        <v>562</v>
      </c>
      <c r="J48" s="33">
        <f>I48/H48</f>
        <v>8.0056980056980059E-2</v>
      </c>
      <c r="K48" s="32" t="s">
        <v>313</v>
      </c>
      <c r="L48" s="32"/>
      <c r="M48" s="29"/>
      <c r="N48" s="29"/>
      <c r="O48" s="15"/>
    </row>
    <row r="49" spans="1:15" ht="11.4" hidden="1" customHeight="1" x14ac:dyDescent="0.25">
      <c r="A49" s="4" t="s">
        <v>38</v>
      </c>
      <c r="B49" s="2">
        <v>82</v>
      </c>
      <c r="C49" s="3">
        <v>2382</v>
      </c>
      <c r="D49" s="29" t="s">
        <v>137</v>
      </c>
      <c r="E49" s="30" t="s">
        <v>304</v>
      </c>
      <c r="F49" s="29" t="s">
        <v>313</v>
      </c>
      <c r="G49" s="29"/>
      <c r="H49" s="29">
        <v>14790</v>
      </c>
      <c r="I49" s="31">
        <v>1183</v>
      </c>
      <c r="J49" s="33">
        <f>I49/H49</f>
        <v>7.998647734956052E-2</v>
      </c>
      <c r="K49" s="32" t="s">
        <v>313</v>
      </c>
      <c r="L49" s="32"/>
      <c r="M49" s="29"/>
      <c r="N49" s="29"/>
      <c r="O49" s="15"/>
    </row>
    <row r="50" spans="1:15" ht="11.4" customHeight="1" x14ac:dyDescent="0.25">
      <c r="A50" s="4" t="s">
        <v>43</v>
      </c>
      <c r="B50" s="2">
        <v>90</v>
      </c>
      <c r="C50" s="3">
        <v>90</v>
      </c>
      <c r="D50" s="2" t="s">
        <v>161</v>
      </c>
      <c r="E50" s="24" t="s">
        <v>303</v>
      </c>
      <c r="F50" s="2" t="s">
        <v>314</v>
      </c>
      <c r="G50" s="2"/>
      <c r="H50" s="2"/>
      <c r="I50" s="20">
        <f>1820+3099</f>
        <v>4919</v>
      </c>
      <c r="J50" s="20"/>
      <c r="K50" s="2"/>
      <c r="L50" s="10"/>
      <c r="M50" s="10" t="s">
        <v>322</v>
      </c>
      <c r="N50" s="2"/>
      <c r="O50" s="15"/>
    </row>
    <row r="51" spans="1:15" ht="11.4" hidden="1" customHeight="1" x14ac:dyDescent="0.25">
      <c r="A51" s="4" t="s">
        <v>43</v>
      </c>
      <c r="B51" s="2">
        <v>90</v>
      </c>
      <c r="C51" s="3">
        <v>90</v>
      </c>
      <c r="D51" s="2" t="s">
        <v>161</v>
      </c>
      <c r="E51" s="24" t="s">
        <v>302</v>
      </c>
      <c r="F51" s="2" t="s">
        <v>314</v>
      </c>
      <c r="G51" s="2"/>
      <c r="H51" s="2"/>
      <c r="I51" s="20">
        <f>84+405</f>
        <v>489</v>
      </c>
      <c r="J51" s="20"/>
      <c r="K51" s="2"/>
      <c r="L51" s="10" t="s">
        <v>321</v>
      </c>
      <c r="M51" s="2"/>
      <c r="N51" s="2"/>
      <c r="O51" s="15"/>
    </row>
    <row r="52" spans="1:15" ht="11.4" customHeight="1" x14ac:dyDescent="0.25">
      <c r="A52" s="4" t="s">
        <v>4</v>
      </c>
      <c r="B52" s="2">
        <v>101</v>
      </c>
      <c r="C52" s="3">
        <v>101</v>
      </c>
      <c r="D52" s="2" t="s">
        <v>69</v>
      </c>
      <c r="E52" s="24" t="s">
        <v>303</v>
      </c>
      <c r="F52" s="2" t="s">
        <v>314</v>
      </c>
      <c r="G52" s="2"/>
      <c r="H52" s="2"/>
      <c r="I52" s="20">
        <f>474.4+1460.7</f>
        <v>1935.1</v>
      </c>
      <c r="J52" s="20"/>
      <c r="K52" s="2"/>
      <c r="L52" s="10"/>
      <c r="M52" s="10" t="s">
        <v>322</v>
      </c>
      <c r="N52" s="2"/>
    </row>
    <row r="53" spans="1:15" ht="11.4" hidden="1" customHeight="1" x14ac:dyDescent="0.25">
      <c r="A53" s="4" t="s">
        <v>4</v>
      </c>
      <c r="B53" s="2">
        <v>101</v>
      </c>
      <c r="C53" s="3">
        <v>101</v>
      </c>
      <c r="D53" s="2" t="s">
        <v>69</v>
      </c>
      <c r="E53" s="24" t="s">
        <v>302</v>
      </c>
      <c r="F53" s="2" t="s">
        <v>314</v>
      </c>
      <c r="G53" s="2"/>
      <c r="H53" s="2"/>
      <c r="I53" s="20">
        <f>76.24+193.73</f>
        <v>269.96999999999997</v>
      </c>
      <c r="J53" s="20"/>
      <c r="K53" s="2"/>
      <c r="L53" s="10" t="s">
        <v>321</v>
      </c>
      <c r="M53" s="2"/>
      <c r="N53" s="2"/>
    </row>
    <row r="54" spans="1:15" ht="11.4" customHeight="1" x14ac:dyDescent="0.25">
      <c r="A54" s="4" t="s">
        <v>6</v>
      </c>
      <c r="B54" s="2">
        <v>102</v>
      </c>
      <c r="C54" s="3">
        <v>102</v>
      </c>
      <c r="D54" s="2" t="s">
        <v>163</v>
      </c>
      <c r="E54" s="24" t="s">
        <v>303</v>
      </c>
      <c r="F54" s="2" t="s">
        <v>314</v>
      </c>
      <c r="G54" s="2"/>
      <c r="H54" s="2"/>
      <c r="I54" s="20">
        <v>91</v>
      </c>
      <c r="J54" s="20"/>
      <c r="K54" s="2"/>
      <c r="L54" s="10"/>
      <c r="M54" s="10" t="s">
        <v>322</v>
      </c>
      <c r="N54" s="2"/>
      <c r="O54" s="15"/>
    </row>
    <row r="55" spans="1:15" ht="11.4" hidden="1" customHeight="1" x14ac:dyDescent="0.25">
      <c r="A55" s="4" t="s">
        <v>30</v>
      </c>
      <c r="B55" s="2">
        <v>107</v>
      </c>
      <c r="C55" s="3">
        <v>107</v>
      </c>
      <c r="D55" s="2" t="s">
        <v>223</v>
      </c>
      <c r="E55" s="24" t="s">
        <v>298</v>
      </c>
      <c r="F55" s="2" t="s">
        <v>314</v>
      </c>
      <c r="G55" s="2"/>
      <c r="H55" s="2"/>
      <c r="I55" s="20">
        <f>1218+2470</f>
        <v>3688</v>
      </c>
      <c r="J55" s="20"/>
      <c r="K55" s="2"/>
      <c r="L55" s="10" t="s">
        <v>321</v>
      </c>
      <c r="M55" s="2"/>
      <c r="N55" s="2"/>
      <c r="O55" s="15"/>
    </row>
    <row r="56" spans="1:15" ht="11.4" customHeight="1" x14ac:dyDescent="0.25">
      <c r="A56" s="4" t="s">
        <v>30</v>
      </c>
      <c r="B56" s="2">
        <v>107</v>
      </c>
      <c r="C56" s="3">
        <v>107</v>
      </c>
      <c r="D56" s="2" t="s">
        <v>223</v>
      </c>
      <c r="E56" s="24" t="s">
        <v>299</v>
      </c>
      <c r="F56" s="2" t="s">
        <v>314</v>
      </c>
      <c r="G56" s="2"/>
      <c r="H56" s="2"/>
      <c r="I56" s="20">
        <f>1145+1564</f>
        <v>2709</v>
      </c>
      <c r="J56" s="20"/>
      <c r="K56" s="2"/>
      <c r="L56" s="10" t="s">
        <v>321</v>
      </c>
      <c r="M56" s="10" t="s">
        <v>322</v>
      </c>
      <c r="N56" s="2"/>
      <c r="O56" s="15"/>
    </row>
    <row r="57" spans="1:15" ht="11.4" hidden="1" customHeight="1" x14ac:dyDescent="0.25">
      <c r="A57" s="4" t="s">
        <v>9</v>
      </c>
      <c r="B57" s="2">
        <v>107</v>
      </c>
      <c r="C57" s="3">
        <v>2312</v>
      </c>
      <c r="D57" s="2" t="s">
        <v>225</v>
      </c>
      <c r="E57" s="24" t="s">
        <v>299</v>
      </c>
      <c r="F57" s="2" t="s">
        <v>313</v>
      </c>
      <c r="G57" s="2"/>
      <c r="H57" s="2">
        <f>573+651</f>
        <v>1224</v>
      </c>
      <c r="I57" s="20">
        <f>201+228</f>
        <v>429</v>
      </c>
      <c r="J57" s="26">
        <f>I57/H57</f>
        <v>0.35049019607843135</v>
      </c>
      <c r="K57" s="10" t="s">
        <v>313</v>
      </c>
      <c r="L57" s="10"/>
      <c r="M57" s="2"/>
      <c r="N57" s="2"/>
      <c r="O57" s="15"/>
    </row>
    <row r="58" spans="1:15" ht="11.4" hidden="1" customHeight="1" x14ac:dyDescent="0.25">
      <c r="A58" s="4" t="s">
        <v>8</v>
      </c>
      <c r="B58" s="2">
        <v>109</v>
      </c>
      <c r="C58" s="3">
        <v>109</v>
      </c>
      <c r="D58" s="2" t="s">
        <v>84</v>
      </c>
      <c r="E58" s="24" t="s">
        <v>298</v>
      </c>
      <c r="F58" s="2" t="s">
        <v>314</v>
      </c>
      <c r="G58" s="2"/>
      <c r="H58" s="2"/>
      <c r="I58" s="20">
        <f>144+274</f>
        <v>418</v>
      </c>
      <c r="J58" s="20"/>
      <c r="K58" s="2"/>
      <c r="L58" s="10" t="s">
        <v>321</v>
      </c>
      <c r="M58" s="2"/>
      <c r="N58" s="2"/>
    </row>
    <row r="59" spans="1:15" ht="11.4" customHeight="1" x14ac:dyDescent="0.25">
      <c r="A59" s="4" t="s">
        <v>8</v>
      </c>
      <c r="B59" s="2">
        <v>109</v>
      </c>
      <c r="C59" s="3">
        <v>109</v>
      </c>
      <c r="D59" s="2" t="s">
        <v>84</v>
      </c>
      <c r="E59" s="24" t="s">
        <v>299</v>
      </c>
      <c r="F59" s="2" t="s">
        <v>314</v>
      </c>
      <c r="G59" s="2"/>
      <c r="H59" s="2"/>
      <c r="I59" s="20">
        <f>51+80</f>
        <v>131</v>
      </c>
      <c r="J59" s="20"/>
      <c r="K59" s="2"/>
      <c r="L59" s="10" t="s">
        <v>321</v>
      </c>
      <c r="M59" s="10" t="s">
        <v>322</v>
      </c>
      <c r="N59" s="2"/>
      <c r="O59" s="15"/>
    </row>
    <row r="60" spans="1:15" ht="11.4" hidden="1" customHeight="1" x14ac:dyDescent="0.25">
      <c r="A60" s="4" t="s">
        <v>9</v>
      </c>
      <c r="B60" s="2">
        <v>109</v>
      </c>
      <c r="C60" s="3">
        <v>2313</v>
      </c>
      <c r="D60" s="2" t="s">
        <v>85</v>
      </c>
      <c r="E60" s="24" t="s">
        <v>299</v>
      </c>
      <c r="F60" s="2" t="s">
        <v>313</v>
      </c>
      <c r="G60" s="2"/>
      <c r="H60" s="2">
        <f>56+1419</f>
        <v>1475</v>
      </c>
      <c r="I60" s="20">
        <f>20+497</f>
        <v>517</v>
      </c>
      <c r="J60" s="26">
        <f>I60/H60</f>
        <v>0.35050847457627121</v>
      </c>
      <c r="K60" s="10" t="s">
        <v>313</v>
      </c>
      <c r="L60" s="10"/>
      <c r="M60" s="2"/>
      <c r="N60" s="2"/>
      <c r="O60" s="27"/>
    </row>
    <row r="61" spans="1:15" ht="11.4" hidden="1" customHeight="1" x14ac:dyDescent="0.25">
      <c r="A61" s="4" t="s">
        <v>30</v>
      </c>
      <c r="B61" s="2">
        <v>111</v>
      </c>
      <c r="C61" s="3">
        <v>111</v>
      </c>
      <c r="D61" s="2" t="s">
        <v>124</v>
      </c>
      <c r="E61" s="24" t="s">
        <v>298</v>
      </c>
      <c r="F61" s="2" t="s">
        <v>314</v>
      </c>
      <c r="G61" s="2"/>
      <c r="H61" s="2"/>
      <c r="I61" s="20">
        <f>1150+1643</f>
        <v>2793</v>
      </c>
      <c r="J61" s="20"/>
      <c r="K61" s="2"/>
      <c r="L61" s="10" t="s">
        <v>321</v>
      </c>
      <c r="M61" s="2"/>
      <c r="N61" s="2"/>
      <c r="O61" s="15"/>
    </row>
    <row r="62" spans="1:15" ht="11.4" customHeight="1" x14ac:dyDescent="0.25">
      <c r="A62" s="4" t="s">
        <v>30</v>
      </c>
      <c r="B62" s="2">
        <v>111</v>
      </c>
      <c r="C62" s="3">
        <v>111</v>
      </c>
      <c r="D62" s="2" t="s">
        <v>124</v>
      </c>
      <c r="E62" s="24" t="s">
        <v>299</v>
      </c>
      <c r="F62" s="2" t="s">
        <v>314</v>
      </c>
      <c r="G62" s="2"/>
      <c r="H62" s="2"/>
      <c r="I62" s="20">
        <f>1753+2821</f>
        <v>4574</v>
      </c>
      <c r="J62" s="20"/>
      <c r="K62" s="10"/>
      <c r="L62" s="10" t="s">
        <v>321</v>
      </c>
      <c r="M62" s="10" t="s">
        <v>322</v>
      </c>
      <c r="N62" s="2"/>
      <c r="O62" s="15"/>
    </row>
    <row r="63" spans="1:15" ht="11.4" hidden="1" customHeight="1" x14ac:dyDescent="0.25">
      <c r="A63" s="4" t="s">
        <v>20</v>
      </c>
      <c r="B63" s="2">
        <v>111</v>
      </c>
      <c r="C63" s="3">
        <v>515</v>
      </c>
      <c r="D63" s="29" t="s">
        <v>127</v>
      </c>
      <c r="E63" s="30" t="s">
        <v>299</v>
      </c>
      <c r="F63" s="29" t="s">
        <v>314</v>
      </c>
      <c r="G63" s="29"/>
      <c r="H63" s="29"/>
      <c r="I63" s="31">
        <v>417</v>
      </c>
      <c r="J63" s="31"/>
      <c r="K63" s="32" t="s">
        <v>313</v>
      </c>
      <c r="L63" s="32" t="s">
        <v>321</v>
      </c>
      <c r="M63" s="29"/>
      <c r="N63" s="29"/>
      <c r="O63" s="15"/>
    </row>
    <row r="64" spans="1:15" ht="11.4" hidden="1" customHeight="1" x14ac:dyDescent="0.25">
      <c r="A64" s="4" t="s">
        <v>31</v>
      </c>
      <c r="B64" s="2">
        <v>111</v>
      </c>
      <c r="C64" s="3">
        <v>1262</v>
      </c>
      <c r="D64" s="29" t="s">
        <v>125</v>
      </c>
      <c r="E64" s="30" t="s">
        <v>299</v>
      </c>
      <c r="F64" s="29" t="s">
        <v>314</v>
      </c>
      <c r="G64" s="29"/>
      <c r="H64" s="29"/>
      <c r="I64" s="31">
        <v>50</v>
      </c>
      <c r="J64" s="31"/>
      <c r="K64" s="32" t="s">
        <v>313</v>
      </c>
      <c r="L64" s="32" t="s">
        <v>321</v>
      </c>
      <c r="M64" s="29"/>
      <c r="N64" s="29"/>
      <c r="O64" s="15"/>
    </row>
    <row r="65" spans="1:15" ht="11.4" hidden="1" customHeight="1" x14ac:dyDescent="0.25">
      <c r="A65" s="4" t="s">
        <v>9</v>
      </c>
      <c r="B65" s="2">
        <v>111</v>
      </c>
      <c r="C65" s="3">
        <v>2314</v>
      </c>
      <c r="D65" s="2" t="s">
        <v>128</v>
      </c>
      <c r="E65" s="24" t="s">
        <v>299</v>
      </c>
      <c r="F65" s="2" t="s">
        <v>313</v>
      </c>
      <c r="G65" s="2"/>
      <c r="H65" s="2">
        <f>865+1027</f>
        <v>1892</v>
      </c>
      <c r="I65" s="20">
        <f>303+359</f>
        <v>662</v>
      </c>
      <c r="J65" s="26">
        <f>I65/H65</f>
        <v>0.34989429175475689</v>
      </c>
      <c r="K65" s="10" t="s">
        <v>313</v>
      </c>
      <c r="L65" s="10"/>
      <c r="M65" s="2"/>
      <c r="N65" s="2"/>
      <c r="O65" s="15"/>
    </row>
    <row r="66" spans="1:15" ht="11.4" hidden="1" customHeight="1" x14ac:dyDescent="0.25">
      <c r="A66" s="4" t="s">
        <v>18</v>
      </c>
      <c r="B66" s="2">
        <v>112</v>
      </c>
      <c r="C66" s="3">
        <v>112</v>
      </c>
      <c r="D66" s="2" t="s">
        <v>231</v>
      </c>
      <c r="E66" s="24" t="s">
        <v>305</v>
      </c>
      <c r="F66" s="2" t="s">
        <v>314</v>
      </c>
      <c r="G66" s="2"/>
      <c r="H66" s="2"/>
      <c r="I66" s="20">
        <f>2+13+134+369</f>
        <v>518</v>
      </c>
      <c r="J66" s="20"/>
      <c r="K66" s="2"/>
      <c r="L66" s="10" t="s">
        <v>321</v>
      </c>
      <c r="M66" s="2"/>
      <c r="N66" s="2"/>
      <c r="O66" s="15"/>
    </row>
    <row r="67" spans="1:15" ht="11.4" hidden="1" customHeight="1" x14ac:dyDescent="0.25">
      <c r="A67" s="4" t="s">
        <v>50</v>
      </c>
      <c r="B67" s="2">
        <v>112</v>
      </c>
      <c r="C67" s="3">
        <v>721</v>
      </c>
      <c r="D67" s="2" t="s">
        <v>232</v>
      </c>
      <c r="E67" s="24" t="s">
        <v>305</v>
      </c>
      <c r="F67" s="2" t="s">
        <v>314</v>
      </c>
      <c r="G67" s="2"/>
      <c r="H67" s="2"/>
      <c r="I67" s="20">
        <f>17+259</f>
        <v>276</v>
      </c>
      <c r="J67" s="20"/>
      <c r="K67" s="2"/>
      <c r="L67" s="10" t="s">
        <v>321</v>
      </c>
      <c r="M67" s="2"/>
      <c r="N67" s="2"/>
      <c r="O67" s="15"/>
    </row>
    <row r="68" spans="1:15" ht="11.4" hidden="1" customHeight="1" x14ac:dyDescent="0.25">
      <c r="A68" s="4" t="s">
        <v>21</v>
      </c>
      <c r="B68" s="2">
        <v>119</v>
      </c>
      <c r="C68" s="3">
        <v>119</v>
      </c>
      <c r="D68" s="2" t="s">
        <v>103</v>
      </c>
      <c r="E68" s="24" t="s">
        <v>305</v>
      </c>
      <c r="F68" s="2" t="s">
        <v>314</v>
      </c>
      <c r="G68" s="2"/>
      <c r="H68" s="2"/>
      <c r="I68" s="20">
        <f>1681+1746</f>
        <v>3427</v>
      </c>
      <c r="J68" s="20"/>
      <c r="K68" s="2"/>
      <c r="L68" s="10" t="s">
        <v>321</v>
      </c>
      <c r="M68" s="2"/>
      <c r="N68" s="2"/>
      <c r="O68" s="15"/>
    </row>
    <row r="69" spans="1:15" ht="11.4" hidden="1" customHeight="1" x14ac:dyDescent="0.25">
      <c r="A69" s="4" t="s">
        <v>21</v>
      </c>
      <c r="B69" s="2">
        <v>119</v>
      </c>
      <c r="C69" s="3">
        <v>119</v>
      </c>
      <c r="D69" s="2" t="s">
        <v>103</v>
      </c>
      <c r="E69" s="24" t="s">
        <v>306</v>
      </c>
      <c r="F69" s="2" t="s">
        <v>314</v>
      </c>
      <c r="G69" s="2"/>
      <c r="H69" s="2"/>
      <c r="I69" s="20">
        <f>1502+1954</f>
        <v>3456</v>
      </c>
      <c r="J69" s="20"/>
      <c r="K69" s="10" t="s">
        <v>313</v>
      </c>
      <c r="L69" s="10" t="s">
        <v>321</v>
      </c>
      <c r="M69" s="10"/>
      <c r="N69" s="2"/>
      <c r="O69" s="15"/>
    </row>
    <row r="70" spans="1:15" ht="11.4" hidden="1" customHeight="1" x14ac:dyDescent="0.25">
      <c r="A70" s="4" t="s">
        <v>30</v>
      </c>
      <c r="B70" s="2">
        <v>120</v>
      </c>
      <c r="C70" s="3">
        <v>120</v>
      </c>
      <c r="D70" s="2" t="s">
        <v>212</v>
      </c>
      <c r="E70" s="24" t="s">
        <v>298</v>
      </c>
      <c r="F70" s="2" t="s">
        <v>314</v>
      </c>
      <c r="G70" s="2"/>
      <c r="H70" s="2"/>
      <c r="I70" s="20">
        <f>289+536</f>
        <v>825</v>
      </c>
      <c r="J70" s="20"/>
      <c r="K70" s="2"/>
      <c r="L70" s="10" t="s">
        <v>321</v>
      </c>
      <c r="M70" s="2"/>
      <c r="N70" s="2"/>
      <c r="O70" s="15"/>
    </row>
    <row r="71" spans="1:15" ht="11.4" customHeight="1" x14ac:dyDescent="0.25">
      <c r="A71" s="4" t="s">
        <v>30</v>
      </c>
      <c r="B71" s="2">
        <v>120</v>
      </c>
      <c r="C71" s="3">
        <v>120</v>
      </c>
      <c r="D71" s="2" t="s">
        <v>212</v>
      </c>
      <c r="E71" s="24" t="s">
        <v>308</v>
      </c>
      <c r="F71" s="2" t="s">
        <v>314</v>
      </c>
      <c r="G71" s="2"/>
      <c r="H71" s="2"/>
      <c r="I71" s="20">
        <f>130+188</f>
        <v>318</v>
      </c>
      <c r="J71" s="20"/>
      <c r="K71" s="10"/>
      <c r="L71" s="10" t="s">
        <v>321</v>
      </c>
      <c r="M71" s="10" t="s">
        <v>322</v>
      </c>
      <c r="N71" s="2"/>
      <c r="O71" s="15"/>
    </row>
    <row r="72" spans="1:15" ht="11.4" hidden="1" customHeight="1" x14ac:dyDescent="0.25">
      <c r="A72" s="4" t="s">
        <v>9</v>
      </c>
      <c r="B72" s="2">
        <v>120</v>
      </c>
      <c r="C72" s="3">
        <v>2315</v>
      </c>
      <c r="D72" s="2" t="s">
        <v>213</v>
      </c>
      <c r="E72" s="24" t="s">
        <v>299</v>
      </c>
      <c r="F72" s="2" t="s">
        <v>313</v>
      </c>
      <c r="G72" s="2"/>
      <c r="H72" s="2">
        <f>452+2926</f>
        <v>3378</v>
      </c>
      <c r="I72" s="20">
        <f>158+1024</f>
        <v>1182</v>
      </c>
      <c r="J72" s="26">
        <f>I72/H72</f>
        <v>0.34991119005328597</v>
      </c>
      <c r="K72" s="10" t="s">
        <v>313</v>
      </c>
      <c r="L72" s="10"/>
      <c r="M72" s="2"/>
      <c r="N72" s="2"/>
      <c r="O72" s="15"/>
    </row>
    <row r="73" spans="1:15" ht="11.4" hidden="1" customHeight="1" x14ac:dyDescent="0.25">
      <c r="A73" s="4" t="s">
        <v>8</v>
      </c>
      <c r="B73" s="2">
        <v>128</v>
      </c>
      <c r="C73" s="3">
        <v>128</v>
      </c>
      <c r="D73" s="2" t="s">
        <v>89</v>
      </c>
      <c r="E73" s="24" t="s">
        <v>298</v>
      </c>
      <c r="F73" s="2" t="s">
        <v>314</v>
      </c>
      <c r="G73" s="2"/>
      <c r="H73" s="2"/>
      <c r="I73" s="20">
        <f>2225+4650</f>
        <v>6875</v>
      </c>
      <c r="J73" s="20"/>
      <c r="K73" s="2"/>
      <c r="L73" s="10" t="s">
        <v>321</v>
      </c>
      <c r="M73" s="2"/>
      <c r="N73" s="2"/>
      <c r="O73" s="15"/>
    </row>
    <row r="74" spans="1:15" ht="11.4" customHeight="1" x14ac:dyDescent="0.25">
      <c r="A74" s="4" t="s">
        <v>8</v>
      </c>
      <c r="B74" s="2">
        <v>128</v>
      </c>
      <c r="C74" s="3">
        <v>128</v>
      </c>
      <c r="D74" s="2" t="s">
        <v>89</v>
      </c>
      <c r="E74" s="24" t="s">
        <v>299</v>
      </c>
      <c r="F74" s="2" t="s">
        <v>314</v>
      </c>
      <c r="G74" s="2"/>
      <c r="H74" s="2"/>
      <c r="I74" s="20">
        <f>1431+2044</f>
        <v>3475</v>
      </c>
      <c r="J74" s="20"/>
      <c r="K74" s="2"/>
      <c r="L74" s="10" t="s">
        <v>321</v>
      </c>
      <c r="M74" s="10" t="s">
        <v>322</v>
      </c>
      <c r="N74" s="2"/>
      <c r="O74" s="15"/>
    </row>
    <row r="75" spans="1:15" ht="11.4" hidden="1" customHeight="1" x14ac:dyDescent="0.25">
      <c r="A75" s="4" t="s">
        <v>13</v>
      </c>
      <c r="B75" s="2">
        <v>128</v>
      </c>
      <c r="C75" s="3">
        <v>942</v>
      </c>
      <c r="D75" s="29" t="s">
        <v>91</v>
      </c>
      <c r="E75" s="30" t="s">
        <v>298</v>
      </c>
      <c r="F75" s="29" t="s">
        <v>314</v>
      </c>
      <c r="G75" s="29"/>
      <c r="H75" s="29"/>
      <c r="I75" s="31">
        <v>659</v>
      </c>
      <c r="J75" s="31"/>
      <c r="K75" s="29"/>
      <c r="L75" s="32" t="s">
        <v>321</v>
      </c>
      <c r="M75" s="29"/>
      <c r="N75" s="29"/>
      <c r="O75" s="15"/>
    </row>
    <row r="76" spans="1:15" ht="11.4" hidden="1" customHeight="1" x14ac:dyDescent="0.25">
      <c r="A76" s="4" t="s">
        <v>9</v>
      </c>
      <c r="B76" s="2">
        <v>128</v>
      </c>
      <c r="C76" s="3">
        <v>2125</v>
      </c>
      <c r="D76" s="2" t="s">
        <v>90</v>
      </c>
      <c r="E76" s="24" t="s">
        <v>299</v>
      </c>
      <c r="F76" s="2" t="s">
        <v>313</v>
      </c>
      <c r="G76" s="2"/>
      <c r="H76" s="2">
        <f>488+847</f>
        <v>1335</v>
      </c>
      <c r="I76" s="20">
        <f>181+313</f>
        <v>494</v>
      </c>
      <c r="J76" s="26">
        <f>I76/H76</f>
        <v>0.3700374531835206</v>
      </c>
      <c r="K76" s="10" t="s">
        <v>313</v>
      </c>
      <c r="L76" s="10"/>
      <c r="M76" s="2"/>
      <c r="N76" s="2"/>
      <c r="O76" s="15"/>
    </row>
    <row r="77" spans="1:15" ht="11.4" hidden="1" customHeight="1" x14ac:dyDescent="0.25">
      <c r="A77" s="4" t="s">
        <v>8</v>
      </c>
      <c r="B77" s="2">
        <v>129</v>
      </c>
      <c r="C77" s="3">
        <v>129</v>
      </c>
      <c r="D77" s="2" t="s">
        <v>104</v>
      </c>
      <c r="E77" s="24" t="s">
        <v>307</v>
      </c>
      <c r="F77" s="2" t="s">
        <v>314</v>
      </c>
      <c r="G77" s="2"/>
      <c r="H77" s="2"/>
      <c r="I77" s="20">
        <f>65+946</f>
        <v>1011</v>
      </c>
      <c r="J77" s="20"/>
      <c r="K77" s="2"/>
      <c r="L77" s="10" t="s">
        <v>321</v>
      </c>
      <c r="M77" s="2"/>
      <c r="N77" s="2"/>
      <c r="O77" s="15"/>
    </row>
    <row r="78" spans="1:15" ht="11.4" hidden="1" customHeight="1" x14ac:dyDescent="0.25">
      <c r="A78" s="4" t="s">
        <v>8</v>
      </c>
      <c r="B78" s="2">
        <v>129</v>
      </c>
      <c r="C78" s="3">
        <v>129</v>
      </c>
      <c r="D78" s="2" t="s">
        <v>104</v>
      </c>
      <c r="E78" s="24" t="s">
        <v>305</v>
      </c>
      <c r="F78" s="2" t="s">
        <v>314</v>
      </c>
      <c r="G78" s="2"/>
      <c r="H78" s="2"/>
      <c r="I78" s="20">
        <f>1218+1597</f>
        <v>2815</v>
      </c>
      <c r="J78" s="20"/>
      <c r="K78" s="2"/>
      <c r="L78" s="10" t="s">
        <v>321</v>
      </c>
      <c r="M78" s="2"/>
      <c r="N78" s="2"/>
      <c r="O78" s="15"/>
    </row>
    <row r="79" spans="1:15" ht="11.4" hidden="1" customHeight="1" x14ac:dyDescent="0.25">
      <c r="A79" s="4" t="s">
        <v>8</v>
      </c>
      <c r="B79" s="2">
        <v>129</v>
      </c>
      <c r="C79" s="3">
        <v>129</v>
      </c>
      <c r="D79" s="2" t="s">
        <v>104</v>
      </c>
      <c r="E79" s="24" t="s">
        <v>306</v>
      </c>
      <c r="F79" s="2" t="s">
        <v>314</v>
      </c>
      <c r="G79" s="2"/>
      <c r="H79" s="2"/>
      <c r="I79" s="20">
        <f>2474+4388</f>
        <v>6862</v>
      </c>
      <c r="J79" s="20"/>
      <c r="K79" s="10" t="s">
        <v>313</v>
      </c>
      <c r="L79" s="10" t="s">
        <v>321</v>
      </c>
      <c r="M79" s="2"/>
      <c r="N79" s="2"/>
      <c r="O79" s="15"/>
    </row>
    <row r="80" spans="1:15" ht="11.4" hidden="1" customHeight="1" x14ac:dyDescent="0.25">
      <c r="A80" s="4" t="s">
        <v>30</v>
      </c>
      <c r="B80" s="2">
        <v>137</v>
      </c>
      <c r="C80" s="3">
        <v>137</v>
      </c>
      <c r="D80" s="2" t="s">
        <v>210</v>
      </c>
      <c r="E80" s="24" t="s">
        <v>298</v>
      </c>
      <c r="F80" s="2" t="s">
        <v>314</v>
      </c>
      <c r="G80" s="2"/>
      <c r="H80" s="2"/>
      <c r="I80" s="20">
        <f>3065+3317</f>
        <v>6382</v>
      </c>
      <c r="J80" s="20"/>
      <c r="K80" s="2"/>
      <c r="L80" s="10" t="s">
        <v>321</v>
      </c>
      <c r="M80" s="2"/>
      <c r="N80" s="2"/>
      <c r="O80" s="15"/>
    </row>
    <row r="81" spans="1:15" ht="11.4" customHeight="1" x14ac:dyDescent="0.25">
      <c r="A81" s="4" t="s">
        <v>30</v>
      </c>
      <c r="B81" s="2">
        <v>137</v>
      </c>
      <c r="C81" s="3">
        <v>137</v>
      </c>
      <c r="D81" s="2" t="s">
        <v>210</v>
      </c>
      <c r="E81" s="24" t="s">
        <v>308</v>
      </c>
      <c r="F81" s="2" t="s">
        <v>314</v>
      </c>
      <c r="G81" s="2"/>
      <c r="H81" s="2"/>
      <c r="I81" s="20">
        <f>129+2262</f>
        <v>2391</v>
      </c>
      <c r="J81" s="20"/>
      <c r="K81" s="10" t="s">
        <v>313</v>
      </c>
      <c r="L81" s="10" t="s">
        <v>321</v>
      </c>
      <c r="M81" s="10" t="s">
        <v>322</v>
      </c>
      <c r="N81" s="2"/>
      <c r="O81" s="15"/>
    </row>
    <row r="82" spans="1:15" ht="11.4" customHeight="1" x14ac:dyDescent="0.25">
      <c r="A82" s="4" t="s">
        <v>4</v>
      </c>
      <c r="B82" s="2">
        <v>142</v>
      </c>
      <c r="C82" s="3">
        <v>142</v>
      </c>
      <c r="D82" s="2" t="s">
        <v>160</v>
      </c>
      <c r="E82" s="24" t="s">
        <v>303</v>
      </c>
      <c r="F82" s="2" t="s">
        <v>314</v>
      </c>
      <c r="G82" s="2"/>
      <c r="H82" s="2"/>
      <c r="I82" s="20">
        <f>96+320</f>
        <v>416</v>
      </c>
      <c r="J82" s="20"/>
      <c r="K82" s="2"/>
      <c r="L82" s="10"/>
      <c r="M82" s="10" t="s">
        <v>322</v>
      </c>
      <c r="N82" s="2"/>
      <c r="O82" s="15"/>
    </row>
    <row r="83" spans="1:15" ht="11.4" customHeight="1" x14ac:dyDescent="0.25">
      <c r="A83" s="4" t="s">
        <v>6</v>
      </c>
      <c r="B83" s="2">
        <v>144</v>
      </c>
      <c r="C83" s="3">
        <v>144</v>
      </c>
      <c r="D83" s="2" t="s">
        <v>159</v>
      </c>
      <c r="E83" s="24" t="s">
        <v>305</v>
      </c>
      <c r="F83" s="2" t="s">
        <v>314</v>
      </c>
      <c r="G83" s="2"/>
      <c r="H83" s="2"/>
      <c r="I83" s="20">
        <f>751+1772</f>
        <v>2523</v>
      </c>
      <c r="J83" s="20"/>
      <c r="K83" s="2"/>
      <c r="L83" s="10" t="s">
        <v>321</v>
      </c>
      <c r="M83" s="10" t="s">
        <v>322</v>
      </c>
      <c r="N83" s="2"/>
      <c r="O83" s="15"/>
    </row>
    <row r="84" spans="1:15" ht="11.4" customHeight="1" x14ac:dyDescent="0.25">
      <c r="A84" s="4" t="s">
        <v>6</v>
      </c>
      <c r="B84" s="2">
        <v>145</v>
      </c>
      <c r="C84" s="3">
        <v>145</v>
      </c>
      <c r="D84" s="2" t="s">
        <v>162</v>
      </c>
      <c r="E84" s="24" t="s">
        <v>303</v>
      </c>
      <c r="F84" s="2" t="s">
        <v>314</v>
      </c>
      <c r="G84" s="2"/>
      <c r="H84" s="2"/>
      <c r="I84" s="20">
        <f>1724+2821</f>
        <v>4545</v>
      </c>
      <c r="J84" s="20"/>
      <c r="K84" s="2"/>
      <c r="L84" s="10"/>
      <c r="M84" s="10" t="s">
        <v>322</v>
      </c>
      <c r="N84" s="2"/>
      <c r="O84" s="15"/>
    </row>
    <row r="85" spans="1:15" ht="11.4" customHeight="1" x14ac:dyDescent="0.25">
      <c r="A85" s="4" t="s">
        <v>6</v>
      </c>
      <c r="B85" s="2">
        <v>145</v>
      </c>
      <c r="C85" s="3">
        <v>145</v>
      </c>
      <c r="D85" s="2" t="s">
        <v>162</v>
      </c>
      <c r="E85" s="24" t="s">
        <v>305</v>
      </c>
      <c r="F85" s="2" t="s">
        <v>314</v>
      </c>
      <c r="G85" s="2"/>
      <c r="H85" s="2"/>
      <c r="I85" s="20">
        <f>1177+2501</f>
        <v>3678</v>
      </c>
      <c r="J85" s="20"/>
      <c r="K85" s="2"/>
      <c r="L85" s="10" t="s">
        <v>321</v>
      </c>
      <c r="M85" s="10" t="s">
        <v>322</v>
      </c>
      <c r="N85" s="2"/>
      <c r="O85" s="15"/>
    </row>
    <row r="86" spans="1:15" ht="11.4" hidden="1" customHeight="1" x14ac:dyDescent="0.25">
      <c r="A86" s="4" t="s">
        <v>42</v>
      </c>
      <c r="B86" s="2">
        <v>151</v>
      </c>
      <c r="C86" s="3">
        <v>2078</v>
      </c>
      <c r="D86" s="2" t="s">
        <v>156</v>
      </c>
      <c r="E86" s="24" t="s">
        <v>300</v>
      </c>
      <c r="F86" s="2" t="s">
        <v>313</v>
      </c>
      <c r="G86" s="2"/>
      <c r="H86" s="2">
        <f>1099+12722</f>
        <v>13821</v>
      </c>
      <c r="I86" s="20">
        <f>132+1527</f>
        <v>1659</v>
      </c>
      <c r="J86" s="26">
        <f>I86/H86</f>
        <v>0.12003472975906229</v>
      </c>
      <c r="K86" s="10" t="s">
        <v>313</v>
      </c>
      <c r="L86" s="10"/>
      <c r="M86" s="2"/>
      <c r="N86" s="2"/>
      <c r="O86" s="15"/>
    </row>
    <row r="87" spans="1:15" ht="11.4" hidden="1" customHeight="1" x14ac:dyDescent="0.25">
      <c r="A87" s="4" t="s">
        <v>1</v>
      </c>
      <c r="B87" s="2">
        <v>159</v>
      </c>
      <c r="C87" s="3">
        <v>159</v>
      </c>
      <c r="D87" s="2" t="s">
        <v>178</v>
      </c>
      <c r="E87" s="24" t="s">
        <v>298</v>
      </c>
      <c r="F87" s="2" t="s">
        <v>314</v>
      </c>
      <c r="G87" s="2"/>
      <c r="H87" s="2"/>
      <c r="I87" s="20">
        <f>63+72</f>
        <v>135</v>
      </c>
      <c r="J87" s="20"/>
      <c r="K87" s="2"/>
      <c r="L87" s="10" t="s">
        <v>321</v>
      </c>
      <c r="M87" s="2"/>
      <c r="N87" s="2"/>
      <c r="O87" s="15"/>
    </row>
    <row r="88" spans="1:15" ht="11.4" customHeight="1" x14ac:dyDescent="0.25">
      <c r="A88" s="4" t="s">
        <v>1</v>
      </c>
      <c r="B88" s="2">
        <v>159</v>
      </c>
      <c r="C88" s="3">
        <v>159</v>
      </c>
      <c r="D88" s="2" t="s">
        <v>178</v>
      </c>
      <c r="E88" s="24" t="s">
        <v>299</v>
      </c>
      <c r="F88" s="2" t="s">
        <v>314</v>
      </c>
      <c r="G88" s="2"/>
      <c r="H88" s="2"/>
      <c r="I88" s="20">
        <f>182+456</f>
        <v>638</v>
      </c>
      <c r="J88" s="20"/>
      <c r="K88" s="10" t="s">
        <v>313</v>
      </c>
      <c r="L88" s="10" t="s">
        <v>321</v>
      </c>
      <c r="M88" s="10" t="s">
        <v>322</v>
      </c>
      <c r="N88" s="2"/>
      <c r="O88" s="15"/>
    </row>
    <row r="89" spans="1:15" ht="11.4" hidden="1" customHeight="1" x14ac:dyDescent="0.25">
      <c r="A89" s="4" t="s">
        <v>19</v>
      </c>
      <c r="B89" s="2">
        <v>162</v>
      </c>
      <c r="C89" s="3">
        <v>162</v>
      </c>
      <c r="D89" s="2" t="s">
        <v>203</v>
      </c>
      <c r="E89" s="24" t="s">
        <v>298</v>
      </c>
      <c r="F89" s="2" t="s">
        <v>314</v>
      </c>
      <c r="G89" s="2"/>
      <c r="H89" s="2"/>
      <c r="I89" s="20">
        <f>61+167</f>
        <v>228</v>
      </c>
      <c r="J89" s="20"/>
      <c r="K89" s="2"/>
      <c r="L89" s="10" t="s">
        <v>321</v>
      </c>
      <c r="M89" s="2"/>
      <c r="N89" s="2"/>
      <c r="O89" s="15"/>
    </row>
    <row r="90" spans="1:15" ht="11.4" customHeight="1" x14ac:dyDescent="0.25">
      <c r="A90" s="4" t="s">
        <v>19</v>
      </c>
      <c r="B90" s="2">
        <v>162</v>
      </c>
      <c r="C90" s="3">
        <v>162</v>
      </c>
      <c r="D90" s="2" t="s">
        <v>203</v>
      </c>
      <c r="E90" s="24" t="s">
        <v>299</v>
      </c>
      <c r="F90" s="2" t="s">
        <v>314</v>
      </c>
      <c r="G90" s="2"/>
      <c r="H90" s="2"/>
      <c r="I90" s="20">
        <f>207+667</f>
        <v>874</v>
      </c>
      <c r="J90" s="20"/>
      <c r="K90" s="2"/>
      <c r="L90" s="10" t="s">
        <v>321</v>
      </c>
      <c r="M90" s="10" t="s">
        <v>322</v>
      </c>
      <c r="N90" s="2"/>
      <c r="O90" s="15"/>
    </row>
    <row r="91" spans="1:15" ht="11.4" hidden="1" customHeight="1" x14ac:dyDescent="0.25">
      <c r="A91" s="4" t="s">
        <v>36</v>
      </c>
      <c r="B91" s="2">
        <v>162</v>
      </c>
      <c r="C91" s="3">
        <v>275</v>
      </c>
      <c r="D91" s="29" t="s">
        <v>205</v>
      </c>
      <c r="E91" s="30" t="s">
        <v>299</v>
      </c>
      <c r="F91" s="29" t="s">
        <v>314</v>
      </c>
      <c r="G91" s="29"/>
      <c r="H91" s="29"/>
      <c r="I91" s="31">
        <f>167+849</f>
        <v>1016</v>
      </c>
      <c r="J91" s="31"/>
      <c r="K91" s="29" t="s">
        <v>313</v>
      </c>
      <c r="L91" s="32" t="s">
        <v>321</v>
      </c>
      <c r="M91" s="29"/>
      <c r="N91" s="29"/>
      <c r="O91" s="15"/>
    </row>
    <row r="92" spans="1:15" ht="11.4" hidden="1" customHeight="1" x14ac:dyDescent="0.25">
      <c r="A92" s="4" t="s">
        <v>19</v>
      </c>
      <c r="B92" s="2">
        <v>162</v>
      </c>
      <c r="C92" s="3">
        <v>2251</v>
      </c>
      <c r="D92" s="2" t="s">
        <v>204</v>
      </c>
      <c r="E92" s="24" t="s">
        <v>299</v>
      </c>
      <c r="F92" s="2" t="s">
        <v>313</v>
      </c>
      <c r="G92" s="2"/>
      <c r="H92" s="2">
        <f>1216+4963</f>
        <v>6179</v>
      </c>
      <c r="I92" s="20">
        <f>456+1861</f>
        <v>2317</v>
      </c>
      <c r="J92" s="26">
        <f>I92/H92</f>
        <v>0.37497977018935102</v>
      </c>
      <c r="K92" s="10" t="s">
        <v>313</v>
      </c>
      <c r="L92" s="10"/>
      <c r="M92" s="2"/>
      <c r="N92" s="2"/>
      <c r="O92" s="15"/>
    </row>
    <row r="93" spans="1:15" ht="11.4" hidden="1" customHeight="1" x14ac:dyDescent="0.25">
      <c r="A93" s="4" t="s">
        <v>34</v>
      </c>
      <c r="B93" s="2">
        <v>162</v>
      </c>
      <c r="C93" s="3">
        <v>2374</v>
      </c>
      <c r="D93" s="2" t="s">
        <v>145</v>
      </c>
      <c r="E93" s="24" t="s">
        <v>304</v>
      </c>
      <c r="F93" s="2" t="s">
        <v>313</v>
      </c>
      <c r="G93" s="2"/>
      <c r="H93" s="2">
        <f>768+2763</f>
        <v>3531</v>
      </c>
      <c r="I93" s="20">
        <f>61+221</f>
        <v>282</v>
      </c>
      <c r="J93" s="26">
        <f>I93/H93</f>
        <v>7.9864061172472384E-2</v>
      </c>
      <c r="K93" s="10" t="s">
        <v>313</v>
      </c>
      <c r="L93" s="10"/>
      <c r="M93" s="2"/>
      <c r="N93" s="2"/>
      <c r="O93" s="15"/>
    </row>
    <row r="94" spans="1:15" ht="11.4" hidden="1" customHeight="1" x14ac:dyDescent="0.25">
      <c r="A94" s="4" t="s">
        <v>19</v>
      </c>
      <c r="B94" s="2">
        <v>163</v>
      </c>
      <c r="C94" s="3">
        <v>163</v>
      </c>
      <c r="D94" s="2" t="s">
        <v>192</v>
      </c>
      <c r="E94" s="24" t="s">
        <v>298</v>
      </c>
      <c r="F94" s="2" t="s">
        <v>314</v>
      </c>
      <c r="G94" s="2"/>
      <c r="H94" s="2"/>
      <c r="I94" s="20">
        <f>329+590</f>
        <v>919</v>
      </c>
      <c r="J94" s="20"/>
      <c r="K94" s="2"/>
      <c r="L94" s="10" t="s">
        <v>321</v>
      </c>
      <c r="M94" s="2"/>
      <c r="N94" s="2"/>
      <c r="O94" s="15"/>
    </row>
    <row r="95" spans="1:15" ht="11.4" customHeight="1" x14ac:dyDescent="0.25">
      <c r="A95" s="4" t="s">
        <v>19</v>
      </c>
      <c r="B95" s="2">
        <v>163</v>
      </c>
      <c r="C95" s="3">
        <v>163</v>
      </c>
      <c r="D95" s="2" t="s">
        <v>192</v>
      </c>
      <c r="E95" s="24" t="s">
        <v>299</v>
      </c>
      <c r="F95" s="2" t="s">
        <v>314</v>
      </c>
      <c r="G95" s="2"/>
      <c r="H95" s="2"/>
      <c r="I95" s="20">
        <f>769+890</f>
        <v>1659</v>
      </c>
      <c r="J95" s="20"/>
      <c r="K95" s="2"/>
      <c r="L95" s="10" t="s">
        <v>321</v>
      </c>
      <c r="M95" s="10" t="s">
        <v>322</v>
      </c>
      <c r="N95" s="2"/>
      <c r="O95" s="15"/>
    </row>
    <row r="96" spans="1:15" ht="11.4" hidden="1" customHeight="1" x14ac:dyDescent="0.25">
      <c r="A96" s="4" t="s">
        <v>19</v>
      </c>
      <c r="B96" s="2">
        <v>163</v>
      </c>
      <c r="C96" s="3">
        <v>2228</v>
      </c>
      <c r="D96" s="2" t="s">
        <v>191</v>
      </c>
      <c r="E96" s="24" t="s">
        <v>299</v>
      </c>
      <c r="F96" s="2" t="s">
        <v>313</v>
      </c>
      <c r="G96" s="2"/>
      <c r="H96" s="2">
        <f>1036+1788</f>
        <v>2824</v>
      </c>
      <c r="I96" s="20">
        <f>332+572</f>
        <v>904</v>
      </c>
      <c r="J96" s="26">
        <f>I96/H96</f>
        <v>0.32011331444759206</v>
      </c>
      <c r="K96" s="10" t="s">
        <v>313</v>
      </c>
      <c r="L96" s="10"/>
      <c r="M96" s="2"/>
      <c r="N96" s="2"/>
      <c r="O96" s="15"/>
    </row>
    <row r="97" spans="1:15" ht="11.4" hidden="1" customHeight="1" x14ac:dyDescent="0.25">
      <c r="A97" s="4" t="s">
        <v>35</v>
      </c>
      <c r="B97" s="2">
        <v>163</v>
      </c>
      <c r="C97" s="3">
        <v>2287</v>
      </c>
      <c r="D97" s="29" t="s">
        <v>140</v>
      </c>
      <c r="E97" s="30" t="s">
        <v>304</v>
      </c>
      <c r="F97" s="29" t="s">
        <v>313</v>
      </c>
      <c r="G97" s="29"/>
      <c r="H97" s="29">
        <v>2140</v>
      </c>
      <c r="I97" s="31">
        <v>171</v>
      </c>
      <c r="J97" s="33">
        <f>I97/H97</f>
        <v>7.9906542056074767E-2</v>
      </c>
      <c r="K97" s="32" t="s">
        <v>313</v>
      </c>
      <c r="L97" s="32"/>
      <c r="M97" s="29"/>
      <c r="N97" s="29"/>
      <c r="O97" s="15"/>
    </row>
    <row r="98" spans="1:15" ht="11.4" hidden="1" customHeight="1" x14ac:dyDescent="0.25">
      <c r="A98" s="4" t="s">
        <v>37</v>
      </c>
      <c r="B98" s="2">
        <v>163</v>
      </c>
      <c r="C98" s="3">
        <v>2343</v>
      </c>
      <c r="D98" s="29" t="s">
        <v>142</v>
      </c>
      <c r="E98" s="30" t="s">
        <v>304</v>
      </c>
      <c r="F98" s="29" t="s">
        <v>313</v>
      </c>
      <c r="G98" s="29"/>
      <c r="H98" s="29">
        <v>4560</v>
      </c>
      <c r="I98" s="31">
        <v>365</v>
      </c>
      <c r="J98" s="33">
        <f>I98/H98</f>
        <v>8.0043859649122806E-2</v>
      </c>
      <c r="K98" s="32" t="s">
        <v>313</v>
      </c>
      <c r="L98" s="32"/>
      <c r="M98" s="29"/>
      <c r="N98" s="29"/>
      <c r="O98" s="15"/>
    </row>
    <row r="99" spans="1:15" ht="11.4" hidden="1" customHeight="1" x14ac:dyDescent="0.25">
      <c r="A99" s="4" t="s">
        <v>34</v>
      </c>
      <c r="B99" s="2">
        <v>163</v>
      </c>
      <c r="C99" s="3">
        <v>2373</v>
      </c>
      <c r="D99" s="2" t="s">
        <v>139</v>
      </c>
      <c r="E99" s="24" t="s">
        <v>304</v>
      </c>
      <c r="F99" s="2" t="s">
        <v>313</v>
      </c>
      <c r="G99" s="2"/>
      <c r="H99" s="2">
        <f>873+1980</f>
        <v>2853</v>
      </c>
      <c r="I99" s="20">
        <f>70+158</f>
        <v>228</v>
      </c>
      <c r="J99" s="26">
        <f>I99/H99</f>
        <v>7.9915878023133546E-2</v>
      </c>
      <c r="K99" s="10" t="s">
        <v>313</v>
      </c>
      <c r="L99" s="10"/>
      <c r="M99" s="2"/>
      <c r="N99" s="2"/>
      <c r="O99" s="15"/>
    </row>
    <row r="100" spans="1:15" ht="11.4" hidden="1" customHeight="1" x14ac:dyDescent="0.25">
      <c r="A100" s="4" t="s">
        <v>36</v>
      </c>
      <c r="B100" s="2">
        <v>163</v>
      </c>
      <c r="C100" s="3">
        <v>2381</v>
      </c>
      <c r="D100" s="29" t="s">
        <v>141</v>
      </c>
      <c r="E100" s="30" t="s">
        <v>304</v>
      </c>
      <c r="F100" s="29" t="s">
        <v>313</v>
      </c>
      <c r="G100" s="29"/>
      <c r="H100" s="29">
        <v>12482</v>
      </c>
      <c r="I100" s="31">
        <v>999</v>
      </c>
      <c r="J100" s="33">
        <f>I100/H100</f>
        <v>8.003525076109598E-2</v>
      </c>
      <c r="K100" s="32" t="s">
        <v>313</v>
      </c>
      <c r="L100" s="32"/>
      <c r="M100" s="29"/>
      <c r="N100" s="29"/>
      <c r="O100" s="15"/>
    </row>
    <row r="101" spans="1:15" ht="11.4" hidden="1" customHeight="1" x14ac:dyDescent="0.25">
      <c r="A101" s="4" t="s">
        <v>19</v>
      </c>
      <c r="B101" s="2">
        <v>164</v>
      </c>
      <c r="C101" s="3">
        <v>164</v>
      </c>
      <c r="D101" s="2" t="s">
        <v>196</v>
      </c>
      <c r="E101" s="24" t="s">
        <v>298</v>
      </c>
      <c r="F101" s="2" t="s">
        <v>314</v>
      </c>
      <c r="G101" s="2"/>
      <c r="H101" s="2"/>
      <c r="I101" s="20">
        <f>1120+1975</f>
        <v>3095</v>
      </c>
      <c r="J101" s="20"/>
      <c r="K101" s="2"/>
      <c r="L101" s="10" t="s">
        <v>321</v>
      </c>
      <c r="M101" s="2"/>
      <c r="N101" s="2"/>
      <c r="O101" s="15"/>
    </row>
    <row r="102" spans="1:15" ht="11.4" customHeight="1" x14ac:dyDescent="0.25">
      <c r="A102" s="4" t="s">
        <v>19</v>
      </c>
      <c r="B102" s="2">
        <v>164</v>
      </c>
      <c r="C102" s="3">
        <v>164</v>
      </c>
      <c r="D102" s="2" t="s">
        <v>196</v>
      </c>
      <c r="E102" s="24" t="s">
        <v>299</v>
      </c>
      <c r="F102" s="2" t="s">
        <v>314</v>
      </c>
      <c r="G102" s="2"/>
      <c r="H102" s="2"/>
      <c r="I102" s="20">
        <f>2614+4759</f>
        <v>7373</v>
      </c>
      <c r="J102" s="20"/>
      <c r="K102" s="2"/>
      <c r="L102" s="10" t="s">
        <v>321</v>
      </c>
      <c r="M102" s="10" t="s">
        <v>322</v>
      </c>
      <c r="N102" s="2"/>
      <c r="O102" s="15"/>
    </row>
    <row r="103" spans="1:15" ht="11.4" hidden="1" customHeight="1" x14ac:dyDescent="0.25">
      <c r="A103" s="4" t="s">
        <v>36</v>
      </c>
      <c r="B103" s="2">
        <v>164</v>
      </c>
      <c r="C103" s="3">
        <v>272</v>
      </c>
      <c r="D103" s="29" t="s">
        <v>201</v>
      </c>
      <c r="E103" s="30" t="s">
        <v>298</v>
      </c>
      <c r="F103" s="29" t="s">
        <v>314</v>
      </c>
      <c r="G103" s="29"/>
      <c r="H103" s="29"/>
      <c r="I103" s="31">
        <f>17+1214</f>
        <v>1231</v>
      </c>
      <c r="J103" s="31"/>
      <c r="K103" s="29"/>
      <c r="L103" s="32" t="s">
        <v>321</v>
      </c>
      <c r="M103" s="29"/>
      <c r="N103" s="29"/>
      <c r="O103" s="15"/>
    </row>
    <row r="104" spans="1:15" ht="11.4" hidden="1" customHeight="1" x14ac:dyDescent="0.25">
      <c r="A104" s="4" t="s">
        <v>36</v>
      </c>
      <c r="B104" s="2">
        <v>164</v>
      </c>
      <c r="C104" s="3">
        <v>272</v>
      </c>
      <c r="D104" s="29" t="s">
        <v>201</v>
      </c>
      <c r="E104" s="30" t="s">
        <v>299</v>
      </c>
      <c r="F104" s="29" t="s">
        <v>314</v>
      </c>
      <c r="G104" s="29"/>
      <c r="H104" s="29"/>
      <c r="I104" s="31">
        <f>152+1388</f>
        <v>1540</v>
      </c>
      <c r="J104" s="31"/>
      <c r="K104" s="29" t="s">
        <v>313</v>
      </c>
      <c r="L104" s="32" t="s">
        <v>321</v>
      </c>
      <c r="M104" s="29"/>
      <c r="N104" s="29"/>
      <c r="O104" s="15"/>
    </row>
    <row r="105" spans="1:15" ht="11.4" hidden="1" customHeight="1" x14ac:dyDescent="0.25">
      <c r="A105" s="4" t="s">
        <v>363</v>
      </c>
      <c r="B105" s="2">
        <v>164</v>
      </c>
      <c r="C105" s="3">
        <v>624</v>
      </c>
      <c r="D105" s="32" t="s">
        <v>365</v>
      </c>
      <c r="E105" s="30" t="s">
        <v>298</v>
      </c>
      <c r="F105" s="29" t="s">
        <v>314</v>
      </c>
      <c r="G105" s="29"/>
      <c r="H105" s="29"/>
      <c r="I105" s="31">
        <v>333</v>
      </c>
      <c r="J105" s="31"/>
      <c r="K105" s="29"/>
      <c r="L105" s="32" t="s">
        <v>321</v>
      </c>
      <c r="M105" s="29"/>
      <c r="N105" s="29"/>
      <c r="O105" s="15"/>
    </row>
    <row r="106" spans="1:15" ht="11.4" hidden="1" customHeight="1" x14ac:dyDescent="0.25">
      <c r="A106" s="4" t="s">
        <v>363</v>
      </c>
      <c r="B106" s="2">
        <v>164</v>
      </c>
      <c r="C106" s="3">
        <v>624</v>
      </c>
      <c r="D106" s="32" t="s">
        <v>365</v>
      </c>
      <c r="E106" s="30" t="s">
        <v>299</v>
      </c>
      <c r="F106" s="29" t="s">
        <v>314</v>
      </c>
      <c r="G106" s="29"/>
      <c r="H106" s="29"/>
      <c r="I106" s="31">
        <v>336</v>
      </c>
      <c r="J106" s="31"/>
      <c r="K106" s="29" t="s">
        <v>313</v>
      </c>
      <c r="L106" s="32" t="s">
        <v>321</v>
      </c>
      <c r="M106" s="29"/>
      <c r="N106" s="29"/>
      <c r="O106" s="15"/>
    </row>
    <row r="107" spans="1:15" ht="11.4" hidden="1" customHeight="1" x14ac:dyDescent="0.25">
      <c r="A107" s="4" t="s">
        <v>35</v>
      </c>
      <c r="B107" s="2">
        <v>164</v>
      </c>
      <c r="C107" s="3">
        <v>836</v>
      </c>
      <c r="D107" s="29" t="s">
        <v>200</v>
      </c>
      <c r="E107" s="30" t="s">
        <v>299</v>
      </c>
      <c r="F107" s="29" t="s">
        <v>314</v>
      </c>
      <c r="G107" s="29"/>
      <c r="H107" s="29"/>
      <c r="I107" s="31">
        <v>597</v>
      </c>
      <c r="J107" s="31"/>
      <c r="K107" s="29" t="s">
        <v>313</v>
      </c>
      <c r="L107" s="32" t="s">
        <v>321</v>
      </c>
      <c r="M107" s="29"/>
      <c r="N107" s="29"/>
      <c r="O107" s="15"/>
    </row>
    <row r="108" spans="1:15" ht="11.4" hidden="1" customHeight="1" x14ac:dyDescent="0.25">
      <c r="A108" s="4" t="s">
        <v>37</v>
      </c>
      <c r="B108" s="2">
        <v>164</v>
      </c>
      <c r="C108" s="3">
        <v>945</v>
      </c>
      <c r="D108" s="29" t="s">
        <v>199</v>
      </c>
      <c r="E108" s="30" t="s">
        <v>299</v>
      </c>
      <c r="F108" s="29" t="s">
        <v>314</v>
      </c>
      <c r="G108" s="29"/>
      <c r="H108" s="29"/>
      <c r="I108" s="31">
        <v>390</v>
      </c>
      <c r="J108" s="31"/>
      <c r="K108" s="29" t="s">
        <v>313</v>
      </c>
      <c r="L108" s="32" t="s">
        <v>321</v>
      </c>
      <c r="M108" s="29"/>
      <c r="N108" s="29"/>
      <c r="O108" s="15"/>
    </row>
    <row r="109" spans="1:15" ht="11.4" hidden="1" customHeight="1" x14ac:dyDescent="0.25">
      <c r="A109" s="4" t="s">
        <v>45</v>
      </c>
      <c r="B109" s="2">
        <v>164</v>
      </c>
      <c r="C109" s="3">
        <v>949</v>
      </c>
      <c r="D109" s="29" t="s">
        <v>198</v>
      </c>
      <c r="E109" s="30" t="s">
        <v>298</v>
      </c>
      <c r="F109" s="29" t="s">
        <v>314</v>
      </c>
      <c r="G109" s="29"/>
      <c r="H109" s="29"/>
      <c r="I109" s="31">
        <v>198</v>
      </c>
      <c r="J109" s="31"/>
      <c r="K109" s="29"/>
      <c r="L109" s="32" t="s">
        <v>321</v>
      </c>
      <c r="M109" s="29"/>
      <c r="N109" s="29"/>
      <c r="O109" s="15"/>
    </row>
    <row r="110" spans="1:15" ht="11.4" hidden="1" customHeight="1" x14ac:dyDescent="0.25">
      <c r="A110" s="4" t="s">
        <v>34</v>
      </c>
      <c r="B110" s="2">
        <v>164</v>
      </c>
      <c r="C110" s="3">
        <v>2182</v>
      </c>
      <c r="D110" s="2" t="s">
        <v>144</v>
      </c>
      <c r="E110" s="24" t="s">
        <v>304</v>
      </c>
      <c r="F110" s="2" t="s">
        <v>313</v>
      </c>
      <c r="G110" s="2"/>
      <c r="H110" s="2">
        <f>3014+10684</f>
        <v>13698</v>
      </c>
      <c r="I110" s="20">
        <f>241+855</f>
        <v>1096</v>
      </c>
      <c r="J110" s="26">
        <f>I110/H110</f>
        <v>8.0011680537304716E-2</v>
      </c>
      <c r="K110" s="10" t="s">
        <v>313</v>
      </c>
      <c r="L110" s="10"/>
      <c r="M110" s="2"/>
      <c r="N110" s="2"/>
      <c r="O110" s="15"/>
    </row>
    <row r="111" spans="1:15" ht="11.4" hidden="1" customHeight="1" x14ac:dyDescent="0.25">
      <c r="A111" s="4" t="s">
        <v>19</v>
      </c>
      <c r="B111" s="2">
        <v>164</v>
      </c>
      <c r="C111" s="3">
        <v>2273</v>
      </c>
      <c r="D111" s="2" t="s">
        <v>197</v>
      </c>
      <c r="E111" s="24" t="s">
        <v>299</v>
      </c>
      <c r="F111" s="2" t="s">
        <v>313</v>
      </c>
      <c r="G111" s="2"/>
      <c r="H111" s="2">
        <f>5236+6551</f>
        <v>11787</v>
      </c>
      <c r="I111" s="20">
        <f>1885+2358</f>
        <v>4243</v>
      </c>
      <c r="J111" s="26">
        <f>I111/H111</f>
        <v>0.35997285144650887</v>
      </c>
      <c r="K111" s="10" t="s">
        <v>313</v>
      </c>
      <c r="L111" s="10"/>
      <c r="M111" s="2"/>
      <c r="N111" s="2"/>
      <c r="O111" s="15"/>
    </row>
    <row r="112" spans="1:15" ht="11.4" hidden="1" customHeight="1" x14ac:dyDescent="0.25">
      <c r="A112" s="4" t="s">
        <v>19</v>
      </c>
      <c r="B112" s="2">
        <v>165</v>
      </c>
      <c r="C112" s="3">
        <v>165</v>
      </c>
      <c r="D112" s="2" t="s">
        <v>177</v>
      </c>
      <c r="E112" s="24" t="s">
        <v>298</v>
      </c>
      <c r="F112" s="2" t="s">
        <v>314</v>
      </c>
      <c r="G112" s="2"/>
      <c r="H112" s="2"/>
      <c r="I112" s="20">
        <f>1288+1648</f>
        <v>2936</v>
      </c>
      <c r="J112" s="20"/>
      <c r="K112" s="2"/>
      <c r="L112" s="10" t="s">
        <v>321</v>
      </c>
      <c r="M112" s="2"/>
      <c r="N112" s="2"/>
      <c r="O112" s="15"/>
    </row>
    <row r="113" spans="1:15" ht="11.4" customHeight="1" x14ac:dyDescent="0.25">
      <c r="A113" s="4" t="s">
        <v>19</v>
      </c>
      <c r="B113" s="2">
        <v>165</v>
      </c>
      <c r="C113" s="3">
        <v>165</v>
      </c>
      <c r="D113" s="2" t="s">
        <v>177</v>
      </c>
      <c r="E113" s="24" t="s">
        <v>299</v>
      </c>
      <c r="F113" s="2" t="s">
        <v>314</v>
      </c>
      <c r="G113" s="2"/>
      <c r="H113" s="2"/>
      <c r="I113" s="20">
        <f>4149+4721</f>
        <v>8870</v>
      </c>
      <c r="J113" s="20"/>
      <c r="K113" s="2"/>
      <c r="L113" s="10" t="s">
        <v>321</v>
      </c>
      <c r="M113" s="10" t="s">
        <v>322</v>
      </c>
      <c r="N113" s="2"/>
      <c r="O113" s="15"/>
    </row>
    <row r="114" spans="1:15" ht="11.4" hidden="1" customHeight="1" x14ac:dyDescent="0.25">
      <c r="A114" s="4" t="s">
        <v>36</v>
      </c>
      <c r="B114" s="2">
        <v>165</v>
      </c>
      <c r="C114" s="3">
        <v>274</v>
      </c>
      <c r="D114" s="29" t="s">
        <v>182</v>
      </c>
      <c r="E114" s="30" t="s">
        <v>298</v>
      </c>
      <c r="F114" s="29" t="s">
        <v>314</v>
      </c>
      <c r="G114" s="29"/>
      <c r="H114" s="29"/>
      <c r="I114" s="31">
        <f>40+979</f>
        <v>1019</v>
      </c>
      <c r="J114" s="31"/>
      <c r="K114" s="29"/>
      <c r="L114" s="32" t="s">
        <v>321</v>
      </c>
      <c r="M114" s="29"/>
      <c r="N114" s="29"/>
      <c r="O114" s="15"/>
    </row>
    <row r="115" spans="1:15" ht="11.4" hidden="1" customHeight="1" x14ac:dyDescent="0.25">
      <c r="A115" s="4" t="s">
        <v>36</v>
      </c>
      <c r="B115" s="2">
        <v>165</v>
      </c>
      <c r="C115" s="3">
        <v>274</v>
      </c>
      <c r="D115" s="29" t="s">
        <v>182</v>
      </c>
      <c r="E115" s="30" t="s">
        <v>299</v>
      </c>
      <c r="F115" s="29" t="s">
        <v>314</v>
      </c>
      <c r="G115" s="29"/>
      <c r="H115" s="29"/>
      <c r="I115" s="31">
        <f>89+950</f>
        <v>1039</v>
      </c>
      <c r="J115" s="31"/>
      <c r="K115" s="29" t="s">
        <v>313</v>
      </c>
      <c r="L115" s="32" t="s">
        <v>321</v>
      </c>
      <c r="M115" s="29"/>
      <c r="N115" s="29"/>
      <c r="O115" s="15"/>
    </row>
    <row r="116" spans="1:15" ht="11.4" hidden="1" customHeight="1" x14ac:dyDescent="0.25">
      <c r="A116" s="4" t="s">
        <v>363</v>
      </c>
      <c r="B116" s="2">
        <v>165</v>
      </c>
      <c r="C116" s="3">
        <v>689</v>
      </c>
      <c r="D116" s="32" t="s">
        <v>364</v>
      </c>
      <c r="E116" s="30" t="s">
        <v>298</v>
      </c>
      <c r="F116" s="29" t="s">
        <v>314</v>
      </c>
      <c r="G116" s="29"/>
      <c r="H116" s="29"/>
      <c r="I116" s="31">
        <v>332</v>
      </c>
      <c r="J116" s="31"/>
      <c r="K116" s="29"/>
      <c r="L116" s="32" t="s">
        <v>321</v>
      </c>
      <c r="M116" s="29"/>
      <c r="N116" s="29"/>
      <c r="O116" s="15"/>
    </row>
    <row r="117" spans="1:15" ht="11.4" hidden="1" customHeight="1" x14ac:dyDescent="0.25">
      <c r="A117" s="4" t="s">
        <v>363</v>
      </c>
      <c r="B117" s="2">
        <v>165</v>
      </c>
      <c r="C117" s="3">
        <v>689</v>
      </c>
      <c r="D117" s="32" t="s">
        <v>364</v>
      </c>
      <c r="E117" s="30" t="s">
        <v>299</v>
      </c>
      <c r="F117" s="29" t="s">
        <v>314</v>
      </c>
      <c r="G117" s="29"/>
      <c r="H117" s="29"/>
      <c r="I117" s="31">
        <v>328</v>
      </c>
      <c r="J117" s="31"/>
      <c r="K117" s="29" t="s">
        <v>313</v>
      </c>
      <c r="L117" s="32" t="s">
        <v>321</v>
      </c>
      <c r="M117" s="29"/>
      <c r="N117" s="29"/>
      <c r="O117" s="15"/>
    </row>
    <row r="118" spans="1:15" ht="11.4" hidden="1" customHeight="1" x14ac:dyDescent="0.25">
      <c r="A118" s="4" t="s">
        <v>35</v>
      </c>
      <c r="B118" s="2">
        <v>165</v>
      </c>
      <c r="C118" s="3">
        <v>835</v>
      </c>
      <c r="D118" s="29" t="s">
        <v>181</v>
      </c>
      <c r="E118" s="30" t="s">
        <v>299</v>
      </c>
      <c r="F118" s="29" t="s">
        <v>314</v>
      </c>
      <c r="G118" s="29"/>
      <c r="H118" s="29"/>
      <c r="I118" s="31">
        <v>336</v>
      </c>
      <c r="J118" s="31"/>
      <c r="K118" s="29" t="s">
        <v>313</v>
      </c>
      <c r="L118" s="32" t="s">
        <v>321</v>
      </c>
      <c r="M118" s="29"/>
      <c r="N118" s="29"/>
      <c r="O118" s="15"/>
    </row>
    <row r="119" spans="1:15" ht="11.4" hidden="1" customHeight="1" x14ac:dyDescent="0.25">
      <c r="A119" s="4" t="s">
        <v>37</v>
      </c>
      <c r="B119" s="2">
        <v>165</v>
      </c>
      <c r="C119" s="3">
        <v>944</v>
      </c>
      <c r="D119" s="29" t="s">
        <v>180</v>
      </c>
      <c r="E119" s="30" t="s">
        <v>299</v>
      </c>
      <c r="F119" s="29" t="s">
        <v>314</v>
      </c>
      <c r="G119" s="29"/>
      <c r="H119" s="29"/>
      <c r="I119" s="31">
        <v>218</v>
      </c>
      <c r="J119" s="31"/>
      <c r="K119" s="29" t="s">
        <v>313</v>
      </c>
      <c r="L119" s="32" t="s">
        <v>321</v>
      </c>
      <c r="M119" s="29"/>
      <c r="N119" s="29"/>
      <c r="O119" s="15"/>
    </row>
    <row r="120" spans="1:15" ht="11.4" hidden="1" customHeight="1" x14ac:dyDescent="0.25">
      <c r="A120" s="4" t="s">
        <v>45</v>
      </c>
      <c r="B120" s="2">
        <v>165</v>
      </c>
      <c r="C120" s="3">
        <v>948</v>
      </c>
      <c r="D120" s="29" t="s">
        <v>179</v>
      </c>
      <c r="E120" s="30" t="s">
        <v>298</v>
      </c>
      <c r="F120" s="29" t="s">
        <v>314</v>
      </c>
      <c r="G120" s="29"/>
      <c r="H120" s="29"/>
      <c r="I120" s="31">
        <v>158</v>
      </c>
      <c r="J120" s="31"/>
      <c r="K120" s="29"/>
      <c r="L120" s="32" t="s">
        <v>321</v>
      </c>
      <c r="M120" s="29"/>
      <c r="N120" s="29"/>
      <c r="O120" s="15"/>
    </row>
    <row r="121" spans="1:15" ht="11.4" hidden="1" customHeight="1" x14ac:dyDescent="0.25">
      <c r="A121" s="4" t="s">
        <v>35</v>
      </c>
      <c r="B121" s="2">
        <v>165</v>
      </c>
      <c r="C121" s="3">
        <v>2288</v>
      </c>
      <c r="D121" s="29" t="s">
        <v>134</v>
      </c>
      <c r="E121" s="30" t="s">
        <v>304</v>
      </c>
      <c r="F121" s="29" t="s">
        <v>313</v>
      </c>
      <c r="G121" s="29"/>
      <c r="H121" s="29">
        <f>20+2800</f>
        <v>2820</v>
      </c>
      <c r="I121" s="31">
        <f>2+224</f>
        <v>226</v>
      </c>
      <c r="J121" s="33">
        <f>I121/H121</f>
        <v>8.014184397163121E-2</v>
      </c>
      <c r="K121" s="32" t="s">
        <v>313</v>
      </c>
      <c r="L121" s="32"/>
      <c r="M121" s="29"/>
      <c r="N121" s="29"/>
      <c r="O121" s="15"/>
    </row>
    <row r="122" spans="1:15" ht="11.4" hidden="1" customHeight="1" x14ac:dyDescent="0.25">
      <c r="A122" s="4" t="s">
        <v>37</v>
      </c>
      <c r="B122" s="2">
        <v>165</v>
      </c>
      <c r="C122" s="3">
        <v>2342</v>
      </c>
      <c r="D122" s="29" t="s">
        <v>136</v>
      </c>
      <c r="E122" s="30" t="s">
        <v>304</v>
      </c>
      <c r="F122" s="29" t="s">
        <v>313</v>
      </c>
      <c r="G122" s="29"/>
      <c r="H122" s="29">
        <v>5440</v>
      </c>
      <c r="I122" s="31">
        <v>435</v>
      </c>
      <c r="J122" s="33">
        <f>I122/H122</f>
        <v>7.9963235294117641E-2</v>
      </c>
      <c r="K122" s="32" t="s">
        <v>313</v>
      </c>
      <c r="L122" s="32"/>
      <c r="M122" s="29"/>
      <c r="N122" s="29"/>
      <c r="O122" s="15"/>
    </row>
    <row r="123" spans="1:15" ht="11.4" hidden="1" customHeight="1" x14ac:dyDescent="0.25">
      <c r="A123" s="4" t="s">
        <v>34</v>
      </c>
      <c r="B123" s="2">
        <v>165</v>
      </c>
      <c r="C123" s="3">
        <v>2372</v>
      </c>
      <c r="D123" s="2" t="s">
        <v>133</v>
      </c>
      <c r="E123" s="24" t="s">
        <v>304</v>
      </c>
      <c r="F123" s="2" t="s">
        <v>313</v>
      </c>
      <c r="G123" s="2"/>
      <c r="H123" s="2">
        <f>113+7610</f>
        <v>7723</v>
      </c>
      <c r="I123" s="20">
        <f>9+609</f>
        <v>618</v>
      </c>
      <c r="J123" s="26">
        <f>I123/H123</f>
        <v>8.0020717337822095E-2</v>
      </c>
      <c r="K123" s="10" t="s">
        <v>313</v>
      </c>
      <c r="L123" s="10"/>
      <c r="M123" s="2"/>
      <c r="N123" s="2"/>
      <c r="O123" s="15"/>
    </row>
    <row r="124" spans="1:15" ht="11.4" hidden="1" customHeight="1" x14ac:dyDescent="0.25">
      <c r="A124" s="4" t="s">
        <v>36</v>
      </c>
      <c r="B124" s="2">
        <v>165</v>
      </c>
      <c r="C124" s="3">
        <v>2380</v>
      </c>
      <c r="D124" s="29" t="s">
        <v>135</v>
      </c>
      <c r="E124" s="30" t="s">
        <v>304</v>
      </c>
      <c r="F124" s="29" t="s">
        <v>313</v>
      </c>
      <c r="G124" s="29"/>
      <c r="H124" s="29">
        <v>16173</v>
      </c>
      <c r="I124" s="31">
        <v>1294</v>
      </c>
      <c r="J124" s="33">
        <f>I124/H124</f>
        <v>8.0009893031595863E-2</v>
      </c>
      <c r="K124" s="32" t="s">
        <v>313</v>
      </c>
      <c r="L124" s="32"/>
      <c r="M124" s="29"/>
      <c r="N124" s="29"/>
      <c r="O124" s="15"/>
    </row>
    <row r="125" spans="1:15" ht="11.4" hidden="1" customHeight="1" x14ac:dyDescent="0.25">
      <c r="A125" s="4" t="s">
        <v>19</v>
      </c>
      <c r="B125" s="2">
        <v>165</v>
      </c>
      <c r="C125" s="3">
        <v>2407</v>
      </c>
      <c r="D125" s="2" t="s">
        <v>176</v>
      </c>
      <c r="E125" s="24" t="s">
        <v>299</v>
      </c>
      <c r="F125" s="2" t="s">
        <v>313</v>
      </c>
      <c r="G125" s="2"/>
      <c r="H125" s="2">
        <f>437+1550</f>
        <v>1987</v>
      </c>
      <c r="I125" s="20">
        <f>164+581</f>
        <v>745</v>
      </c>
      <c r="J125" s="26">
        <f>I125/H125</f>
        <v>0.37493709109209866</v>
      </c>
      <c r="K125" s="10" t="s">
        <v>313</v>
      </c>
      <c r="L125" s="10"/>
      <c r="M125" s="2"/>
      <c r="N125" s="2"/>
      <c r="O125" s="15"/>
    </row>
    <row r="126" spans="1:15" ht="11.4" hidden="1" customHeight="1" x14ac:dyDescent="0.25">
      <c r="A126" s="4" t="s">
        <v>19</v>
      </c>
      <c r="B126" s="2">
        <v>167</v>
      </c>
      <c r="C126" s="3">
        <v>167</v>
      </c>
      <c r="D126" s="2" t="s">
        <v>168</v>
      </c>
      <c r="E126" s="24" t="s">
        <v>298</v>
      </c>
      <c r="F126" s="2" t="s">
        <v>314</v>
      </c>
      <c r="G126" s="2"/>
      <c r="H126" s="2"/>
      <c r="I126" s="20">
        <f>523+609</f>
        <v>1132</v>
      </c>
      <c r="J126" s="20"/>
      <c r="K126" s="2"/>
      <c r="L126" s="10" t="s">
        <v>321</v>
      </c>
      <c r="M126" s="2"/>
      <c r="N126" s="2"/>
      <c r="O126" s="15"/>
    </row>
    <row r="127" spans="1:15" ht="11.4" customHeight="1" x14ac:dyDescent="0.25">
      <c r="A127" s="4" t="s">
        <v>19</v>
      </c>
      <c r="B127" s="2">
        <v>167</v>
      </c>
      <c r="C127" s="3">
        <v>167</v>
      </c>
      <c r="D127" s="2" t="s">
        <v>168</v>
      </c>
      <c r="E127" s="24" t="s">
        <v>299</v>
      </c>
      <c r="F127" s="2" t="s">
        <v>314</v>
      </c>
      <c r="G127" s="2"/>
      <c r="H127" s="2"/>
      <c r="I127" s="20">
        <f>1615+1736</f>
        <v>3351</v>
      </c>
      <c r="J127" s="20"/>
      <c r="K127" s="2"/>
      <c r="L127" s="10" t="s">
        <v>321</v>
      </c>
      <c r="M127" s="10" t="s">
        <v>322</v>
      </c>
      <c r="N127" s="2"/>
      <c r="O127" s="15"/>
    </row>
    <row r="128" spans="1:15" ht="11.4" hidden="1" customHeight="1" x14ac:dyDescent="0.25">
      <c r="A128" s="4" t="s">
        <v>19</v>
      </c>
      <c r="B128" s="2">
        <v>167</v>
      </c>
      <c r="C128" s="3">
        <v>2416</v>
      </c>
      <c r="D128" s="2" t="s">
        <v>169</v>
      </c>
      <c r="E128" s="24" t="s">
        <v>299</v>
      </c>
      <c r="F128" s="2" t="s">
        <v>313</v>
      </c>
      <c r="G128" s="2"/>
      <c r="H128" s="2">
        <f>760+1366</f>
        <v>2126</v>
      </c>
      <c r="I128" s="20">
        <f>274+492</f>
        <v>766</v>
      </c>
      <c r="J128" s="26">
        <f>I128/H128</f>
        <v>0.36030103480714959</v>
      </c>
      <c r="K128" s="10" t="s">
        <v>313</v>
      </c>
      <c r="L128" s="10"/>
      <c r="M128" s="2"/>
      <c r="N128" s="2"/>
      <c r="O128" s="15"/>
    </row>
    <row r="129" spans="1:15" ht="11.4" hidden="1" customHeight="1" x14ac:dyDescent="0.25">
      <c r="A129" s="4" t="s">
        <v>1</v>
      </c>
      <c r="B129" s="2">
        <v>170</v>
      </c>
      <c r="C129" s="3">
        <v>170</v>
      </c>
      <c r="D129" s="2" t="s">
        <v>184</v>
      </c>
      <c r="E129" s="24" t="s">
        <v>298</v>
      </c>
      <c r="F129" s="2" t="s">
        <v>314</v>
      </c>
      <c r="G129" s="2"/>
      <c r="H129" s="2"/>
      <c r="I129" s="20">
        <f>35+49</f>
        <v>84</v>
      </c>
      <c r="J129" s="20"/>
      <c r="K129" s="2"/>
      <c r="L129" s="10" t="s">
        <v>321</v>
      </c>
      <c r="M129" s="2"/>
      <c r="N129" s="2"/>
      <c r="O129" s="15"/>
    </row>
    <row r="130" spans="1:15" ht="11.4" customHeight="1" x14ac:dyDescent="0.25">
      <c r="A130" s="4" t="s">
        <v>1</v>
      </c>
      <c r="B130" s="2">
        <v>170</v>
      </c>
      <c r="C130" s="3">
        <v>170</v>
      </c>
      <c r="D130" s="2" t="s">
        <v>184</v>
      </c>
      <c r="E130" s="24" t="s">
        <v>299</v>
      </c>
      <c r="F130" s="2" t="s">
        <v>314</v>
      </c>
      <c r="G130" s="2"/>
      <c r="H130" s="2"/>
      <c r="I130" s="20">
        <f>64+147</f>
        <v>211</v>
      </c>
      <c r="J130" s="20"/>
      <c r="K130" s="2"/>
      <c r="L130" s="10" t="s">
        <v>321</v>
      </c>
      <c r="M130" s="10" t="s">
        <v>322</v>
      </c>
      <c r="N130" s="2"/>
      <c r="O130" s="15"/>
    </row>
    <row r="131" spans="1:15" ht="11.4" hidden="1" customHeight="1" x14ac:dyDescent="0.25">
      <c r="A131" s="4" t="s">
        <v>1</v>
      </c>
      <c r="B131" s="2">
        <v>170</v>
      </c>
      <c r="C131" s="3">
        <v>2338</v>
      </c>
      <c r="D131" s="2" t="s">
        <v>183</v>
      </c>
      <c r="E131" s="24" t="s">
        <v>297</v>
      </c>
      <c r="F131" s="2" t="s">
        <v>313</v>
      </c>
      <c r="G131" s="2"/>
      <c r="H131" s="2">
        <f>30+533</f>
        <v>563</v>
      </c>
      <c r="I131" s="20">
        <f>8+133</f>
        <v>141</v>
      </c>
      <c r="J131" s="26">
        <f>I131/H131</f>
        <v>0.25044404973357015</v>
      </c>
      <c r="K131" s="10" t="s">
        <v>313</v>
      </c>
      <c r="L131" s="10"/>
      <c r="M131" s="2"/>
      <c r="N131" s="2"/>
      <c r="O131" s="15"/>
    </row>
    <row r="132" spans="1:15" ht="11.4" hidden="1" customHeight="1" x14ac:dyDescent="0.25">
      <c r="A132" s="4" t="s">
        <v>19</v>
      </c>
      <c r="B132" s="2">
        <v>172</v>
      </c>
      <c r="C132" s="3">
        <v>172</v>
      </c>
      <c r="D132" s="2" t="s">
        <v>207</v>
      </c>
      <c r="E132" s="24" t="s">
        <v>298</v>
      </c>
      <c r="F132" s="2" t="s">
        <v>314</v>
      </c>
      <c r="G132" s="2"/>
      <c r="H132" s="2"/>
      <c r="I132" s="20">
        <f>23+270</f>
        <v>293</v>
      </c>
      <c r="J132" s="20"/>
      <c r="K132" s="2"/>
      <c r="L132" s="10" t="s">
        <v>321</v>
      </c>
      <c r="M132" s="2"/>
      <c r="N132" s="2"/>
      <c r="O132" s="15"/>
    </row>
    <row r="133" spans="1:15" ht="11.4" customHeight="1" x14ac:dyDescent="0.25">
      <c r="A133" s="4" t="s">
        <v>19</v>
      </c>
      <c r="B133" s="2">
        <v>172</v>
      </c>
      <c r="C133" s="3">
        <v>172</v>
      </c>
      <c r="D133" s="2" t="s">
        <v>207</v>
      </c>
      <c r="E133" s="24" t="s">
        <v>299</v>
      </c>
      <c r="F133" s="2" t="s">
        <v>314</v>
      </c>
      <c r="G133" s="2"/>
      <c r="H133" s="2"/>
      <c r="I133" s="20">
        <f>43+54</f>
        <v>97</v>
      </c>
      <c r="J133" s="20"/>
      <c r="K133" s="2"/>
      <c r="L133" s="10" t="s">
        <v>321</v>
      </c>
      <c r="M133" s="10" t="s">
        <v>322</v>
      </c>
      <c r="N133" s="2"/>
      <c r="O133" s="15"/>
    </row>
    <row r="134" spans="1:15" ht="11.4" hidden="1" customHeight="1" x14ac:dyDescent="0.25">
      <c r="A134" s="4" t="s">
        <v>19</v>
      </c>
      <c r="B134" s="2">
        <v>172</v>
      </c>
      <c r="C134" s="3">
        <v>2232</v>
      </c>
      <c r="D134" s="2" t="s">
        <v>208</v>
      </c>
      <c r="E134" s="24" t="s">
        <v>299</v>
      </c>
      <c r="F134" s="2" t="s">
        <v>313</v>
      </c>
      <c r="G134" s="2"/>
      <c r="H134" s="2">
        <f>385+3523</f>
        <v>3908</v>
      </c>
      <c r="I134" s="20">
        <f>131+1198</f>
        <v>1329</v>
      </c>
      <c r="J134" s="26">
        <f>I134/H134</f>
        <v>0.34007164790173999</v>
      </c>
      <c r="K134" s="10" t="s">
        <v>313</v>
      </c>
      <c r="L134" s="10"/>
      <c r="M134" s="2"/>
      <c r="N134" s="2"/>
      <c r="O134" s="15"/>
    </row>
    <row r="135" spans="1:15" ht="11.4" hidden="1" customHeight="1" x14ac:dyDescent="0.25">
      <c r="A135" s="4" t="s">
        <v>19</v>
      </c>
      <c r="B135" s="2">
        <v>173</v>
      </c>
      <c r="C135" s="3">
        <v>173</v>
      </c>
      <c r="D135" s="2" t="s">
        <v>185</v>
      </c>
      <c r="E135" s="24" t="s">
        <v>298</v>
      </c>
      <c r="F135" s="2" t="s">
        <v>314</v>
      </c>
      <c r="G135" s="2"/>
      <c r="H135" s="2"/>
      <c r="I135" s="20">
        <f>54+346</f>
        <v>400</v>
      </c>
      <c r="J135" s="20"/>
      <c r="K135" s="2"/>
      <c r="L135" s="10" t="s">
        <v>321</v>
      </c>
      <c r="M135" s="2"/>
      <c r="N135" s="2"/>
      <c r="O135" s="15"/>
    </row>
    <row r="136" spans="1:15" ht="11.4" customHeight="1" x14ac:dyDescent="0.25">
      <c r="A136" s="4" t="s">
        <v>19</v>
      </c>
      <c r="B136" s="2">
        <v>173</v>
      </c>
      <c r="C136" s="3">
        <v>173</v>
      </c>
      <c r="D136" s="2" t="s">
        <v>185</v>
      </c>
      <c r="E136" s="24" t="s">
        <v>299</v>
      </c>
      <c r="F136" s="2" t="s">
        <v>314</v>
      </c>
      <c r="G136" s="2"/>
      <c r="H136" s="2"/>
      <c r="I136" s="20">
        <f>93+327</f>
        <v>420</v>
      </c>
      <c r="J136" s="20"/>
      <c r="K136" s="2"/>
      <c r="L136" s="10" t="s">
        <v>321</v>
      </c>
      <c r="M136" s="10" t="s">
        <v>322</v>
      </c>
      <c r="N136" s="2"/>
      <c r="O136" s="15"/>
    </row>
    <row r="137" spans="1:15" ht="11.4" hidden="1" customHeight="1" x14ac:dyDescent="0.25">
      <c r="A137" s="4" t="s">
        <v>19</v>
      </c>
      <c r="B137" s="2">
        <v>173</v>
      </c>
      <c r="C137" s="3">
        <v>2230</v>
      </c>
      <c r="D137" s="2" t="s">
        <v>186</v>
      </c>
      <c r="E137" s="24" t="s">
        <v>299</v>
      </c>
      <c r="F137" s="2" t="s">
        <v>313</v>
      </c>
      <c r="G137" s="2"/>
      <c r="H137" s="2">
        <f>263+3034</f>
        <v>3297</v>
      </c>
      <c r="I137" s="20">
        <f>97+1123</f>
        <v>1220</v>
      </c>
      <c r="J137" s="26">
        <f>I137/H137</f>
        <v>0.37003336366393691</v>
      </c>
      <c r="K137" s="10" t="s">
        <v>313</v>
      </c>
      <c r="L137" s="10"/>
      <c r="M137" s="2"/>
      <c r="N137" s="2"/>
      <c r="O137" s="15"/>
    </row>
    <row r="138" spans="1:15" ht="11.4" hidden="1" customHeight="1" x14ac:dyDescent="0.25">
      <c r="A138" s="4" t="s">
        <v>28</v>
      </c>
      <c r="B138" s="2">
        <v>178</v>
      </c>
      <c r="C138" s="3">
        <v>178</v>
      </c>
      <c r="D138" s="29" t="s">
        <v>121</v>
      </c>
      <c r="E138" s="30" t="s">
        <v>303</v>
      </c>
      <c r="F138" s="29" t="s">
        <v>314</v>
      </c>
      <c r="G138" s="29"/>
      <c r="H138" s="29"/>
      <c r="I138" s="31">
        <f>155+769</f>
        <v>924</v>
      </c>
      <c r="J138" s="31"/>
      <c r="K138" s="29"/>
      <c r="L138" s="32" t="s">
        <v>321</v>
      </c>
      <c r="M138" s="32"/>
      <c r="N138" s="29"/>
      <c r="O138" s="15"/>
    </row>
    <row r="139" spans="1:15" ht="11.4" hidden="1" customHeight="1" x14ac:dyDescent="0.25">
      <c r="A139" s="4" t="s">
        <v>28</v>
      </c>
      <c r="B139" s="2">
        <v>178</v>
      </c>
      <c r="C139" s="3">
        <v>178</v>
      </c>
      <c r="D139" s="29" t="s">
        <v>121</v>
      </c>
      <c r="E139" s="30" t="s">
        <v>302</v>
      </c>
      <c r="F139" s="29" t="s">
        <v>314</v>
      </c>
      <c r="G139" s="29"/>
      <c r="H139" s="29"/>
      <c r="I139" s="31">
        <v>950</v>
      </c>
      <c r="J139" s="31"/>
      <c r="K139" s="29"/>
      <c r="L139" s="32" t="s">
        <v>321</v>
      </c>
      <c r="M139" s="29"/>
      <c r="N139" s="29"/>
      <c r="O139" s="15"/>
    </row>
    <row r="140" spans="1:15" ht="11.4" hidden="1" customHeight="1" x14ac:dyDescent="0.25">
      <c r="A140" s="4" t="s">
        <v>27</v>
      </c>
      <c r="B140" s="2">
        <v>179</v>
      </c>
      <c r="C140" s="3">
        <v>2185</v>
      </c>
      <c r="D140" s="29" t="s">
        <v>336</v>
      </c>
      <c r="E140" s="30" t="s">
        <v>300</v>
      </c>
      <c r="F140" s="29" t="s">
        <v>313</v>
      </c>
      <c r="G140" s="29"/>
      <c r="H140" s="29">
        <v>500</v>
      </c>
      <c r="I140" s="31">
        <v>200</v>
      </c>
      <c r="J140" s="33">
        <f>I140/H140</f>
        <v>0.4</v>
      </c>
      <c r="K140" s="32" t="s">
        <v>313</v>
      </c>
      <c r="L140" s="32"/>
      <c r="M140" s="29"/>
      <c r="N140" s="29"/>
      <c r="O140" s="15"/>
    </row>
    <row r="141" spans="1:15" ht="11.4" hidden="1" customHeight="1" x14ac:dyDescent="0.25">
      <c r="A141" s="4" t="s">
        <v>27</v>
      </c>
      <c r="B141" s="2">
        <v>180</v>
      </c>
      <c r="C141" s="3">
        <v>2186</v>
      </c>
      <c r="D141" s="29" t="s">
        <v>349</v>
      </c>
      <c r="E141" s="30" t="s">
        <v>300</v>
      </c>
      <c r="F141" s="29" t="s">
        <v>313</v>
      </c>
      <c r="G141" s="29"/>
      <c r="H141" s="29">
        <v>370</v>
      </c>
      <c r="I141" s="31">
        <v>148</v>
      </c>
      <c r="J141" s="33">
        <f>I141/H141</f>
        <v>0.4</v>
      </c>
      <c r="K141" s="32" t="s">
        <v>313</v>
      </c>
      <c r="L141" s="32"/>
      <c r="M141" s="29"/>
      <c r="N141" s="29"/>
      <c r="O141" s="15"/>
    </row>
    <row r="142" spans="1:15" ht="11.4" customHeight="1" x14ac:dyDescent="0.25">
      <c r="A142" s="4" t="s">
        <v>6</v>
      </c>
      <c r="B142" s="2">
        <v>185</v>
      </c>
      <c r="C142" s="3">
        <v>185</v>
      </c>
      <c r="D142" s="2" t="s">
        <v>73</v>
      </c>
      <c r="E142" s="24" t="s">
        <v>303</v>
      </c>
      <c r="F142" s="2" t="s">
        <v>314</v>
      </c>
      <c r="G142" s="2"/>
      <c r="H142" s="2"/>
      <c r="I142" s="20">
        <f>117+2135</f>
        <v>2252</v>
      </c>
      <c r="J142" s="20"/>
      <c r="K142" s="2"/>
      <c r="L142" s="10"/>
      <c r="M142" s="10" t="s">
        <v>322</v>
      </c>
      <c r="N142" s="2"/>
    </row>
    <row r="143" spans="1:15" ht="11.4" hidden="1" customHeight="1" x14ac:dyDescent="0.25">
      <c r="A143" s="4" t="s">
        <v>6</v>
      </c>
      <c r="B143" s="2">
        <v>185</v>
      </c>
      <c r="C143" s="3">
        <v>185</v>
      </c>
      <c r="D143" s="2" t="s">
        <v>73</v>
      </c>
      <c r="E143" s="24" t="s">
        <v>302</v>
      </c>
      <c r="F143" s="2" t="s">
        <v>314</v>
      </c>
      <c r="G143" s="2"/>
      <c r="H143" s="2"/>
      <c r="I143" s="20">
        <f>106+1334</f>
        <v>1440</v>
      </c>
      <c r="J143" s="20"/>
      <c r="K143" s="2"/>
      <c r="L143" s="10" t="s">
        <v>321</v>
      </c>
      <c r="M143" s="2"/>
      <c r="N143" s="2"/>
    </row>
    <row r="144" spans="1:15" ht="11.4" customHeight="1" x14ac:dyDescent="0.25">
      <c r="A144" s="4" t="s">
        <v>10</v>
      </c>
      <c r="B144" s="2">
        <v>190</v>
      </c>
      <c r="C144" s="3">
        <v>190</v>
      </c>
      <c r="D144" s="2" t="s">
        <v>346</v>
      </c>
      <c r="E144" s="24" t="s">
        <v>303</v>
      </c>
      <c r="F144" s="2" t="s">
        <v>314</v>
      </c>
      <c r="G144" s="2"/>
      <c r="H144" s="2"/>
      <c r="I144" s="20">
        <f>866+4131</f>
        <v>4997</v>
      </c>
      <c r="J144" s="20"/>
      <c r="K144" s="2"/>
      <c r="L144" s="10" t="s">
        <v>321</v>
      </c>
      <c r="M144" s="10" t="s">
        <v>322</v>
      </c>
      <c r="N144" s="2"/>
      <c r="O144" s="15"/>
    </row>
    <row r="145" spans="1:15" ht="11.4" hidden="1" customHeight="1" x14ac:dyDescent="0.25">
      <c r="A145" s="4" t="s">
        <v>10</v>
      </c>
      <c r="B145" s="2">
        <v>190</v>
      </c>
      <c r="C145" s="3">
        <v>190</v>
      </c>
      <c r="D145" s="2" t="s">
        <v>346</v>
      </c>
      <c r="E145" s="24" t="s">
        <v>305</v>
      </c>
      <c r="F145" s="2" t="s">
        <v>314</v>
      </c>
      <c r="G145" s="2"/>
      <c r="H145" s="2"/>
      <c r="I145" s="20">
        <f>74+576</f>
        <v>650</v>
      </c>
      <c r="J145" s="20"/>
      <c r="K145" s="2"/>
      <c r="L145" s="10" t="s">
        <v>321</v>
      </c>
      <c r="M145" s="2"/>
      <c r="N145" s="2"/>
      <c r="O145" s="15"/>
    </row>
    <row r="146" spans="1:15" ht="11.4" hidden="1" customHeight="1" x14ac:dyDescent="0.25">
      <c r="A146" s="4" t="s">
        <v>11</v>
      </c>
      <c r="B146" s="2">
        <v>190</v>
      </c>
      <c r="C146" s="3">
        <v>545</v>
      </c>
      <c r="D146" s="29" t="s">
        <v>347</v>
      </c>
      <c r="E146" s="30" t="s">
        <v>302</v>
      </c>
      <c r="F146" s="29" t="s">
        <v>314</v>
      </c>
      <c r="G146" s="29"/>
      <c r="H146" s="29"/>
      <c r="I146" s="31">
        <v>569</v>
      </c>
      <c r="J146" s="31"/>
      <c r="K146" s="29"/>
      <c r="L146" s="32" t="s">
        <v>321</v>
      </c>
      <c r="M146" s="29"/>
      <c r="N146" s="29"/>
      <c r="O146" s="15"/>
    </row>
    <row r="147" spans="1:15" ht="11.4" hidden="1" customHeight="1" x14ac:dyDescent="0.25">
      <c r="A147" s="4" t="s">
        <v>7</v>
      </c>
      <c r="B147" s="2">
        <v>195</v>
      </c>
      <c r="C147" s="3">
        <v>195</v>
      </c>
      <c r="D147" s="10" t="s">
        <v>372</v>
      </c>
      <c r="E147" s="24" t="s">
        <v>305</v>
      </c>
      <c r="F147" s="2" t="s">
        <v>314</v>
      </c>
      <c r="G147" s="2"/>
      <c r="H147" s="2"/>
      <c r="I147" s="20">
        <f>3+308</f>
        <v>311</v>
      </c>
      <c r="J147" s="20"/>
      <c r="K147" s="2"/>
      <c r="L147" s="10" t="s">
        <v>321</v>
      </c>
      <c r="M147" s="2"/>
      <c r="N147" s="2"/>
      <c r="O147" s="15"/>
    </row>
    <row r="148" spans="1:15" ht="11.4" hidden="1" customHeight="1" x14ac:dyDescent="0.25">
      <c r="A148" s="4" t="s">
        <v>7</v>
      </c>
      <c r="B148" s="2">
        <v>195</v>
      </c>
      <c r="C148" s="3">
        <v>195</v>
      </c>
      <c r="D148" s="2" t="s">
        <v>113</v>
      </c>
      <c r="E148" s="24" t="s">
        <v>302</v>
      </c>
      <c r="F148" s="2" t="s">
        <v>314</v>
      </c>
      <c r="G148" s="2"/>
      <c r="H148" s="2"/>
      <c r="I148" s="20">
        <f>20+1019</f>
        <v>1039</v>
      </c>
      <c r="J148" s="20"/>
      <c r="K148" s="2"/>
      <c r="L148" s="10" t="s">
        <v>321</v>
      </c>
      <c r="M148" s="2"/>
      <c r="N148" s="2"/>
      <c r="O148" s="19"/>
    </row>
    <row r="149" spans="1:15" ht="11.4" hidden="1" customHeight="1" x14ac:dyDescent="0.25">
      <c r="A149" s="4" t="s">
        <v>44</v>
      </c>
      <c r="B149" s="2">
        <v>198</v>
      </c>
      <c r="C149" s="3">
        <v>198</v>
      </c>
      <c r="D149" s="2" t="s">
        <v>173</v>
      </c>
      <c r="E149" s="24" t="s">
        <v>298</v>
      </c>
      <c r="F149" s="2" t="s">
        <v>314</v>
      </c>
      <c r="G149" s="2"/>
      <c r="H149" s="2"/>
      <c r="I149" s="20">
        <f>255+2034</f>
        <v>2289</v>
      </c>
      <c r="J149" s="20"/>
      <c r="K149" s="2"/>
      <c r="L149" s="10" t="s">
        <v>321</v>
      </c>
      <c r="M149" s="2"/>
      <c r="N149" s="2"/>
      <c r="O149" s="15"/>
    </row>
    <row r="150" spans="1:15" ht="11.4" customHeight="1" x14ac:dyDescent="0.25">
      <c r="A150" s="4" t="s">
        <v>44</v>
      </c>
      <c r="B150" s="2">
        <v>198</v>
      </c>
      <c r="C150" s="3">
        <v>198</v>
      </c>
      <c r="D150" s="2" t="s">
        <v>173</v>
      </c>
      <c r="E150" s="24" t="s">
        <v>299</v>
      </c>
      <c r="F150" s="2" t="s">
        <v>314</v>
      </c>
      <c r="G150" s="2"/>
      <c r="H150" s="2"/>
      <c r="I150" s="20">
        <f>2270+2722</f>
        <v>4992</v>
      </c>
      <c r="J150" s="20"/>
      <c r="K150" s="2"/>
      <c r="L150" s="10" t="s">
        <v>321</v>
      </c>
      <c r="M150" s="10" t="s">
        <v>322</v>
      </c>
      <c r="N150" s="2"/>
      <c r="O150" s="15"/>
    </row>
    <row r="151" spans="1:15" ht="11.4" hidden="1" customHeight="1" x14ac:dyDescent="0.25">
      <c r="A151" s="4" t="s">
        <v>44</v>
      </c>
      <c r="B151" s="2">
        <v>198</v>
      </c>
      <c r="C151" s="3">
        <v>2329</v>
      </c>
      <c r="D151" s="2" t="s">
        <v>172</v>
      </c>
      <c r="E151" s="24" t="s">
        <v>299</v>
      </c>
      <c r="F151" s="2" t="s">
        <v>313</v>
      </c>
      <c r="G151" s="2"/>
      <c r="H151" s="2">
        <f>3847+4841</f>
        <v>8688</v>
      </c>
      <c r="I151" s="20">
        <f>1481+1864</f>
        <v>3345</v>
      </c>
      <c r="J151" s="26">
        <f>I151/H151</f>
        <v>0.38501381215469616</v>
      </c>
      <c r="K151" s="10" t="s">
        <v>313</v>
      </c>
      <c r="L151" s="10"/>
      <c r="M151" s="2"/>
      <c r="N151" s="2"/>
      <c r="O151" s="15"/>
    </row>
    <row r="152" spans="1:15" ht="11.4" hidden="1" customHeight="1" x14ac:dyDescent="0.25">
      <c r="A152" s="4" t="s">
        <v>15</v>
      </c>
      <c r="B152" s="2">
        <v>199</v>
      </c>
      <c r="C152" s="3">
        <v>2023</v>
      </c>
      <c r="D152" s="2" t="s">
        <v>351</v>
      </c>
      <c r="E152" s="24" t="s">
        <v>300</v>
      </c>
      <c r="F152" s="2" t="s">
        <v>313</v>
      </c>
      <c r="G152" s="2"/>
      <c r="H152" s="2">
        <f>2500+3362</f>
        <v>5862</v>
      </c>
      <c r="I152" s="20">
        <f>1000+1345</f>
        <v>2345</v>
      </c>
      <c r="J152" s="26">
        <f>I152/H152</f>
        <v>0.40003411804844763</v>
      </c>
      <c r="K152" s="10" t="s">
        <v>313</v>
      </c>
      <c r="L152" s="10"/>
      <c r="M152" s="2"/>
      <c r="N152" s="2"/>
      <c r="O152" s="15"/>
    </row>
    <row r="153" spans="1:15" ht="11.4" customHeight="1" x14ac:dyDescent="0.25">
      <c r="A153" s="4" t="s">
        <v>4</v>
      </c>
      <c r="B153" s="2">
        <v>221</v>
      </c>
      <c r="C153" s="3">
        <v>221</v>
      </c>
      <c r="D153" s="2" t="s">
        <v>76</v>
      </c>
      <c r="E153" s="24" t="s">
        <v>303</v>
      </c>
      <c r="F153" s="2" t="s">
        <v>314</v>
      </c>
      <c r="G153" s="2"/>
      <c r="H153" s="2"/>
      <c r="I153" s="20">
        <f>494+728+18</f>
        <v>1240</v>
      </c>
      <c r="J153" s="20"/>
      <c r="K153" s="2"/>
      <c r="L153" s="10"/>
      <c r="M153" s="10" t="s">
        <v>322</v>
      </c>
      <c r="N153" s="2"/>
    </row>
    <row r="154" spans="1:15" ht="11.4" customHeight="1" x14ac:dyDescent="0.25">
      <c r="A154" s="4" t="s">
        <v>4</v>
      </c>
      <c r="B154" s="2">
        <v>222</v>
      </c>
      <c r="C154" s="3">
        <v>222</v>
      </c>
      <c r="D154" s="2" t="s">
        <v>92</v>
      </c>
      <c r="E154" s="24" t="s">
        <v>303</v>
      </c>
      <c r="F154" s="2" t="s">
        <v>314</v>
      </c>
      <c r="G154" s="2"/>
      <c r="H154" s="2"/>
      <c r="I154" s="20">
        <f>612+1271</f>
        <v>1883</v>
      </c>
      <c r="J154" s="20"/>
      <c r="K154" s="2"/>
      <c r="L154" s="10"/>
      <c r="M154" s="10" t="s">
        <v>322</v>
      </c>
      <c r="N154" s="2"/>
      <c r="O154" s="15"/>
    </row>
    <row r="155" spans="1:15" ht="11.4" hidden="1" customHeight="1" x14ac:dyDescent="0.25">
      <c r="A155" s="4" t="s">
        <v>4</v>
      </c>
      <c r="B155" s="2">
        <v>222</v>
      </c>
      <c r="C155" s="3">
        <v>222</v>
      </c>
      <c r="D155" s="2" t="s">
        <v>92</v>
      </c>
      <c r="E155" s="24" t="s">
        <v>302</v>
      </c>
      <c r="F155" s="2" t="s">
        <v>314</v>
      </c>
      <c r="G155" s="2"/>
      <c r="H155" s="2"/>
      <c r="I155" s="20">
        <f>132+489</f>
        <v>621</v>
      </c>
      <c r="J155" s="20"/>
      <c r="K155" s="2"/>
      <c r="L155" s="10" t="s">
        <v>321</v>
      </c>
      <c r="M155" s="2"/>
      <c r="N155" s="2"/>
      <c r="O155" s="15"/>
    </row>
    <row r="156" spans="1:15" ht="11.4" hidden="1" customHeight="1" x14ac:dyDescent="0.25">
      <c r="A156" s="4" t="s">
        <v>47</v>
      </c>
      <c r="B156" s="2">
        <v>224</v>
      </c>
      <c r="C156" s="3">
        <v>220</v>
      </c>
      <c r="D156" s="29" t="s">
        <v>215</v>
      </c>
      <c r="E156" s="30" t="s">
        <v>307</v>
      </c>
      <c r="F156" s="29" t="s">
        <v>314</v>
      </c>
      <c r="G156" s="29"/>
      <c r="H156" s="29"/>
      <c r="I156" s="31">
        <v>1651</v>
      </c>
      <c r="J156" s="31"/>
      <c r="K156" s="29"/>
      <c r="L156" s="32" t="s">
        <v>321</v>
      </c>
      <c r="M156" s="29"/>
      <c r="N156" s="29"/>
      <c r="O156" s="15"/>
    </row>
    <row r="157" spans="1:15" ht="11.4" hidden="1" customHeight="1" x14ac:dyDescent="0.25">
      <c r="A157" s="4" t="s">
        <v>46</v>
      </c>
      <c r="B157" s="2">
        <v>224</v>
      </c>
      <c r="C157" s="3">
        <v>224</v>
      </c>
      <c r="D157" s="2" t="s">
        <v>214</v>
      </c>
      <c r="E157" s="24" t="s">
        <v>307</v>
      </c>
      <c r="F157" s="2" t="s">
        <v>314</v>
      </c>
      <c r="G157" s="2"/>
      <c r="H157" s="2"/>
      <c r="I157" s="20">
        <f>1207+1744</f>
        <v>2951</v>
      </c>
      <c r="J157" s="20"/>
      <c r="K157" s="2"/>
      <c r="L157" s="10" t="s">
        <v>321</v>
      </c>
      <c r="M157" s="2"/>
      <c r="N157" s="2"/>
      <c r="O157" s="15"/>
    </row>
    <row r="158" spans="1:15" ht="11.4" hidden="1" customHeight="1" x14ac:dyDescent="0.25">
      <c r="A158" s="4" t="s">
        <v>46</v>
      </c>
      <c r="B158" s="2">
        <v>224</v>
      </c>
      <c r="C158" s="3">
        <v>224</v>
      </c>
      <c r="D158" s="2" t="s">
        <v>214</v>
      </c>
      <c r="E158" s="24" t="s">
        <v>305</v>
      </c>
      <c r="F158" s="2" t="s">
        <v>314</v>
      </c>
      <c r="G158" s="2"/>
      <c r="H158" s="2"/>
      <c r="I158" s="20">
        <f>2911+8827</f>
        <v>11738</v>
      </c>
      <c r="J158" s="20"/>
      <c r="K158" s="2"/>
      <c r="L158" s="10" t="s">
        <v>321</v>
      </c>
      <c r="M158" s="2"/>
      <c r="N158" s="2"/>
      <c r="O158" s="15"/>
    </row>
    <row r="159" spans="1:15" ht="11.4" hidden="1" customHeight="1" x14ac:dyDescent="0.25">
      <c r="A159" s="4" t="s">
        <v>46</v>
      </c>
      <c r="B159" s="2">
        <v>224</v>
      </c>
      <c r="C159" s="3">
        <v>224</v>
      </c>
      <c r="D159" s="2" t="s">
        <v>214</v>
      </c>
      <c r="E159" s="24" t="s">
        <v>306</v>
      </c>
      <c r="F159" s="2" t="s">
        <v>314</v>
      </c>
      <c r="G159" s="2"/>
      <c r="H159" s="2"/>
      <c r="I159" s="20">
        <f>18+474</f>
        <v>492</v>
      </c>
      <c r="J159" s="20"/>
      <c r="K159" s="10" t="s">
        <v>313</v>
      </c>
      <c r="L159" s="10" t="s">
        <v>321</v>
      </c>
      <c r="M159" s="2"/>
      <c r="N159" s="2"/>
      <c r="O159" s="15"/>
    </row>
    <row r="160" spans="1:15" ht="11.4" hidden="1" customHeight="1" x14ac:dyDescent="0.25">
      <c r="A160" s="4" t="s">
        <v>54</v>
      </c>
      <c r="B160" s="2">
        <v>225</v>
      </c>
      <c r="C160" s="3">
        <v>225</v>
      </c>
      <c r="D160" s="2" t="s">
        <v>253</v>
      </c>
      <c r="E160" s="24" t="s">
        <v>307</v>
      </c>
      <c r="F160" s="2" t="s">
        <v>314</v>
      </c>
      <c r="G160" s="2"/>
      <c r="H160" s="2"/>
      <c r="I160" s="20">
        <f>435+627</f>
        <v>1062</v>
      </c>
      <c r="J160" s="20"/>
      <c r="K160" s="2"/>
      <c r="L160" s="10" t="s">
        <v>321</v>
      </c>
      <c r="M160" s="2"/>
      <c r="N160" s="2"/>
      <c r="O160" s="15"/>
    </row>
    <row r="161" spans="1:15" ht="11.4" hidden="1" customHeight="1" x14ac:dyDescent="0.25">
      <c r="A161" s="4" t="s">
        <v>54</v>
      </c>
      <c r="B161" s="2">
        <v>225</v>
      </c>
      <c r="C161" s="3">
        <v>225</v>
      </c>
      <c r="D161" s="2" t="s">
        <v>253</v>
      </c>
      <c r="E161" s="24" t="s">
        <v>305</v>
      </c>
      <c r="F161" s="2" t="s">
        <v>314</v>
      </c>
      <c r="G161" s="2"/>
      <c r="H161" s="2"/>
      <c r="I161" s="20">
        <f>1651+2356</f>
        <v>4007</v>
      </c>
      <c r="J161" s="20"/>
      <c r="K161" s="2"/>
      <c r="L161" s="10" t="s">
        <v>321</v>
      </c>
      <c r="M161" s="2"/>
      <c r="N161" s="2"/>
      <c r="O161" s="15"/>
    </row>
    <row r="162" spans="1:15" ht="11.4" hidden="1" customHeight="1" x14ac:dyDescent="0.25">
      <c r="A162" s="4" t="s">
        <v>59</v>
      </c>
      <c r="B162" s="2">
        <v>225</v>
      </c>
      <c r="C162" s="3">
        <v>2158</v>
      </c>
      <c r="D162" s="2" t="s">
        <v>269</v>
      </c>
      <c r="E162" s="24" t="s">
        <v>306</v>
      </c>
      <c r="F162" s="2" t="s">
        <v>313</v>
      </c>
      <c r="G162" s="2"/>
      <c r="H162" s="2">
        <f>3616+3848</f>
        <v>7464</v>
      </c>
      <c r="I162" s="20">
        <f>1266+1347</f>
        <v>2613</v>
      </c>
      <c r="J162" s="26">
        <f>I162/H162</f>
        <v>0.35008038585209006</v>
      </c>
      <c r="K162" s="10" t="s">
        <v>313</v>
      </c>
      <c r="L162" s="10" t="s">
        <v>321</v>
      </c>
      <c r="M162" s="2"/>
      <c r="N162" s="2"/>
      <c r="O162" s="15"/>
    </row>
    <row r="163" spans="1:15" ht="11.4" hidden="1" customHeight="1" x14ac:dyDescent="0.25">
      <c r="A163" s="4" t="s">
        <v>56</v>
      </c>
      <c r="B163" s="2">
        <v>226</v>
      </c>
      <c r="C163" s="3">
        <v>2163</v>
      </c>
      <c r="D163" s="2" t="s">
        <v>262</v>
      </c>
      <c r="E163" s="24" t="s">
        <v>306</v>
      </c>
      <c r="F163" s="2" t="s">
        <v>313</v>
      </c>
      <c r="G163" s="2"/>
      <c r="H163" s="2">
        <f>6186+7546</f>
        <v>13732</v>
      </c>
      <c r="I163" s="20">
        <f>1794+2188</f>
        <v>3982</v>
      </c>
      <c r="J163" s="26">
        <f>I163/H163</f>
        <v>0.28997960967084185</v>
      </c>
      <c r="K163" s="10" t="s">
        <v>313</v>
      </c>
      <c r="L163" s="10" t="s">
        <v>321</v>
      </c>
      <c r="M163" s="2"/>
      <c r="N163" s="2"/>
      <c r="O163" s="15"/>
    </row>
    <row r="164" spans="1:15" ht="11.4" hidden="1" customHeight="1" x14ac:dyDescent="0.25">
      <c r="A164" s="4" t="s">
        <v>44</v>
      </c>
      <c r="B164" s="2">
        <v>235</v>
      </c>
      <c r="C164" s="3">
        <v>235</v>
      </c>
      <c r="D164" s="2" t="s">
        <v>193</v>
      </c>
      <c r="E164" s="24" t="s">
        <v>298</v>
      </c>
      <c r="F164" s="2" t="s">
        <v>314</v>
      </c>
      <c r="G164" s="2"/>
      <c r="H164" s="2"/>
      <c r="I164" s="20">
        <f>689+1168</f>
        <v>1857</v>
      </c>
      <c r="J164" s="20"/>
      <c r="K164" s="2"/>
      <c r="L164" s="10" t="s">
        <v>321</v>
      </c>
      <c r="M164" s="2"/>
      <c r="N164" s="2"/>
      <c r="O164" s="15"/>
    </row>
    <row r="165" spans="1:15" ht="11.4" customHeight="1" x14ac:dyDescent="0.25">
      <c r="A165" s="4" t="s">
        <v>44</v>
      </c>
      <c r="B165" s="2">
        <v>235</v>
      </c>
      <c r="C165" s="3">
        <v>235</v>
      </c>
      <c r="D165" s="2" t="s">
        <v>193</v>
      </c>
      <c r="E165" s="24" t="s">
        <v>299</v>
      </c>
      <c r="F165" s="2" t="s">
        <v>314</v>
      </c>
      <c r="G165" s="2"/>
      <c r="H165" s="2"/>
      <c r="I165" s="20">
        <f>667+1178</f>
        <v>1845</v>
      </c>
      <c r="J165" s="20"/>
      <c r="K165" s="10" t="s">
        <v>313</v>
      </c>
      <c r="L165" s="10" t="s">
        <v>321</v>
      </c>
      <c r="M165" s="10" t="s">
        <v>322</v>
      </c>
      <c r="N165" s="2"/>
      <c r="O165" s="15"/>
    </row>
    <row r="166" spans="1:15" ht="11.4" customHeight="1" x14ac:dyDescent="0.25">
      <c r="A166" s="4" t="s">
        <v>10</v>
      </c>
      <c r="B166" s="2">
        <v>247</v>
      </c>
      <c r="C166" s="3">
        <v>247</v>
      </c>
      <c r="D166" s="2" t="s">
        <v>328</v>
      </c>
      <c r="E166" s="24" t="s">
        <v>303</v>
      </c>
      <c r="F166" s="2" t="s">
        <v>314</v>
      </c>
      <c r="G166" s="2"/>
      <c r="H166" s="2"/>
      <c r="I166" s="20">
        <f>790+828</f>
        <v>1618</v>
      </c>
      <c r="J166" s="20"/>
      <c r="K166" s="2"/>
      <c r="L166" s="10" t="s">
        <v>321</v>
      </c>
      <c r="M166" s="10" t="s">
        <v>322</v>
      </c>
      <c r="N166" s="2"/>
      <c r="O166" s="15"/>
    </row>
    <row r="167" spans="1:15" ht="11.4" hidden="1" customHeight="1" x14ac:dyDescent="0.25">
      <c r="A167" s="4" t="s">
        <v>50</v>
      </c>
      <c r="B167" s="2">
        <v>251</v>
      </c>
      <c r="C167" s="3">
        <v>251</v>
      </c>
      <c r="D167" s="2" t="s">
        <v>242</v>
      </c>
      <c r="E167" s="24" t="s">
        <v>307</v>
      </c>
      <c r="F167" s="2" t="s">
        <v>314</v>
      </c>
      <c r="G167" s="2"/>
      <c r="H167" s="2"/>
      <c r="I167" s="20">
        <f>123+1776</f>
        <v>1899</v>
      </c>
      <c r="J167" s="20"/>
      <c r="K167" s="2"/>
      <c r="L167" s="10" t="s">
        <v>321</v>
      </c>
      <c r="M167" s="2"/>
      <c r="N167" s="2"/>
      <c r="O167" s="15"/>
    </row>
    <row r="168" spans="1:15" ht="11.4" hidden="1" customHeight="1" x14ac:dyDescent="0.25">
      <c r="A168" s="4" t="s">
        <v>50</v>
      </c>
      <c r="B168" s="2">
        <v>251</v>
      </c>
      <c r="C168" s="3">
        <v>251</v>
      </c>
      <c r="D168" s="2" t="s">
        <v>242</v>
      </c>
      <c r="E168" s="24" t="s">
        <v>301</v>
      </c>
      <c r="F168" s="2" t="s">
        <v>314</v>
      </c>
      <c r="G168" s="2"/>
      <c r="H168" s="2"/>
      <c r="I168" s="20">
        <f>274+429</f>
        <v>703</v>
      </c>
      <c r="J168" s="20"/>
      <c r="K168" s="10" t="s">
        <v>313</v>
      </c>
      <c r="L168" s="10" t="s">
        <v>321</v>
      </c>
      <c r="M168" s="2"/>
      <c r="N168" s="2"/>
      <c r="O168" s="15"/>
    </row>
    <row r="169" spans="1:15" ht="11.4" hidden="1" customHeight="1" x14ac:dyDescent="0.25">
      <c r="A169" s="4" t="s">
        <v>50</v>
      </c>
      <c r="B169" s="2">
        <v>268</v>
      </c>
      <c r="C169" s="3">
        <v>268</v>
      </c>
      <c r="D169" s="2" t="s">
        <v>260</v>
      </c>
      <c r="E169" s="24" t="s">
        <v>307</v>
      </c>
      <c r="F169" s="2" t="s">
        <v>314</v>
      </c>
      <c r="G169" s="2"/>
      <c r="H169" s="2"/>
      <c r="I169" s="20">
        <f>38+501</f>
        <v>539</v>
      </c>
      <c r="J169" s="20"/>
      <c r="K169" s="2"/>
      <c r="L169" s="10" t="s">
        <v>321</v>
      </c>
      <c r="M169" s="2"/>
      <c r="N169" s="2"/>
      <c r="O169" s="15"/>
    </row>
    <row r="170" spans="1:15" ht="11.4" hidden="1" customHeight="1" x14ac:dyDescent="0.25">
      <c r="A170" s="4" t="s">
        <v>50</v>
      </c>
      <c r="B170" s="2">
        <v>268</v>
      </c>
      <c r="C170" s="3">
        <v>268</v>
      </c>
      <c r="D170" s="2" t="s">
        <v>260</v>
      </c>
      <c r="E170" s="24" t="s">
        <v>302</v>
      </c>
      <c r="F170" s="2" t="s">
        <v>314</v>
      </c>
      <c r="G170" s="2"/>
      <c r="H170" s="2"/>
      <c r="I170" s="20">
        <f>52+61</f>
        <v>113</v>
      </c>
      <c r="J170" s="20"/>
      <c r="K170" s="2"/>
      <c r="L170" s="10" t="s">
        <v>321</v>
      </c>
      <c r="M170" s="2"/>
      <c r="N170" s="2"/>
      <c r="O170" s="15"/>
    </row>
    <row r="171" spans="1:15" ht="11.4" hidden="1" customHeight="1" x14ac:dyDescent="0.25">
      <c r="A171" s="4" t="s">
        <v>50</v>
      </c>
      <c r="B171" s="2">
        <v>268</v>
      </c>
      <c r="C171" s="3">
        <v>2291</v>
      </c>
      <c r="D171" s="2" t="s">
        <v>259</v>
      </c>
      <c r="E171" s="24" t="s">
        <v>297</v>
      </c>
      <c r="F171" s="2" t="s">
        <v>313</v>
      </c>
      <c r="G171" s="2"/>
      <c r="H171" s="2">
        <f>83+327</f>
        <v>410</v>
      </c>
      <c r="I171" s="20">
        <f>50+196</f>
        <v>246</v>
      </c>
      <c r="J171" s="26">
        <f>I171/H171</f>
        <v>0.6</v>
      </c>
      <c r="K171" s="10" t="s">
        <v>313</v>
      </c>
      <c r="L171" s="10"/>
      <c r="M171" s="2"/>
      <c r="N171" s="2"/>
      <c r="O171" s="15"/>
    </row>
    <row r="172" spans="1:15" ht="11.4" hidden="1" customHeight="1" x14ac:dyDescent="0.25">
      <c r="A172" s="4" t="s">
        <v>19</v>
      </c>
      <c r="B172" s="2">
        <v>292</v>
      </c>
      <c r="C172" s="3">
        <v>292</v>
      </c>
      <c r="D172" s="2" t="s">
        <v>170</v>
      </c>
      <c r="E172" s="24" t="s">
        <v>298</v>
      </c>
      <c r="F172" s="2" t="s">
        <v>314</v>
      </c>
      <c r="G172" s="2"/>
      <c r="H172" s="2"/>
      <c r="I172" s="20">
        <f>82+1549</f>
        <v>1631</v>
      </c>
      <c r="J172" s="20"/>
      <c r="K172" s="2"/>
      <c r="L172" s="10" t="s">
        <v>321</v>
      </c>
      <c r="M172" s="2"/>
      <c r="N172" s="2"/>
      <c r="O172" s="15"/>
    </row>
    <row r="173" spans="1:15" ht="11.4" customHeight="1" x14ac:dyDescent="0.25">
      <c r="A173" s="4" t="s">
        <v>19</v>
      </c>
      <c r="B173" s="2">
        <v>292</v>
      </c>
      <c r="C173" s="3">
        <v>292</v>
      </c>
      <c r="D173" s="2" t="s">
        <v>170</v>
      </c>
      <c r="E173" s="24" t="s">
        <v>299</v>
      </c>
      <c r="F173" s="2" t="s">
        <v>314</v>
      </c>
      <c r="G173" s="2"/>
      <c r="H173" s="2"/>
      <c r="I173" s="20">
        <f>1225+1557</f>
        <v>2782</v>
      </c>
      <c r="J173" s="20"/>
      <c r="K173" s="2"/>
      <c r="L173" s="10" t="s">
        <v>321</v>
      </c>
      <c r="M173" s="10" t="s">
        <v>322</v>
      </c>
      <c r="N173" s="2"/>
      <c r="O173" s="15"/>
    </row>
    <row r="174" spans="1:15" ht="11.4" hidden="1" customHeight="1" x14ac:dyDescent="0.25">
      <c r="A174" s="4" t="s">
        <v>19</v>
      </c>
      <c r="B174" s="2">
        <v>292</v>
      </c>
      <c r="C174" s="3">
        <v>2320</v>
      </c>
      <c r="D174" s="2" t="s">
        <v>171</v>
      </c>
      <c r="E174" s="24" t="s">
        <v>299</v>
      </c>
      <c r="F174" s="2" t="s">
        <v>313</v>
      </c>
      <c r="G174" s="2"/>
      <c r="H174" s="2">
        <f>2371+3506</f>
        <v>5877</v>
      </c>
      <c r="I174" s="20">
        <f>854+1262</f>
        <v>2116</v>
      </c>
      <c r="J174" s="26">
        <f>I174/H174</f>
        <v>0.36004764335545347</v>
      </c>
      <c r="K174" s="10" t="s">
        <v>313</v>
      </c>
      <c r="L174" s="10"/>
      <c r="M174" s="2"/>
      <c r="N174" s="2"/>
      <c r="O174" s="15"/>
    </row>
    <row r="175" spans="1:15" ht="11.4" hidden="1" customHeight="1" x14ac:dyDescent="0.25">
      <c r="A175" s="4" t="s">
        <v>62</v>
      </c>
      <c r="B175" s="2">
        <v>298</v>
      </c>
      <c r="C175" s="3">
        <v>2035</v>
      </c>
      <c r="D175" s="2" t="s">
        <v>292</v>
      </c>
      <c r="E175" s="24" t="s">
        <v>300</v>
      </c>
      <c r="F175" s="2" t="s">
        <v>313</v>
      </c>
      <c r="G175" s="2"/>
      <c r="H175" s="2">
        <f>1453+2076</f>
        <v>3529</v>
      </c>
      <c r="I175" s="20">
        <f>581+830</f>
        <v>1411</v>
      </c>
      <c r="J175" s="26">
        <f>I175/H175</f>
        <v>0.39982998016435251</v>
      </c>
      <c r="K175" s="10" t="s">
        <v>313</v>
      </c>
      <c r="L175" s="10"/>
      <c r="M175" s="2"/>
      <c r="N175" s="2"/>
      <c r="O175" s="15"/>
    </row>
    <row r="176" spans="1:15" ht="11.4" hidden="1" customHeight="1" x14ac:dyDescent="0.25">
      <c r="A176" s="4" t="s">
        <v>51</v>
      </c>
      <c r="B176" s="2">
        <v>299</v>
      </c>
      <c r="C176" s="3">
        <v>2033</v>
      </c>
      <c r="D176" s="2" t="s">
        <v>254</v>
      </c>
      <c r="E176" s="24" t="s">
        <v>301</v>
      </c>
      <c r="F176" s="2" t="s">
        <v>313</v>
      </c>
      <c r="G176" s="2"/>
      <c r="H176" s="2">
        <f>3497+3934</f>
        <v>7431</v>
      </c>
      <c r="I176" s="20">
        <f>787+885</f>
        <v>1672</v>
      </c>
      <c r="J176" s="26">
        <f>I176/H176</f>
        <v>0.22500336428475307</v>
      </c>
      <c r="K176" s="10" t="s">
        <v>313</v>
      </c>
      <c r="L176" s="10" t="s">
        <v>321</v>
      </c>
      <c r="M176" s="2"/>
      <c r="N176" s="2"/>
      <c r="O176" s="15"/>
    </row>
    <row r="177" spans="1:15" ht="11.4" hidden="1" customHeight="1" x14ac:dyDescent="0.25">
      <c r="A177" s="4" t="s">
        <v>16</v>
      </c>
      <c r="B177" s="2">
        <v>302</v>
      </c>
      <c r="C177" s="3">
        <v>2036</v>
      </c>
      <c r="D177" s="2" t="s">
        <v>330</v>
      </c>
      <c r="E177" s="24" t="s">
        <v>300</v>
      </c>
      <c r="F177" s="2" t="s">
        <v>313</v>
      </c>
      <c r="G177" s="2"/>
      <c r="H177" s="2">
        <f>2411+6464</f>
        <v>8875</v>
      </c>
      <c r="I177" s="20">
        <f>964+2586</f>
        <v>3550</v>
      </c>
      <c r="J177" s="26">
        <f>I177/H177</f>
        <v>0.4</v>
      </c>
      <c r="K177" s="10" t="s">
        <v>313</v>
      </c>
      <c r="L177" s="10"/>
      <c r="M177" s="2"/>
      <c r="N177" s="2"/>
      <c r="O177" s="15"/>
    </row>
    <row r="178" spans="1:15" ht="11.4" hidden="1" customHeight="1" x14ac:dyDescent="0.25">
      <c r="A178" s="4" t="s">
        <v>40</v>
      </c>
      <c r="B178" s="2">
        <v>307</v>
      </c>
      <c r="C178" s="3">
        <v>307</v>
      </c>
      <c r="D178" s="10" t="s">
        <v>373</v>
      </c>
      <c r="E178" s="24" t="s">
        <v>300</v>
      </c>
      <c r="F178" s="2" t="s">
        <v>314</v>
      </c>
      <c r="G178" s="2"/>
      <c r="H178" s="2"/>
      <c r="I178" s="20">
        <f>1419+1820</f>
        <v>3239</v>
      </c>
      <c r="J178" s="20"/>
      <c r="K178" s="2"/>
      <c r="L178" s="10" t="s">
        <v>321</v>
      </c>
      <c r="M178" s="2"/>
      <c r="N178" s="2"/>
      <c r="O178" s="15"/>
    </row>
    <row r="179" spans="1:15" ht="11.4" hidden="1" customHeight="1" x14ac:dyDescent="0.25">
      <c r="A179" s="4" t="s">
        <v>40</v>
      </c>
      <c r="B179" s="2">
        <v>312</v>
      </c>
      <c r="C179" s="3">
        <v>312</v>
      </c>
      <c r="D179" s="2" t="s">
        <v>152</v>
      </c>
      <c r="E179" s="24" t="s">
        <v>300</v>
      </c>
      <c r="F179" s="2" t="s">
        <v>314</v>
      </c>
      <c r="G179" s="2"/>
      <c r="H179" s="2"/>
      <c r="I179" s="20">
        <f>703+2605</f>
        <v>3308</v>
      </c>
      <c r="J179" s="20"/>
      <c r="K179" s="2"/>
      <c r="L179" s="10" t="s">
        <v>321</v>
      </c>
      <c r="M179" s="2"/>
      <c r="N179" s="2"/>
      <c r="O179" s="15"/>
    </row>
    <row r="180" spans="1:15" ht="11.4" hidden="1" customHeight="1" x14ac:dyDescent="0.25">
      <c r="A180" s="4" t="s">
        <v>40</v>
      </c>
      <c r="B180" s="2">
        <v>312</v>
      </c>
      <c r="C180" s="3">
        <v>2031</v>
      </c>
      <c r="D180" s="2" t="s">
        <v>151</v>
      </c>
      <c r="E180" s="24" t="s">
        <v>300</v>
      </c>
      <c r="F180" s="2" t="s">
        <v>313</v>
      </c>
      <c r="G180" s="2"/>
      <c r="H180" s="2">
        <f>259+3867</f>
        <v>4126</v>
      </c>
      <c r="I180" s="20">
        <f>104+1547</f>
        <v>1651</v>
      </c>
      <c r="J180" s="26">
        <f>I180/H180</f>
        <v>0.4001454192922928</v>
      </c>
      <c r="K180" s="10" t="s">
        <v>313</v>
      </c>
      <c r="L180" s="10"/>
      <c r="M180" s="2"/>
      <c r="N180" s="2"/>
      <c r="O180" s="15"/>
    </row>
    <row r="181" spans="1:15" ht="11.4" hidden="1" customHeight="1" x14ac:dyDescent="0.25">
      <c r="A181" s="4" t="s">
        <v>17</v>
      </c>
      <c r="B181" s="2">
        <v>322</v>
      </c>
      <c r="C181" s="3">
        <v>322</v>
      </c>
      <c r="D181" s="2" t="s">
        <v>331</v>
      </c>
      <c r="E181" s="24" t="s">
        <v>300</v>
      </c>
      <c r="F181" s="2" t="s">
        <v>314</v>
      </c>
      <c r="G181" s="2"/>
      <c r="H181" s="2"/>
      <c r="I181" s="20">
        <f>567+1190</f>
        <v>1757</v>
      </c>
      <c r="J181" s="20"/>
      <c r="K181" s="2"/>
      <c r="L181" s="10" t="s">
        <v>321</v>
      </c>
      <c r="M181" s="2"/>
      <c r="N181" s="2"/>
      <c r="O181" s="15"/>
    </row>
    <row r="182" spans="1:15" ht="11.4" customHeight="1" x14ac:dyDescent="0.25">
      <c r="A182" s="4" t="s">
        <v>61</v>
      </c>
      <c r="B182" s="2">
        <v>323</v>
      </c>
      <c r="C182" s="3">
        <v>323</v>
      </c>
      <c r="D182" s="2" t="s">
        <v>291</v>
      </c>
      <c r="E182" s="24" t="s">
        <v>303</v>
      </c>
      <c r="F182" s="2" t="s">
        <v>314</v>
      </c>
      <c r="G182" s="2"/>
      <c r="H182" s="2"/>
      <c r="I182" s="20">
        <f>159+1254+3</f>
        <v>1416</v>
      </c>
      <c r="J182" s="20"/>
      <c r="K182" s="2"/>
      <c r="L182" s="10"/>
      <c r="M182" s="10" t="s">
        <v>322</v>
      </c>
      <c r="N182" s="2"/>
      <c r="O182" s="15"/>
    </row>
    <row r="183" spans="1:15" ht="11.4" hidden="1" customHeight="1" x14ac:dyDescent="0.25">
      <c r="A183" s="4" t="s">
        <v>49</v>
      </c>
      <c r="B183" s="2">
        <v>325</v>
      </c>
      <c r="C183" s="3">
        <v>325</v>
      </c>
      <c r="D183" s="2" t="s">
        <v>221</v>
      </c>
      <c r="E183" s="24" t="s">
        <v>307</v>
      </c>
      <c r="F183" s="2" t="s">
        <v>314</v>
      </c>
      <c r="G183" s="2"/>
      <c r="H183" s="2"/>
      <c r="I183" s="20">
        <f>183+201</f>
        <v>384</v>
      </c>
      <c r="J183" s="20"/>
      <c r="K183" s="2"/>
      <c r="L183" s="10" t="s">
        <v>321</v>
      </c>
      <c r="M183" s="2"/>
      <c r="N183" s="2"/>
      <c r="O183" s="15"/>
    </row>
    <row r="184" spans="1:15" ht="11.4" hidden="1" customHeight="1" x14ac:dyDescent="0.25">
      <c r="A184" s="4" t="s">
        <v>49</v>
      </c>
      <c r="B184" s="2">
        <v>326</v>
      </c>
      <c r="C184" s="3">
        <v>326</v>
      </c>
      <c r="D184" s="2" t="s">
        <v>256</v>
      </c>
      <c r="E184" s="24" t="s">
        <v>307</v>
      </c>
      <c r="F184" s="2" t="s">
        <v>314</v>
      </c>
      <c r="G184" s="2"/>
      <c r="H184" s="2"/>
      <c r="I184" s="20">
        <f>155+309</f>
        <v>464</v>
      </c>
      <c r="J184" s="20"/>
      <c r="K184" s="2"/>
      <c r="L184" s="10" t="s">
        <v>321</v>
      </c>
      <c r="M184" s="2"/>
      <c r="N184" s="2"/>
      <c r="O184" s="15"/>
    </row>
    <row r="185" spans="1:15" ht="11.4" hidden="1" customHeight="1" x14ac:dyDescent="0.25">
      <c r="A185" s="4" t="s">
        <v>51</v>
      </c>
      <c r="B185" s="2">
        <v>326</v>
      </c>
      <c r="C185" s="3">
        <v>2034</v>
      </c>
      <c r="D185" s="2" t="s">
        <v>255</v>
      </c>
      <c r="E185" s="24" t="s">
        <v>301</v>
      </c>
      <c r="F185" s="2" t="s">
        <v>313</v>
      </c>
      <c r="G185" s="2"/>
      <c r="H185" s="2">
        <f>6564+6984</f>
        <v>13548</v>
      </c>
      <c r="I185" s="20">
        <f>1477+1571</f>
        <v>3048</v>
      </c>
      <c r="J185" s="26">
        <f>I185/H185</f>
        <v>0.22497785651018601</v>
      </c>
      <c r="K185" s="10" t="s">
        <v>313</v>
      </c>
      <c r="L185" s="10"/>
      <c r="M185" s="2"/>
      <c r="N185" s="2"/>
      <c r="O185" s="15"/>
    </row>
    <row r="186" spans="1:15" ht="11.4" customHeight="1" x14ac:dyDescent="0.25">
      <c r="A186" s="4" t="s">
        <v>30</v>
      </c>
      <c r="B186" s="2">
        <v>330</v>
      </c>
      <c r="C186" s="3">
        <v>330</v>
      </c>
      <c r="D186" s="2" t="s">
        <v>284</v>
      </c>
      <c r="E186" s="24" t="s">
        <v>299</v>
      </c>
      <c r="F186" s="2" t="s">
        <v>314</v>
      </c>
      <c r="G186" s="2"/>
      <c r="H186" s="2"/>
      <c r="I186" s="20">
        <f>431</f>
        <v>431</v>
      </c>
      <c r="J186" s="20"/>
      <c r="K186" s="10" t="s">
        <v>313</v>
      </c>
      <c r="L186" s="10" t="s">
        <v>321</v>
      </c>
      <c r="M186" s="10" t="s">
        <v>322</v>
      </c>
      <c r="N186" s="2"/>
      <c r="O186" s="15"/>
    </row>
    <row r="187" spans="1:15" ht="11.4" customHeight="1" x14ac:dyDescent="0.25">
      <c r="A187" s="4" t="s">
        <v>7</v>
      </c>
      <c r="B187" s="2">
        <v>331</v>
      </c>
      <c r="C187" s="3">
        <v>331</v>
      </c>
      <c r="D187" s="2" t="s">
        <v>77</v>
      </c>
      <c r="E187" s="24" t="s">
        <v>299</v>
      </c>
      <c r="F187" s="2" t="s">
        <v>314</v>
      </c>
      <c r="G187" s="2"/>
      <c r="H187" s="2"/>
      <c r="I187" s="20">
        <f>12+364</f>
        <v>376</v>
      </c>
      <c r="J187" s="20"/>
      <c r="K187" s="10" t="s">
        <v>313</v>
      </c>
      <c r="L187" s="10" t="s">
        <v>321</v>
      </c>
      <c r="M187" s="10" t="s">
        <v>322</v>
      </c>
      <c r="N187" s="2"/>
    </row>
    <row r="188" spans="1:15" ht="11.4" hidden="1" customHeight="1" x14ac:dyDescent="0.25">
      <c r="A188" s="4" t="s">
        <v>15</v>
      </c>
      <c r="B188" s="2">
        <v>340</v>
      </c>
      <c r="C188" s="3">
        <v>2281</v>
      </c>
      <c r="D188" s="2" t="s">
        <v>341</v>
      </c>
      <c r="E188" s="24" t="s">
        <v>300</v>
      </c>
      <c r="F188" s="2" t="s">
        <v>313</v>
      </c>
      <c r="G188" s="2"/>
      <c r="H188" s="2">
        <f>4478+6674</f>
        <v>11152</v>
      </c>
      <c r="I188" s="20">
        <f>1791+2670</f>
        <v>4461</v>
      </c>
      <c r="J188" s="26">
        <f>I188/H188</f>
        <v>0.40001793400286945</v>
      </c>
      <c r="K188" s="10" t="s">
        <v>313</v>
      </c>
      <c r="L188" s="10"/>
      <c r="M188" s="2"/>
      <c r="N188" s="2"/>
      <c r="O188" s="15"/>
    </row>
    <row r="189" spans="1:15" ht="11.4" hidden="1" customHeight="1" x14ac:dyDescent="0.25">
      <c r="A189" s="4" t="s">
        <v>44</v>
      </c>
      <c r="B189" s="2">
        <v>343</v>
      </c>
      <c r="C189" s="3">
        <v>343</v>
      </c>
      <c r="D189" s="2" t="s">
        <v>209</v>
      </c>
      <c r="E189" s="24" t="s">
        <v>298</v>
      </c>
      <c r="F189" s="2" t="s">
        <v>314</v>
      </c>
      <c r="G189" s="2"/>
      <c r="H189" s="2"/>
      <c r="I189" s="20">
        <f>23+99</f>
        <v>122</v>
      </c>
      <c r="J189" s="20"/>
      <c r="K189" s="2"/>
      <c r="L189" s="10" t="s">
        <v>321</v>
      </c>
      <c r="M189" s="2"/>
      <c r="N189" s="2"/>
      <c r="O189" s="15"/>
    </row>
    <row r="190" spans="1:15" ht="11.4" customHeight="1" x14ac:dyDescent="0.25">
      <c r="A190" s="4" t="s">
        <v>44</v>
      </c>
      <c r="B190" s="2">
        <v>343</v>
      </c>
      <c r="C190" s="3">
        <v>343</v>
      </c>
      <c r="D190" s="2" t="s">
        <v>209</v>
      </c>
      <c r="E190" s="24" t="s">
        <v>299</v>
      </c>
      <c r="F190" s="2" t="s">
        <v>314</v>
      </c>
      <c r="G190" s="2"/>
      <c r="H190" s="2"/>
      <c r="I190" s="20">
        <f>63+233</f>
        <v>296</v>
      </c>
      <c r="J190" s="20"/>
      <c r="K190" s="10" t="s">
        <v>313</v>
      </c>
      <c r="L190" s="10" t="s">
        <v>321</v>
      </c>
      <c r="M190" s="10" t="s">
        <v>322</v>
      </c>
      <c r="N190" s="2"/>
      <c r="O190" s="15"/>
    </row>
    <row r="191" spans="1:15" ht="11.4" hidden="1" customHeight="1" x14ac:dyDescent="0.25">
      <c r="A191" s="4" t="s">
        <v>5</v>
      </c>
      <c r="B191" s="2">
        <v>356</v>
      </c>
      <c r="C191" s="3">
        <v>356</v>
      </c>
      <c r="D191" s="2" t="s">
        <v>112</v>
      </c>
      <c r="E191" s="24" t="s">
        <v>307</v>
      </c>
      <c r="F191" s="2" t="s">
        <v>314</v>
      </c>
      <c r="G191" s="2"/>
      <c r="H191" s="2"/>
      <c r="I191" s="20">
        <f>20+1426</f>
        <v>1446</v>
      </c>
      <c r="J191" s="20"/>
      <c r="K191" s="2"/>
      <c r="L191" s="10" t="s">
        <v>321</v>
      </c>
      <c r="M191" s="2"/>
      <c r="N191" s="2"/>
      <c r="O191" s="15"/>
    </row>
    <row r="192" spans="1:15" ht="11.4" hidden="1" customHeight="1" x14ac:dyDescent="0.25">
      <c r="A192" s="4" t="s">
        <v>5</v>
      </c>
      <c r="B192" s="2">
        <v>356</v>
      </c>
      <c r="C192" s="3">
        <v>356</v>
      </c>
      <c r="D192" s="2" t="s">
        <v>112</v>
      </c>
      <c r="E192" s="24" t="s">
        <v>302</v>
      </c>
      <c r="F192" s="2" t="s">
        <v>314</v>
      </c>
      <c r="G192" s="2"/>
      <c r="H192" s="2"/>
      <c r="I192" s="20">
        <f>64+749</f>
        <v>813</v>
      </c>
      <c r="J192" s="20"/>
      <c r="K192" s="2"/>
      <c r="L192" s="10" t="s">
        <v>321</v>
      </c>
      <c r="M192" s="2"/>
      <c r="N192" s="2"/>
      <c r="O192" s="15"/>
    </row>
    <row r="193" spans="1:15" ht="11.4" hidden="1" customHeight="1" x14ac:dyDescent="0.25">
      <c r="A193" s="4" t="s">
        <v>2</v>
      </c>
      <c r="B193" s="2">
        <v>363</v>
      </c>
      <c r="C193" s="3">
        <v>363</v>
      </c>
      <c r="D193" s="2" t="s">
        <v>67</v>
      </c>
      <c r="E193" s="24" t="s">
        <v>301</v>
      </c>
      <c r="F193" s="2" t="s">
        <v>314</v>
      </c>
      <c r="G193" s="2"/>
      <c r="H193" s="2"/>
      <c r="I193" s="20">
        <v>2272</v>
      </c>
      <c r="J193" s="20"/>
      <c r="K193" s="2"/>
      <c r="L193" s="10" t="s">
        <v>321</v>
      </c>
      <c r="M193" s="2"/>
      <c r="N193" s="2"/>
    </row>
    <row r="194" spans="1:15" ht="11.4" hidden="1" customHeight="1" x14ac:dyDescent="0.25">
      <c r="A194" s="4" t="s">
        <v>40</v>
      </c>
      <c r="B194" s="2">
        <v>370</v>
      </c>
      <c r="C194" s="3">
        <v>2039</v>
      </c>
      <c r="D194" s="2" t="s">
        <v>227</v>
      </c>
      <c r="E194" s="24" t="s">
        <v>300</v>
      </c>
      <c r="F194" s="2" t="s">
        <v>313</v>
      </c>
      <c r="G194" s="2"/>
      <c r="H194" s="2">
        <f>604+5785</f>
        <v>6389</v>
      </c>
      <c r="I194" s="20">
        <f>181+1736</f>
        <v>1917</v>
      </c>
      <c r="J194" s="26">
        <f>I194/H194</f>
        <v>0.30004695570511819</v>
      </c>
      <c r="K194" s="10" t="s">
        <v>313</v>
      </c>
      <c r="L194" s="10"/>
      <c r="M194" s="2"/>
      <c r="N194" s="2"/>
      <c r="O194" s="15"/>
    </row>
    <row r="195" spans="1:15" ht="11.4" hidden="1" customHeight="1" x14ac:dyDescent="0.25">
      <c r="A195" s="4" t="s">
        <v>48</v>
      </c>
      <c r="B195" s="2">
        <v>436</v>
      </c>
      <c r="C195" s="3">
        <v>436</v>
      </c>
      <c r="D195" s="2" t="s">
        <v>219</v>
      </c>
      <c r="E195" s="24" t="s">
        <v>305</v>
      </c>
      <c r="F195" s="2" t="s">
        <v>314</v>
      </c>
      <c r="G195" s="2"/>
      <c r="H195" s="2"/>
      <c r="I195" s="20">
        <f>69+69+351+4561</f>
        <v>5050</v>
      </c>
      <c r="J195" s="20"/>
      <c r="K195" s="2"/>
      <c r="L195" s="10" t="s">
        <v>321</v>
      </c>
      <c r="M195" s="2"/>
      <c r="N195" s="2"/>
      <c r="O195" s="15"/>
    </row>
    <row r="196" spans="1:15" ht="11.4" hidden="1" customHeight="1" x14ac:dyDescent="0.25">
      <c r="A196" s="4" t="s">
        <v>48</v>
      </c>
      <c r="B196" s="2">
        <v>453</v>
      </c>
      <c r="C196" s="3">
        <v>453</v>
      </c>
      <c r="D196" s="2" t="s">
        <v>249</v>
      </c>
      <c r="E196" s="24" t="s">
        <v>303</v>
      </c>
      <c r="F196" s="2" t="s">
        <v>314</v>
      </c>
      <c r="G196" s="2"/>
      <c r="H196" s="2"/>
      <c r="I196" s="20">
        <f>39+1781</f>
        <v>1820</v>
      </c>
      <c r="J196" s="20"/>
      <c r="K196" s="2"/>
      <c r="L196" s="10" t="s">
        <v>321</v>
      </c>
      <c r="M196" s="2"/>
      <c r="N196" s="2"/>
      <c r="O196" s="15"/>
    </row>
    <row r="197" spans="1:15" ht="11.4" hidden="1" customHeight="1" x14ac:dyDescent="0.25">
      <c r="A197" s="4" t="s">
        <v>48</v>
      </c>
      <c r="B197" s="2">
        <v>453</v>
      </c>
      <c r="C197" s="3">
        <v>453</v>
      </c>
      <c r="D197" s="2" t="s">
        <v>249</v>
      </c>
      <c r="E197" s="24" t="s">
        <v>305</v>
      </c>
      <c r="F197" s="2" t="s">
        <v>314</v>
      </c>
      <c r="G197" s="2"/>
      <c r="H197" s="2"/>
      <c r="I197" s="20">
        <f>1182+1940</f>
        <v>3122</v>
      </c>
      <c r="J197" s="20"/>
      <c r="K197" s="2"/>
      <c r="L197" s="10" t="s">
        <v>321</v>
      </c>
      <c r="M197" s="2"/>
      <c r="N197" s="2"/>
      <c r="O197" s="15"/>
    </row>
    <row r="198" spans="1:15" ht="11.4" hidden="1" customHeight="1" x14ac:dyDescent="0.25">
      <c r="A198" s="4" t="s">
        <v>7</v>
      </c>
      <c r="B198" s="2">
        <v>462</v>
      </c>
      <c r="C198" s="3">
        <v>462</v>
      </c>
      <c r="D198" s="2" t="s">
        <v>74</v>
      </c>
      <c r="E198" s="24" t="s">
        <v>304</v>
      </c>
      <c r="F198" s="2" t="s">
        <v>314</v>
      </c>
      <c r="G198" s="2"/>
      <c r="H198" s="2"/>
      <c r="I198" s="20">
        <v>4784</v>
      </c>
      <c r="J198" s="20"/>
      <c r="K198" s="10" t="s">
        <v>313</v>
      </c>
      <c r="L198" s="10"/>
      <c r="M198" s="2"/>
      <c r="N198" s="2"/>
    </row>
    <row r="199" spans="1:15" ht="11.4" customHeight="1" x14ac:dyDescent="0.25">
      <c r="A199" s="4" t="s">
        <v>7</v>
      </c>
      <c r="B199" s="2">
        <v>462</v>
      </c>
      <c r="C199" s="3">
        <v>462</v>
      </c>
      <c r="D199" s="2" t="s">
        <v>74</v>
      </c>
      <c r="E199" s="24" t="s">
        <v>299</v>
      </c>
      <c r="F199" s="2" t="s">
        <v>314</v>
      </c>
      <c r="G199" s="2"/>
      <c r="H199" s="2"/>
      <c r="I199" s="20">
        <f>91+3031</f>
        <v>3122</v>
      </c>
      <c r="J199" s="20"/>
      <c r="K199" s="10" t="s">
        <v>313</v>
      </c>
      <c r="L199" s="10" t="s">
        <v>321</v>
      </c>
      <c r="M199" s="10" t="s">
        <v>322</v>
      </c>
      <c r="N199" s="2"/>
    </row>
    <row r="200" spans="1:15" ht="11.4" hidden="1" customHeight="1" x14ac:dyDescent="0.25">
      <c r="A200" s="4" t="s">
        <v>12</v>
      </c>
      <c r="B200" s="2">
        <v>464</v>
      </c>
      <c r="C200" s="3">
        <v>464</v>
      </c>
      <c r="D200" s="10" t="s">
        <v>374</v>
      </c>
      <c r="E200" s="24" t="s">
        <v>302</v>
      </c>
      <c r="F200" s="2" t="s">
        <v>314</v>
      </c>
      <c r="G200" s="2"/>
      <c r="H200" s="2"/>
      <c r="I200" s="20">
        <f>369+1287</f>
        <v>1656</v>
      </c>
      <c r="J200" s="20"/>
      <c r="K200" s="2"/>
      <c r="L200" s="10" t="s">
        <v>321</v>
      </c>
      <c r="M200" s="2"/>
      <c r="N200" s="2"/>
      <c r="O200" s="15"/>
    </row>
    <row r="201" spans="1:15" ht="11.4" hidden="1" customHeight="1" x14ac:dyDescent="0.25">
      <c r="A201" s="4" t="s">
        <v>18</v>
      </c>
      <c r="B201" s="2">
        <v>466</v>
      </c>
      <c r="C201" s="3">
        <v>466</v>
      </c>
      <c r="D201" s="2" t="s">
        <v>230</v>
      </c>
      <c r="E201" s="24" t="s">
        <v>307</v>
      </c>
      <c r="F201" s="2" t="s">
        <v>314</v>
      </c>
      <c r="G201" s="2"/>
      <c r="H201" s="2"/>
      <c r="I201" s="20">
        <f>1372+3804</f>
        <v>5176</v>
      </c>
      <c r="J201" s="20"/>
      <c r="K201" s="2"/>
      <c r="L201" s="10" t="s">
        <v>321</v>
      </c>
      <c r="M201" s="2"/>
      <c r="N201" s="2"/>
      <c r="O201" s="15"/>
    </row>
    <row r="202" spans="1:15" ht="11.4" hidden="1" customHeight="1" x14ac:dyDescent="0.25">
      <c r="A202" s="4" t="s">
        <v>18</v>
      </c>
      <c r="B202" s="2">
        <v>466</v>
      </c>
      <c r="C202" s="3">
        <v>466</v>
      </c>
      <c r="D202" s="2" t="s">
        <v>230</v>
      </c>
      <c r="E202" s="24" t="s">
        <v>305</v>
      </c>
      <c r="F202" s="2" t="s">
        <v>314</v>
      </c>
      <c r="G202" s="2"/>
      <c r="H202" s="2"/>
      <c r="I202" s="20">
        <f>35+1294</f>
        <v>1329</v>
      </c>
      <c r="J202" s="20"/>
      <c r="K202" s="2"/>
      <c r="L202" s="10" t="s">
        <v>321</v>
      </c>
      <c r="M202" s="2"/>
      <c r="N202" s="2"/>
      <c r="O202" s="15"/>
    </row>
    <row r="203" spans="1:15" ht="11.4" hidden="1" customHeight="1" x14ac:dyDescent="0.25">
      <c r="A203" s="4" t="s">
        <v>56</v>
      </c>
      <c r="B203" s="2">
        <v>466</v>
      </c>
      <c r="C203" s="3">
        <v>2164</v>
      </c>
      <c r="D203" s="2" t="s">
        <v>352</v>
      </c>
      <c r="E203" s="24" t="s">
        <v>306</v>
      </c>
      <c r="F203" s="2" t="s">
        <v>313</v>
      </c>
      <c r="G203" s="2"/>
      <c r="H203" s="2">
        <f>15713+18223</f>
        <v>33936</v>
      </c>
      <c r="I203" s="20">
        <f>5908+6852</f>
        <v>12760</v>
      </c>
      <c r="J203" s="26">
        <f>I203/H203</f>
        <v>0.37600188590287598</v>
      </c>
      <c r="K203" s="10" t="s">
        <v>313</v>
      </c>
      <c r="L203" s="10" t="s">
        <v>321</v>
      </c>
      <c r="M203" s="2"/>
      <c r="N203" s="2"/>
      <c r="O203" s="15"/>
    </row>
    <row r="204" spans="1:15" ht="11.4" hidden="1" customHeight="1" x14ac:dyDescent="0.25">
      <c r="A204" s="4" t="s">
        <v>15</v>
      </c>
      <c r="B204" s="2">
        <v>470</v>
      </c>
      <c r="C204" s="3">
        <v>2116</v>
      </c>
      <c r="D204" s="2" t="s">
        <v>164</v>
      </c>
      <c r="E204" s="24" t="s">
        <v>300</v>
      </c>
      <c r="F204" s="2" t="s">
        <v>313</v>
      </c>
      <c r="G204" s="2"/>
      <c r="H204" s="2">
        <f>294+585</f>
        <v>879</v>
      </c>
      <c r="I204" s="20">
        <f>118+234</f>
        <v>352</v>
      </c>
      <c r="J204" s="26">
        <f>I204/H204</f>
        <v>0.40045506257110353</v>
      </c>
      <c r="K204" s="10" t="s">
        <v>313</v>
      </c>
      <c r="L204" s="10"/>
      <c r="M204" s="2"/>
      <c r="N204" s="2"/>
      <c r="O204" s="15"/>
    </row>
    <row r="205" spans="1:15" ht="11.4" hidden="1" customHeight="1" x14ac:dyDescent="0.25">
      <c r="A205" s="4" t="s">
        <v>8</v>
      </c>
      <c r="B205" s="2">
        <v>525</v>
      </c>
      <c r="C205" s="3">
        <v>525</v>
      </c>
      <c r="D205" s="2" t="s">
        <v>107</v>
      </c>
      <c r="E205" s="24" t="s">
        <v>307</v>
      </c>
      <c r="F205" s="2" t="s">
        <v>314</v>
      </c>
      <c r="G205" s="2"/>
      <c r="H205" s="2"/>
      <c r="I205" s="20">
        <f>546+11680</f>
        <v>12226</v>
      </c>
      <c r="J205" s="20"/>
      <c r="K205" s="2"/>
      <c r="L205" s="10" t="s">
        <v>321</v>
      </c>
      <c r="M205" s="2"/>
      <c r="N205" s="2"/>
      <c r="O205" s="15"/>
    </row>
    <row r="206" spans="1:15" ht="11.4" hidden="1" customHeight="1" x14ac:dyDescent="0.25">
      <c r="A206" s="4" t="s">
        <v>20</v>
      </c>
      <c r="B206" s="2">
        <v>525</v>
      </c>
      <c r="C206" s="3">
        <v>1215</v>
      </c>
      <c r="D206" s="29" t="s">
        <v>102</v>
      </c>
      <c r="E206" s="30" t="s">
        <v>301</v>
      </c>
      <c r="F206" s="29" t="s">
        <v>314</v>
      </c>
      <c r="G206" s="29"/>
      <c r="H206" s="29"/>
      <c r="I206" s="31">
        <v>147</v>
      </c>
      <c r="J206" s="31"/>
      <c r="K206" s="32" t="s">
        <v>313</v>
      </c>
      <c r="L206" s="32" t="s">
        <v>321</v>
      </c>
      <c r="M206" s="29"/>
      <c r="N206" s="29"/>
      <c r="O206" s="15"/>
    </row>
    <row r="207" spans="1:15" ht="11.4" hidden="1" customHeight="1" x14ac:dyDescent="0.25">
      <c r="A207" s="4" t="s">
        <v>8</v>
      </c>
      <c r="B207" s="2">
        <v>533</v>
      </c>
      <c r="C207" s="3">
        <v>533</v>
      </c>
      <c r="D207" s="2" t="s">
        <v>109</v>
      </c>
      <c r="E207" s="24" t="s">
        <v>302</v>
      </c>
      <c r="F207" s="2" t="s">
        <v>314</v>
      </c>
      <c r="G207" s="2"/>
      <c r="H207" s="2"/>
      <c r="I207" s="20">
        <f>253+1385</f>
        <v>1638</v>
      </c>
      <c r="J207" s="20"/>
      <c r="K207" s="2"/>
      <c r="L207" s="10" t="s">
        <v>321</v>
      </c>
      <c r="M207" s="2"/>
      <c r="N207" s="2"/>
      <c r="O207" s="15"/>
    </row>
    <row r="208" spans="1:15" ht="11.4" customHeight="1" x14ac:dyDescent="0.25">
      <c r="A208" s="4" t="s">
        <v>4</v>
      </c>
      <c r="B208" s="2">
        <v>540</v>
      </c>
      <c r="C208" s="3">
        <v>540</v>
      </c>
      <c r="D208" s="2" t="s">
        <v>153</v>
      </c>
      <c r="E208" s="24" t="s">
        <v>303</v>
      </c>
      <c r="F208" s="2" t="s">
        <v>314</v>
      </c>
      <c r="G208" s="2"/>
      <c r="H208" s="2"/>
      <c r="I208" s="20">
        <f>189+1317+3</f>
        <v>1509</v>
      </c>
      <c r="J208" s="20"/>
      <c r="K208" s="2"/>
      <c r="L208" s="10"/>
      <c r="M208" s="10" t="s">
        <v>322</v>
      </c>
      <c r="N208" s="2"/>
      <c r="O208" s="15"/>
    </row>
    <row r="209" spans="1:15" ht="11.4" hidden="1" customHeight="1" x14ac:dyDescent="0.25">
      <c r="A209" s="4" t="s">
        <v>14</v>
      </c>
      <c r="B209" s="2">
        <v>541</v>
      </c>
      <c r="C209" s="3">
        <v>541</v>
      </c>
      <c r="D209" s="2" t="s">
        <v>94</v>
      </c>
      <c r="E209" s="24" t="s">
        <v>300</v>
      </c>
      <c r="F209" s="2" t="s">
        <v>314</v>
      </c>
      <c r="G209" s="2"/>
      <c r="H209" s="2"/>
      <c r="I209" s="20">
        <f>422+553</f>
        <v>975</v>
      </c>
      <c r="J209" s="20"/>
      <c r="K209" s="2"/>
      <c r="L209" s="10" t="s">
        <v>321</v>
      </c>
      <c r="M209" s="2"/>
      <c r="N209" s="2"/>
      <c r="O209" s="15"/>
    </row>
    <row r="210" spans="1:15" ht="11.4" hidden="1" customHeight="1" x14ac:dyDescent="0.25">
      <c r="A210" s="4" t="s">
        <v>56</v>
      </c>
      <c r="B210" s="2">
        <v>546</v>
      </c>
      <c r="C210" s="3">
        <v>2156</v>
      </c>
      <c r="D210" s="2" t="s">
        <v>271</v>
      </c>
      <c r="E210" s="24" t="s">
        <v>306</v>
      </c>
      <c r="F210" s="2" t="s">
        <v>313</v>
      </c>
      <c r="G210" s="2"/>
      <c r="H210" s="2">
        <f>2055+7056</f>
        <v>9111</v>
      </c>
      <c r="I210" s="20">
        <f>493+1693</f>
        <v>2186</v>
      </c>
      <c r="J210" s="26">
        <f>I210/H210</f>
        <v>0.23992975524091759</v>
      </c>
      <c r="K210" s="10" t="s">
        <v>313</v>
      </c>
      <c r="L210" s="10" t="s">
        <v>321</v>
      </c>
      <c r="M210" s="2"/>
      <c r="N210" s="2"/>
      <c r="O210" s="15"/>
    </row>
    <row r="211" spans="1:15" ht="11.4" hidden="1" customHeight="1" x14ac:dyDescent="0.25">
      <c r="A211" s="4" t="s">
        <v>47</v>
      </c>
      <c r="B211" s="2">
        <v>550</v>
      </c>
      <c r="C211" s="3">
        <v>2369</v>
      </c>
      <c r="D211" s="32" t="s">
        <v>366</v>
      </c>
      <c r="E211" s="30" t="s">
        <v>301</v>
      </c>
      <c r="F211" s="32" t="s">
        <v>313</v>
      </c>
      <c r="G211" s="32"/>
      <c r="H211" s="29">
        <v>516</v>
      </c>
      <c r="I211" s="31">
        <v>142</v>
      </c>
      <c r="J211" s="33">
        <f>I211/H211</f>
        <v>0.27519379844961239</v>
      </c>
      <c r="K211" s="32" t="s">
        <v>313</v>
      </c>
      <c r="L211" s="32"/>
      <c r="M211" s="29"/>
      <c r="N211" s="29"/>
      <c r="O211" s="15"/>
    </row>
    <row r="212" spans="1:15" ht="11.4" hidden="1" customHeight="1" x14ac:dyDescent="0.25">
      <c r="A212" s="4" t="s">
        <v>32</v>
      </c>
      <c r="B212" s="2">
        <v>557</v>
      </c>
      <c r="C212" s="3">
        <v>557</v>
      </c>
      <c r="D212" s="10" t="s">
        <v>361</v>
      </c>
      <c r="E212" s="24" t="s">
        <v>298</v>
      </c>
      <c r="F212" s="2" t="s">
        <v>314</v>
      </c>
      <c r="G212" s="2"/>
      <c r="H212" s="2"/>
      <c r="I212" s="20">
        <v>1514</v>
      </c>
      <c r="J212" s="20"/>
      <c r="K212" s="2"/>
      <c r="L212" s="10" t="s">
        <v>321</v>
      </c>
      <c r="M212" s="2"/>
      <c r="N212" s="2"/>
      <c r="O212" s="15"/>
    </row>
    <row r="213" spans="1:15" ht="11.4" hidden="1" customHeight="1" x14ac:dyDescent="0.25">
      <c r="A213" s="4" t="s">
        <v>32</v>
      </c>
      <c r="B213" s="2">
        <v>557</v>
      </c>
      <c r="C213" s="3">
        <v>557</v>
      </c>
      <c r="D213" s="10" t="s">
        <v>361</v>
      </c>
      <c r="E213" s="24" t="s">
        <v>362</v>
      </c>
      <c r="F213" s="2" t="s">
        <v>314</v>
      </c>
      <c r="G213" s="2"/>
      <c r="H213" s="2"/>
      <c r="I213" s="20">
        <v>1429</v>
      </c>
      <c r="J213" s="20"/>
      <c r="K213" s="2"/>
      <c r="L213" s="10" t="s">
        <v>321</v>
      </c>
      <c r="M213" s="2"/>
      <c r="N213" s="2"/>
      <c r="O213" s="15"/>
    </row>
    <row r="214" spans="1:15" ht="11.4" hidden="1" customHeight="1" x14ac:dyDescent="0.25">
      <c r="A214" s="4" t="s">
        <v>46</v>
      </c>
      <c r="B214" s="2">
        <v>559</v>
      </c>
      <c r="C214" s="3">
        <v>559</v>
      </c>
      <c r="D214" s="2" t="s">
        <v>228</v>
      </c>
      <c r="E214" s="24" t="s">
        <v>307</v>
      </c>
      <c r="F214" s="2" t="s">
        <v>314</v>
      </c>
      <c r="G214" s="2"/>
      <c r="H214" s="2"/>
      <c r="I214" s="20">
        <f>1141+1290</f>
        <v>2431</v>
      </c>
      <c r="J214" s="20"/>
      <c r="K214" s="2"/>
      <c r="L214" s="10" t="s">
        <v>321</v>
      </c>
      <c r="M214" s="2"/>
      <c r="N214" s="2"/>
      <c r="O214" s="15"/>
    </row>
    <row r="215" spans="1:15" ht="11.4" customHeight="1" x14ac:dyDescent="0.25">
      <c r="A215" s="4" t="s">
        <v>4</v>
      </c>
      <c r="B215" s="2">
        <v>561</v>
      </c>
      <c r="C215" s="3">
        <v>561</v>
      </c>
      <c r="D215" s="2" t="s">
        <v>108</v>
      </c>
      <c r="E215" s="24" t="s">
        <v>303</v>
      </c>
      <c r="F215" s="2" t="s">
        <v>314</v>
      </c>
      <c r="G215" s="2"/>
      <c r="H215" s="2"/>
      <c r="I215" s="20">
        <f>45+57</f>
        <v>102</v>
      </c>
      <c r="J215" s="20"/>
      <c r="K215" s="2"/>
      <c r="L215" s="10"/>
      <c r="M215" s="10" t="s">
        <v>322</v>
      </c>
      <c r="N215" s="2"/>
      <c r="O215" s="15"/>
    </row>
    <row r="216" spans="1:15" ht="11.4" hidden="1" customHeight="1" x14ac:dyDescent="0.25">
      <c r="A216" s="4" t="s">
        <v>4</v>
      </c>
      <c r="B216" s="2">
        <v>561</v>
      </c>
      <c r="C216" s="3">
        <v>561</v>
      </c>
      <c r="D216" s="2" t="s">
        <v>108</v>
      </c>
      <c r="E216" s="24" t="s">
        <v>302</v>
      </c>
      <c r="F216" s="2" t="s">
        <v>314</v>
      </c>
      <c r="G216" s="2"/>
      <c r="H216" s="2"/>
      <c r="I216" s="20">
        <v>228</v>
      </c>
      <c r="J216" s="20"/>
      <c r="K216" s="2"/>
      <c r="L216" s="10" t="s">
        <v>321</v>
      </c>
      <c r="M216" s="2"/>
      <c r="N216" s="2"/>
      <c r="O216" s="15"/>
    </row>
    <row r="217" spans="1:15" ht="11.4" customHeight="1" x14ac:dyDescent="0.25">
      <c r="A217" s="4" t="s">
        <v>40</v>
      </c>
      <c r="B217" s="2">
        <v>575</v>
      </c>
      <c r="C217" s="3">
        <v>575</v>
      </c>
      <c r="D217" s="2" t="s">
        <v>283</v>
      </c>
      <c r="E217" s="24" t="s">
        <v>303</v>
      </c>
      <c r="F217" s="2" t="s">
        <v>314</v>
      </c>
      <c r="G217" s="2"/>
      <c r="H217" s="2"/>
      <c r="I217" s="20">
        <v>568</v>
      </c>
      <c r="J217" s="20"/>
      <c r="K217" s="2"/>
      <c r="L217" s="10" t="s">
        <v>321</v>
      </c>
      <c r="M217" s="10" t="s">
        <v>322</v>
      </c>
      <c r="N217" s="2"/>
      <c r="O217" s="15"/>
    </row>
    <row r="218" spans="1:15" ht="11.4" hidden="1" customHeight="1" x14ac:dyDescent="0.25">
      <c r="A218" s="4" t="s">
        <v>40</v>
      </c>
      <c r="B218" s="2">
        <v>575</v>
      </c>
      <c r="C218" s="3">
        <v>575</v>
      </c>
      <c r="D218" s="2" t="s">
        <v>283</v>
      </c>
      <c r="E218" s="24" t="s">
        <v>302</v>
      </c>
      <c r="F218" s="2" t="s">
        <v>314</v>
      </c>
      <c r="G218" s="2"/>
      <c r="H218" s="2"/>
      <c r="I218" s="20">
        <v>47</v>
      </c>
      <c r="J218" s="20"/>
      <c r="K218" s="2"/>
      <c r="L218" s="10" t="s">
        <v>321</v>
      </c>
      <c r="M218" s="2"/>
      <c r="N218" s="2"/>
      <c r="O218" s="15"/>
    </row>
    <row r="219" spans="1:15" ht="11.4" customHeight="1" x14ac:dyDescent="0.25">
      <c r="A219" s="4" t="s">
        <v>14</v>
      </c>
      <c r="B219" s="2">
        <v>578</v>
      </c>
      <c r="C219" s="3">
        <v>578</v>
      </c>
      <c r="D219" s="2" t="s">
        <v>282</v>
      </c>
      <c r="E219" s="24" t="s">
        <v>303</v>
      </c>
      <c r="F219" s="2" t="s">
        <v>314</v>
      </c>
      <c r="G219" s="2"/>
      <c r="H219" s="2"/>
      <c r="I219" s="20">
        <f>18+746</f>
        <v>764</v>
      </c>
      <c r="J219" s="20"/>
      <c r="K219" s="2"/>
      <c r="L219" s="10" t="s">
        <v>321</v>
      </c>
      <c r="M219" s="10" t="s">
        <v>322</v>
      </c>
      <c r="N219" s="2"/>
      <c r="O219" s="15"/>
    </row>
    <row r="220" spans="1:15" ht="11.4" hidden="1" customHeight="1" x14ac:dyDescent="0.25">
      <c r="A220" s="4" t="s">
        <v>14</v>
      </c>
      <c r="B220" s="2">
        <v>578</v>
      </c>
      <c r="C220" s="3">
        <v>578</v>
      </c>
      <c r="D220" s="2" t="s">
        <v>282</v>
      </c>
      <c r="E220" s="24" t="s">
        <v>305</v>
      </c>
      <c r="F220" s="2" t="s">
        <v>314</v>
      </c>
      <c r="G220" s="2"/>
      <c r="H220" s="2"/>
      <c r="I220" s="20">
        <f>59+674</f>
        <v>733</v>
      </c>
      <c r="J220" s="20"/>
      <c r="K220" s="2"/>
      <c r="L220" s="10" t="s">
        <v>321</v>
      </c>
      <c r="M220" s="2"/>
      <c r="N220" s="2"/>
      <c r="O220" s="15"/>
    </row>
    <row r="221" spans="1:15" ht="11.4" hidden="1" customHeight="1" x14ac:dyDescent="0.25">
      <c r="A221" s="4" t="s">
        <v>46</v>
      </c>
      <c r="B221" s="2">
        <v>585</v>
      </c>
      <c r="C221" s="3">
        <v>585</v>
      </c>
      <c r="D221" s="2" t="s">
        <v>216</v>
      </c>
      <c r="E221" s="24" t="s">
        <v>307</v>
      </c>
      <c r="F221" s="2" t="s">
        <v>314</v>
      </c>
      <c r="G221" s="2"/>
      <c r="H221" s="2"/>
      <c r="I221" s="20">
        <f>78+194</f>
        <v>272</v>
      </c>
      <c r="J221" s="20"/>
      <c r="K221" s="2"/>
      <c r="L221" s="10" t="s">
        <v>321</v>
      </c>
      <c r="M221" s="2"/>
      <c r="N221" s="2"/>
      <c r="O221" s="15"/>
    </row>
    <row r="222" spans="1:15" ht="11.4" hidden="1" customHeight="1" x14ac:dyDescent="0.25">
      <c r="A222" s="4" t="s">
        <v>46</v>
      </c>
      <c r="B222" s="2">
        <v>585</v>
      </c>
      <c r="C222" s="3">
        <v>585</v>
      </c>
      <c r="D222" s="2" t="s">
        <v>216</v>
      </c>
      <c r="E222" s="24" t="s">
        <v>305</v>
      </c>
      <c r="F222" s="2" t="s">
        <v>314</v>
      </c>
      <c r="G222" s="2"/>
      <c r="H222" s="2"/>
      <c r="I222" s="20">
        <f>2854+7770</f>
        <v>10624</v>
      </c>
      <c r="J222" s="20"/>
      <c r="K222" s="2"/>
      <c r="L222" s="10" t="s">
        <v>321</v>
      </c>
      <c r="M222" s="2"/>
      <c r="N222" s="2"/>
      <c r="O222" s="15"/>
    </row>
    <row r="223" spans="1:15" ht="11.4" customHeight="1" x14ac:dyDescent="0.25">
      <c r="A223" s="4" t="s">
        <v>30</v>
      </c>
      <c r="B223" s="2">
        <v>589</v>
      </c>
      <c r="C223" s="3">
        <v>589</v>
      </c>
      <c r="D223" s="2" t="s">
        <v>211</v>
      </c>
      <c r="E223" s="24" t="s">
        <v>299</v>
      </c>
      <c r="F223" s="2" t="s">
        <v>314</v>
      </c>
      <c r="G223" s="2"/>
      <c r="H223" s="2"/>
      <c r="I223" s="20">
        <f>35+791</f>
        <v>826</v>
      </c>
      <c r="J223" s="20"/>
      <c r="K223" s="10" t="s">
        <v>313</v>
      </c>
      <c r="L223" s="10" t="s">
        <v>321</v>
      </c>
      <c r="M223" s="10" t="s">
        <v>322</v>
      </c>
      <c r="N223" s="2"/>
      <c r="O223" s="15"/>
    </row>
    <row r="224" spans="1:15" ht="11.4" hidden="1" customHeight="1" x14ac:dyDescent="0.25">
      <c r="A224" s="4" t="s">
        <v>18</v>
      </c>
      <c r="B224" s="2">
        <v>622</v>
      </c>
      <c r="C224" s="3">
        <v>622</v>
      </c>
      <c r="D224" s="2" t="s">
        <v>220</v>
      </c>
      <c r="E224" s="24" t="s">
        <v>305</v>
      </c>
      <c r="F224" s="2" t="s">
        <v>314</v>
      </c>
      <c r="G224" s="2"/>
      <c r="H224" s="2"/>
      <c r="I224" s="20">
        <f>101+2502</f>
        <v>2603</v>
      </c>
      <c r="J224" s="20"/>
      <c r="K224" s="2"/>
      <c r="L224" s="10" t="s">
        <v>321</v>
      </c>
      <c r="M224" s="2"/>
      <c r="N224" s="2"/>
      <c r="O224" s="15"/>
    </row>
    <row r="225" spans="1:15" ht="11.4" hidden="1" customHeight="1" x14ac:dyDescent="0.25">
      <c r="A225" s="4" t="s">
        <v>33</v>
      </c>
      <c r="B225" s="2">
        <v>623</v>
      </c>
      <c r="C225" s="3">
        <v>2236</v>
      </c>
      <c r="D225" s="2" t="s">
        <v>131</v>
      </c>
      <c r="E225" s="24" t="s">
        <v>304</v>
      </c>
      <c r="F225" s="2" t="s">
        <v>313</v>
      </c>
      <c r="G225" s="2"/>
      <c r="H225" s="2">
        <f>7+760</f>
        <v>767</v>
      </c>
      <c r="I225" s="20">
        <f>3+304</f>
        <v>307</v>
      </c>
      <c r="J225" s="26">
        <f>I225/H225</f>
        <v>0.40026075619295959</v>
      </c>
      <c r="K225" s="10" t="s">
        <v>313</v>
      </c>
      <c r="L225" s="10"/>
      <c r="M225" s="2"/>
      <c r="N225" s="2"/>
      <c r="O225" s="15"/>
    </row>
    <row r="226" spans="1:15" ht="11.4" hidden="1" customHeight="1" x14ac:dyDescent="0.25">
      <c r="A226" s="4" t="s">
        <v>32</v>
      </c>
      <c r="B226" s="2">
        <v>638</v>
      </c>
      <c r="C226" s="3">
        <v>638</v>
      </c>
      <c r="D226" s="2" t="s">
        <v>129</v>
      </c>
      <c r="E226" s="24" t="s">
        <v>298</v>
      </c>
      <c r="F226" s="2" t="s">
        <v>314</v>
      </c>
      <c r="G226" s="2"/>
      <c r="H226" s="2"/>
      <c r="I226" s="20">
        <f>333+664</f>
        <v>997</v>
      </c>
      <c r="J226" s="20"/>
      <c r="K226" s="2"/>
      <c r="L226" s="10" t="s">
        <v>321</v>
      </c>
      <c r="M226" s="2"/>
      <c r="N226" s="2"/>
      <c r="O226" s="15"/>
    </row>
    <row r="227" spans="1:15" ht="11.4" customHeight="1" x14ac:dyDescent="0.25">
      <c r="A227" s="4" t="s">
        <v>32</v>
      </c>
      <c r="B227" s="2">
        <v>638</v>
      </c>
      <c r="C227" s="3">
        <v>638</v>
      </c>
      <c r="D227" s="2" t="s">
        <v>129</v>
      </c>
      <c r="E227" s="24" t="s">
        <v>299</v>
      </c>
      <c r="F227" s="2" t="s">
        <v>314</v>
      </c>
      <c r="G227" s="2"/>
      <c r="H227" s="2"/>
      <c r="I227" s="20">
        <f>6+126</f>
        <v>132</v>
      </c>
      <c r="J227" s="20"/>
      <c r="K227" s="10" t="s">
        <v>313</v>
      </c>
      <c r="L227" s="10" t="s">
        <v>321</v>
      </c>
      <c r="M227" s="10" t="s">
        <v>322</v>
      </c>
      <c r="N227" s="2"/>
      <c r="O227" s="15"/>
    </row>
    <row r="228" spans="1:15" ht="11.4" hidden="1" customHeight="1" x14ac:dyDescent="0.25">
      <c r="A228" s="4" t="s">
        <v>19</v>
      </c>
      <c r="B228" s="2">
        <v>640</v>
      </c>
      <c r="C228" s="3">
        <v>640</v>
      </c>
      <c r="D228" s="10" t="s">
        <v>375</v>
      </c>
      <c r="E228" s="24" t="s">
        <v>308</v>
      </c>
      <c r="F228" s="2" t="s">
        <v>314</v>
      </c>
      <c r="G228" s="2"/>
      <c r="H228" s="2"/>
      <c r="I228" s="20">
        <f>47+78</f>
        <v>125</v>
      </c>
      <c r="J228" s="20"/>
      <c r="K228" s="2"/>
      <c r="L228" s="10" t="s">
        <v>321</v>
      </c>
      <c r="M228" s="2"/>
      <c r="N228" s="2"/>
      <c r="O228" s="15"/>
    </row>
    <row r="229" spans="1:15" ht="11.4" hidden="1" customHeight="1" x14ac:dyDescent="0.25">
      <c r="A229" s="4" t="s">
        <v>33</v>
      </c>
      <c r="B229" s="2">
        <v>640</v>
      </c>
      <c r="C229" s="3">
        <v>2293</v>
      </c>
      <c r="D229" s="2" t="s">
        <v>130</v>
      </c>
      <c r="E229" s="24" t="s">
        <v>304</v>
      </c>
      <c r="F229" s="2" t="s">
        <v>313</v>
      </c>
      <c r="G229" s="2"/>
      <c r="H229" s="2">
        <f>1586+2419</f>
        <v>4005</v>
      </c>
      <c r="I229" s="20">
        <f>476+726</f>
        <v>1202</v>
      </c>
      <c r="J229" s="26">
        <f>I229/H229</f>
        <v>0.30012484394506866</v>
      </c>
      <c r="K229" s="10" t="s">
        <v>313</v>
      </c>
      <c r="L229" s="10"/>
      <c r="M229" s="2"/>
      <c r="N229" s="2"/>
      <c r="O229" s="15"/>
    </row>
    <row r="230" spans="1:15" ht="11.4" hidden="1" customHeight="1" x14ac:dyDescent="0.25">
      <c r="A230" s="4" t="s">
        <v>5</v>
      </c>
      <c r="B230" s="2">
        <v>662</v>
      </c>
      <c r="C230" s="3">
        <v>662</v>
      </c>
      <c r="D230" s="2" t="s">
        <v>150</v>
      </c>
      <c r="E230" s="24" t="s">
        <v>302</v>
      </c>
      <c r="F230" s="2" t="s">
        <v>314</v>
      </c>
      <c r="G230" s="2"/>
      <c r="H230" s="2"/>
      <c r="I230" s="20">
        <f>154+1675</f>
        <v>1829</v>
      </c>
      <c r="J230" s="20"/>
      <c r="K230" s="2"/>
      <c r="L230" s="10" t="s">
        <v>321</v>
      </c>
      <c r="M230" s="2"/>
      <c r="N230" s="2"/>
      <c r="O230" s="15"/>
    </row>
    <row r="231" spans="1:15" ht="11.4" hidden="1" customHeight="1" x14ac:dyDescent="0.25">
      <c r="A231" s="4" t="s">
        <v>3</v>
      </c>
      <c r="B231" s="2">
        <v>667</v>
      </c>
      <c r="C231" s="3">
        <v>667</v>
      </c>
      <c r="D231" s="2" t="s">
        <v>68</v>
      </c>
      <c r="E231" s="24" t="s">
        <v>300</v>
      </c>
      <c r="F231" s="2" t="s">
        <v>314</v>
      </c>
      <c r="G231" s="2"/>
      <c r="H231" s="2"/>
      <c r="I231" s="20">
        <v>10580</v>
      </c>
      <c r="J231" s="20"/>
      <c r="K231" s="2"/>
      <c r="L231" s="10" t="s">
        <v>321</v>
      </c>
      <c r="M231" s="2"/>
      <c r="N231" s="2"/>
    </row>
    <row r="232" spans="1:15" ht="11.4" customHeight="1" x14ac:dyDescent="0.25">
      <c r="A232" s="4" t="s">
        <v>6</v>
      </c>
      <c r="B232" s="2">
        <v>669</v>
      </c>
      <c r="C232" s="3">
        <v>669</v>
      </c>
      <c r="D232" s="2" t="s">
        <v>82</v>
      </c>
      <c r="E232" s="24" t="s">
        <v>303</v>
      </c>
      <c r="F232" s="2" t="s">
        <v>314</v>
      </c>
      <c r="G232" s="2"/>
      <c r="H232" s="2"/>
      <c r="I232" s="20">
        <f>609+980</f>
        <v>1589</v>
      </c>
      <c r="J232" s="20"/>
      <c r="K232" s="2"/>
      <c r="L232" s="10"/>
      <c r="M232" s="10" t="s">
        <v>322</v>
      </c>
      <c r="N232" s="2"/>
    </row>
    <row r="233" spans="1:15" ht="11.4" hidden="1" customHeight="1" x14ac:dyDescent="0.25">
      <c r="A233" s="4" t="s">
        <v>6</v>
      </c>
      <c r="B233" s="2">
        <v>669</v>
      </c>
      <c r="C233" s="3">
        <v>669</v>
      </c>
      <c r="D233" s="2" t="s">
        <v>82</v>
      </c>
      <c r="E233" s="24" t="s">
        <v>301</v>
      </c>
      <c r="F233" s="2" t="s">
        <v>314</v>
      </c>
      <c r="G233" s="2"/>
      <c r="H233" s="2"/>
      <c r="I233" s="20">
        <f>70+864+1</f>
        <v>935</v>
      </c>
      <c r="J233" s="20"/>
      <c r="K233" s="2"/>
      <c r="L233" s="10" t="s">
        <v>321</v>
      </c>
      <c r="M233" s="2"/>
      <c r="N233" s="2"/>
    </row>
    <row r="234" spans="1:15" ht="11.4" hidden="1" customHeight="1" x14ac:dyDescent="0.25">
      <c r="A234" s="4" t="s">
        <v>51</v>
      </c>
      <c r="B234" s="2">
        <v>682</v>
      </c>
      <c r="C234" s="3">
        <v>2282</v>
      </c>
      <c r="D234" s="2" t="s">
        <v>229</v>
      </c>
      <c r="E234" s="24" t="s">
        <v>301</v>
      </c>
      <c r="F234" s="2" t="s">
        <v>313</v>
      </c>
      <c r="G234" s="2"/>
      <c r="H234" s="2">
        <f>1631+5473</f>
        <v>7104</v>
      </c>
      <c r="I234" s="20">
        <f>367+1231</f>
        <v>1598</v>
      </c>
      <c r="J234" s="26">
        <f>I234/H234</f>
        <v>0.22494369369369369</v>
      </c>
      <c r="K234" s="10" t="s">
        <v>313</v>
      </c>
      <c r="L234" s="10" t="s">
        <v>321</v>
      </c>
      <c r="M234" s="2"/>
      <c r="N234" s="2"/>
      <c r="O234" s="15"/>
    </row>
    <row r="235" spans="1:15" ht="11.4" hidden="1" customHeight="1" x14ac:dyDescent="0.25">
      <c r="A235" s="4" t="s">
        <v>48</v>
      </c>
      <c r="B235" s="2">
        <v>683</v>
      </c>
      <c r="C235" s="3">
        <v>683</v>
      </c>
      <c r="D235" s="10" t="s">
        <v>353</v>
      </c>
      <c r="E235" s="24" t="s">
        <v>305</v>
      </c>
      <c r="F235" s="2" t="s">
        <v>314</v>
      </c>
      <c r="G235" s="2"/>
      <c r="H235" s="2"/>
      <c r="I235" s="20">
        <f>581+1299</f>
        <v>1880</v>
      </c>
      <c r="J235" s="20"/>
      <c r="K235" s="2"/>
      <c r="L235" s="10" t="s">
        <v>321</v>
      </c>
      <c r="M235" s="2"/>
      <c r="N235" s="2"/>
      <c r="O235" s="15"/>
    </row>
    <row r="236" spans="1:15" ht="11.4" hidden="1" customHeight="1" x14ac:dyDescent="0.25">
      <c r="A236" s="4" t="s">
        <v>48</v>
      </c>
      <c r="B236" s="2">
        <v>687</v>
      </c>
      <c r="C236" s="3">
        <v>687</v>
      </c>
      <c r="D236" s="2" t="s">
        <v>217</v>
      </c>
      <c r="E236" s="24" t="s">
        <v>305</v>
      </c>
      <c r="F236" s="2" t="s">
        <v>314</v>
      </c>
      <c r="G236" s="2"/>
      <c r="H236" s="2"/>
      <c r="I236" s="20">
        <f>46+972</f>
        <v>1018</v>
      </c>
      <c r="J236" s="20"/>
      <c r="K236" s="2"/>
      <c r="L236" s="10" t="s">
        <v>321</v>
      </c>
      <c r="M236" s="2"/>
      <c r="N236" s="2"/>
      <c r="O236" s="15"/>
    </row>
    <row r="237" spans="1:15" ht="11.4" hidden="1" customHeight="1" x14ac:dyDescent="0.25">
      <c r="A237" s="4" t="s">
        <v>24</v>
      </c>
      <c r="B237" s="2">
        <v>738</v>
      </c>
      <c r="C237" s="3">
        <v>738</v>
      </c>
      <c r="D237" s="2" t="s">
        <v>118</v>
      </c>
      <c r="E237" s="24" t="s">
        <v>300</v>
      </c>
      <c r="F237" s="2" t="s">
        <v>314</v>
      </c>
      <c r="G237" s="2"/>
      <c r="H237" s="2"/>
      <c r="I237" s="20">
        <f>438+845</f>
        <v>1283</v>
      </c>
      <c r="J237" s="20"/>
      <c r="K237" s="2"/>
      <c r="L237" s="10" t="s">
        <v>321</v>
      </c>
      <c r="M237" s="2"/>
      <c r="N237" s="2"/>
      <c r="O237" s="15"/>
    </row>
    <row r="238" spans="1:15" ht="11.4" hidden="1" customHeight="1" x14ac:dyDescent="0.25">
      <c r="A238" s="4" t="s">
        <v>23</v>
      </c>
      <c r="B238" s="2">
        <v>754</v>
      </c>
      <c r="C238" s="3">
        <v>754</v>
      </c>
      <c r="D238" s="2" t="s">
        <v>224</v>
      </c>
      <c r="E238" s="24" t="s">
        <v>298</v>
      </c>
      <c r="F238" s="2" t="s">
        <v>314</v>
      </c>
      <c r="G238" s="2"/>
      <c r="H238" s="2"/>
      <c r="I238" s="20">
        <f>139+485</f>
        <v>624</v>
      </c>
      <c r="J238" s="20"/>
      <c r="K238" s="2"/>
      <c r="L238" s="10" t="s">
        <v>321</v>
      </c>
      <c r="M238" s="2"/>
      <c r="N238" s="2"/>
      <c r="O238" s="15"/>
    </row>
    <row r="239" spans="1:15" ht="11.4" customHeight="1" x14ac:dyDescent="0.25">
      <c r="A239" s="4" t="s">
        <v>23</v>
      </c>
      <c r="B239" s="2">
        <v>754</v>
      </c>
      <c r="C239" s="3">
        <v>754</v>
      </c>
      <c r="D239" s="2" t="s">
        <v>224</v>
      </c>
      <c r="E239" s="24" t="s">
        <v>308</v>
      </c>
      <c r="F239" s="2" t="s">
        <v>314</v>
      </c>
      <c r="G239" s="2"/>
      <c r="H239" s="2"/>
      <c r="I239" s="20">
        <f>19+656+1697</f>
        <v>2372</v>
      </c>
      <c r="J239" s="20"/>
      <c r="K239" s="10" t="s">
        <v>313</v>
      </c>
      <c r="L239" s="10" t="s">
        <v>321</v>
      </c>
      <c r="M239" s="10" t="s">
        <v>322</v>
      </c>
      <c r="N239" s="2"/>
      <c r="O239" s="15"/>
    </row>
    <row r="240" spans="1:15" ht="11.4" hidden="1" customHeight="1" x14ac:dyDescent="0.25">
      <c r="A240" s="4" t="s">
        <v>23</v>
      </c>
      <c r="B240" s="2">
        <v>756</v>
      </c>
      <c r="C240" s="3">
        <v>756</v>
      </c>
      <c r="D240" s="2" t="s">
        <v>126</v>
      </c>
      <c r="E240" s="24" t="s">
        <v>298</v>
      </c>
      <c r="F240" s="2" t="s">
        <v>314</v>
      </c>
      <c r="G240" s="2"/>
      <c r="H240" s="2"/>
      <c r="I240" s="20">
        <f>56+309</f>
        <v>365</v>
      </c>
      <c r="J240" s="20"/>
      <c r="K240" s="2"/>
      <c r="L240" s="10" t="s">
        <v>321</v>
      </c>
      <c r="M240" s="2"/>
      <c r="N240" s="2"/>
      <c r="O240" s="15"/>
    </row>
    <row r="241" spans="1:15" ht="11.4" customHeight="1" x14ac:dyDescent="0.25">
      <c r="A241" s="4" t="s">
        <v>23</v>
      </c>
      <c r="B241" s="2">
        <v>756</v>
      </c>
      <c r="C241" s="3">
        <v>756</v>
      </c>
      <c r="D241" s="2" t="s">
        <v>126</v>
      </c>
      <c r="E241" s="24" t="s">
        <v>299</v>
      </c>
      <c r="F241" s="2" t="s">
        <v>314</v>
      </c>
      <c r="G241" s="2"/>
      <c r="H241" s="2"/>
      <c r="I241" s="20">
        <f>346+1456</f>
        <v>1802</v>
      </c>
      <c r="J241" s="20"/>
      <c r="K241" s="10" t="s">
        <v>313</v>
      </c>
      <c r="L241" s="10" t="s">
        <v>321</v>
      </c>
      <c r="M241" s="10" t="s">
        <v>322</v>
      </c>
      <c r="N241" s="2"/>
      <c r="O241" s="15"/>
    </row>
    <row r="242" spans="1:15" ht="11.4" hidden="1" customHeight="1" x14ac:dyDescent="0.25">
      <c r="A242" s="4" t="s">
        <v>23</v>
      </c>
      <c r="B242" s="2">
        <v>764</v>
      </c>
      <c r="C242" s="3">
        <v>764</v>
      </c>
      <c r="D242" s="2" t="s">
        <v>111</v>
      </c>
      <c r="E242" s="24" t="s">
        <v>302</v>
      </c>
      <c r="F242" s="2" t="s">
        <v>314</v>
      </c>
      <c r="G242" s="2"/>
      <c r="H242" s="2"/>
      <c r="I242" s="20">
        <f>416+1040</f>
        <v>1456</v>
      </c>
      <c r="J242" s="20"/>
      <c r="K242" s="2"/>
      <c r="L242" s="10" t="s">
        <v>321</v>
      </c>
      <c r="M242" s="2"/>
      <c r="N242" s="2"/>
      <c r="O242" s="15"/>
    </row>
    <row r="243" spans="1:15" ht="11.4" customHeight="1" x14ac:dyDescent="0.25">
      <c r="A243" s="4" t="s">
        <v>12</v>
      </c>
      <c r="B243" s="2">
        <v>770</v>
      </c>
      <c r="C243" s="3">
        <v>770</v>
      </c>
      <c r="D243" s="2" t="s">
        <v>334</v>
      </c>
      <c r="E243" s="24" t="s">
        <v>303</v>
      </c>
      <c r="F243" s="2" t="s">
        <v>314</v>
      </c>
      <c r="G243" s="2"/>
      <c r="H243" s="2"/>
      <c r="I243" s="20">
        <f>1635+6753</f>
        <v>8388</v>
      </c>
      <c r="J243" s="20"/>
      <c r="K243" s="2"/>
      <c r="L243" s="10" t="s">
        <v>321</v>
      </c>
      <c r="M243" s="10" t="s">
        <v>322</v>
      </c>
      <c r="N243" s="2"/>
      <c r="O243" s="15"/>
    </row>
    <row r="244" spans="1:15" ht="11.4" hidden="1" customHeight="1" x14ac:dyDescent="0.25">
      <c r="A244" s="4" t="s">
        <v>12</v>
      </c>
      <c r="B244" s="2">
        <v>770</v>
      </c>
      <c r="C244" s="3">
        <v>770</v>
      </c>
      <c r="D244" s="2" t="s">
        <v>334</v>
      </c>
      <c r="E244" s="24" t="s">
        <v>302</v>
      </c>
      <c r="F244" s="2" t="s">
        <v>314</v>
      </c>
      <c r="G244" s="2"/>
      <c r="H244" s="2"/>
      <c r="I244" s="20">
        <f>250+251</f>
        <v>501</v>
      </c>
      <c r="J244" s="20"/>
      <c r="K244" s="2"/>
      <c r="L244" s="10" t="s">
        <v>321</v>
      </c>
      <c r="M244" s="2"/>
      <c r="N244" s="2"/>
      <c r="O244" s="15"/>
    </row>
    <row r="245" spans="1:15" ht="11.4" hidden="1" customHeight="1" x14ac:dyDescent="0.25">
      <c r="A245" s="4" t="s">
        <v>18</v>
      </c>
      <c r="B245" s="2">
        <v>774</v>
      </c>
      <c r="C245" s="3">
        <v>774</v>
      </c>
      <c r="D245" s="2" t="s">
        <v>237</v>
      </c>
      <c r="E245" s="24" t="s">
        <v>307</v>
      </c>
      <c r="F245" s="2" t="s">
        <v>314</v>
      </c>
      <c r="G245" s="2"/>
      <c r="H245" s="2"/>
      <c r="I245" s="20">
        <f>126+947</f>
        <v>1073</v>
      </c>
      <c r="J245" s="20"/>
      <c r="K245" s="2"/>
      <c r="L245" s="10" t="s">
        <v>321</v>
      </c>
      <c r="M245" s="2"/>
      <c r="N245" s="2"/>
      <c r="O245" s="15"/>
    </row>
    <row r="246" spans="1:15" ht="11.4" hidden="1" customHeight="1" x14ac:dyDescent="0.25">
      <c r="A246" s="4" t="s">
        <v>18</v>
      </c>
      <c r="B246" s="2">
        <v>774</v>
      </c>
      <c r="C246" s="3">
        <v>774</v>
      </c>
      <c r="D246" s="2" t="s">
        <v>237</v>
      </c>
      <c r="E246" s="24" t="s">
        <v>305</v>
      </c>
      <c r="F246" s="2" t="s">
        <v>314</v>
      </c>
      <c r="G246" s="2"/>
      <c r="H246" s="2"/>
      <c r="I246" s="20">
        <f>906+1190</f>
        <v>2096</v>
      </c>
      <c r="J246" s="20"/>
      <c r="K246" s="2"/>
      <c r="L246" s="10" t="s">
        <v>321</v>
      </c>
      <c r="M246" s="2"/>
      <c r="N246" s="2"/>
      <c r="O246" s="15"/>
    </row>
    <row r="247" spans="1:15" ht="11.4" hidden="1" customHeight="1" x14ac:dyDescent="0.25">
      <c r="A247" s="4" t="s">
        <v>18</v>
      </c>
      <c r="B247" s="2">
        <v>774</v>
      </c>
      <c r="C247" s="3">
        <v>774</v>
      </c>
      <c r="D247" s="2" t="s">
        <v>237</v>
      </c>
      <c r="E247" s="24" t="s">
        <v>306</v>
      </c>
      <c r="F247" s="2" t="s">
        <v>314</v>
      </c>
      <c r="G247" s="2"/>
      <c r="H247" s="2"/>
      <c r="I247" s="20">
        <f>9+240</f>
        <v>249</v>
      </c>
      <c r="J247" s="20"/>
      <c r="K247" s="10" t="s">
        <v>313</v>
      </c>
      <c r="L247" s="10" t="s">
        <v>321</v>
      </c>
      <c r="M247" s="2"/>
      <c r="N247" s="2"/>
      <c r="O247" s="15"/>
    </row>
    <row r="248" spans="1:15" ht="11.4" customHeight="1" x14ac:dyDescent="0.25">
      <c r="A248" s="4" t="s">
        <v>4</v>
      </c>
      <c r="B248" s="2">
        <v>777</v>
      </c>
      <c r="C248" s="3">
        <v>777</v>
      </c>
      <c r="D248" s="2" t="s">
        <v>72</v>
      </c>
      <c r="E248" s="24" t="s">
        <v>303</v>
      </c>
      <c r="F248" s="2" t="s">
        <v>314</v>
      </c>
      <c r="G248" s="2"/>
      <c r="H248" s="2"/>
      <c r="I248" s="20">
        <f>164+200</f>
        <v>364</v>
      </c>
      <c r="J248" s="20"/>
      <c r="K248" s="2"/>
      <c r="L248" s="10"/>
      <c r="M248" s="10" t="s">
        <v>322</v>
      </c>
      <c r="N248" s="2"/>
    </row>
    <row r="249" spans="1:15" ht="11.4" hidden="1" customHeight="1" x14ac:dyDescent="0.25">
      <c r="A249" s="4" t="s">
        <v>4</v>
      </c>
      <c r="B249" s="2">
        <v>779</v>
      </c>
      <c r="C249" s="3">
        <v>779</v>
      </c>
      <c r="D249" s="2" t="s">
        <v>285</v>
      </c>
      <c r="E249" s="24" t="s">
        <v>303</v>
      </c>
      <c r="F249" s="2" t="s">
        <v>314</v>
      </c>
      <c r="G249" s="2"/>
      <c r="H249" s="2"/>
      <c r="I249" s="20">
        <f>230+434</f>
        <v>664</v>
      </c>
      <c r="J249" s="20"/>
      <c r="K249" s="2"/>
      <c r="L249" s="10" t="s">
        <v>321</v>
      </c>
      <c r="M249" s="2"/>
      <c r="N249" s="2"/>
      <c r="O249" s="15"/>
    </row>
    <row r="250" spans="1:15" ht="11.4" hidden="1" customHeight="1" x14ac:dyDescent="0.25">
      <c r="A250" s="4" t="s">
        <v>4</v>
      </c>
      <c r="B250" s="2">
        <v>779</v>
      </c>
      <c r="C250" s="3">
        <v>779</v>
      </c>
      <c r="D250" s="2" t="s">
        <v>285</v>
      </c>
      <c r="E250" s="24" t="s">
        <v>302</v>
      </c>
      <c r="F250" s="2" t="s">
        <v>314</v>
      </c>
      <c r="G250" s="2"/>
      <c r="H250" s="2"/>
      <c r="I250" s="20">
        <f>251+479</f>
        <v>730</v>
      </c>
      <c r="J250" s="20"/>
      <c r="K250" s="2"/>
      <c r="L250" s="10" t="s">
        <v>321</v>
      </c>
      <c r="M250" s="2"/>
      <c r="N250" s="2"/>
      <c r="O250" s="15"/>
    </row>
    <row r="251" spans="1:15" ht="11.4" hidden="1" customHeight="1" x14ac:dyDescent="0.25">
      <c r="A251" s="4" t="s">
        <v>54</v>
      </c>
      <c r="B251" s="2">
        <v>794</v>
      </c>
      <c r="C251" s="3">
        <v>794</v>
      </c>
      <c r="D251" s="2" t="s">
        <v>238</v>
      </c>
      <c r="E251" s="24" t="s">
        <v>307</v>
      </c>
      <c r="F251" s="2" t="s">
        <v>314</v>
      </c>
      <c r="G251" s="2"/>
      <c r="H251" s="2"/>
      <c r="I251" s="20">
        <f>351+421</f>
        <v>772</v>
      </c>
      <c r="J251" s="20"/>
      <c r="K251" s="2"/>
      <c r="L251" s="10" t="s">
        <v>321</v>
      </c>
      <c r="M251" s="2"/>
      <c r="N251" s="2"/>
      <c r="O251" s="15"/>
    </row>
    <row r="252" spans="1:15" ht="11.4" hidden="1" customHeight="1" x14ac:dyDescent="0.25">
      <c r="A252" s="4" t="s">
        <v>54</v>
      </c>
      <c r="B252" s="2">
        <v>794</v>
      </c>
      <c r="C252" s="3">
        <v>794</v>
      </c>
      <c r="D252" s="2" t="s">
        <v>238</v>
      </c>
      <c r="E252" s="24" t="s">
        <v>305</v>
      </c>
      <c r="F252" s="2" t="s">
        <v>314</v>
      </c>
      <c r="G252" s="2"/>
      <c r="H252" s="2"/>
      <c r="I252" s="20">
        <f>509+1392</f>
        <v>1901</v>
      </c>
      <c r="J252" s="20"/>
      <c r="K252" s="2"/>
      <c r="L252" s="10" t="s">
        <v>321</v>
      </c>
      <c r="M252" s="2"/>
      <c r="N252" s="2"/>
      <c r="O252" s="15"/>
    </row>
    <row r="253" spans="1:15" ht="11.4" hidden="1" customHeight="1" x14ac:dyDescent="0.25">
      <c r="A253" s="4" t="s">
        <v>59</v>
      </c>
      <c r="B253" s="2">
        <v>794</v>
      </c>
      <c r="C253" s="3">
        <v>2157</v>
      </c>
      <c r="D253" s="2" t="s">
        <v>267</v>
      </c>
      <c r="E253" s="24" t="s">
        <v>306</v>
      </c>
      <c r="F253" s="2" t="s">
        <v>313</v>
      </c>
      <c r="G253" s="2"/>
      <c r="H253" s="2">
        <f>2405+4146</f>
        <v>6551</v>
      </c>
      <c r="I253" s="20">
        <f>794+1368</f>
        <v>2162</v>
      </c>
      <c r="J253" s="26">
        <f>I253/H253</f>
        <v>0.33002595023660508</v>
      </c>
      <c r="K253" s="10" t="s">
        <v>313</v>
      </c>
      <c r="L253" s="10" t="s">
        <v>321</v>
      </c>
      <c r="M253" s="2"/>
      <c r="N253" s="2"/>
      <c r="O253" s="15"/>
    </row>
    <row r="254" spans="1:15" ht="11.4" customHeight="1" x14ac:dyDescent="0.25">
      <c r="A254" s="4" t="s">
        <v>10</v>
      </c>
      <c r="B254" s="2">
        <v>796</v>
      </c>
      <c r="C254" s="3">
        <v>796</v>
      </c>
      <c r="D254" s="2" t="s">
        <v>119</v>
      </c>
      <c r="E254" s="24" t="s">
        <v>303</v>
      </c>
      <c r="F254" s="2" t="s">
        <v>314</v>
      </c>
      <c r="G254" s="2"/>
      <c r="H254" s="2"/>
      <c r="I254" s="20">
        <f>706+3691</f>
        <v>4397</v>
      </c>
      <c r="J254" s="20"/>
      <c r="K254" s="2"/>
      <c r="L254" s="10" t="s">
        <v>321</v>
      </c>
      <c r="M254" s="10" t="s">
        <v>322</v>
      </c>
      <c r="N254" s="2"/>
      <c r="O254" s="15"/>
    </row>
    <row r="255" spans="1:15" ht="11.4" hidden="1" customHeight="1" x14ac:dyDescent="0.25">
      <c r="A255" s="4" t="s">
        <v>10</v>
      </c>
      <c r="B255" s="2">
        <v>796</v>
      </c>
      <c r="C255" s="3">
        <v>796</v>
      </c>
      <c r="D255" s="2" t="s">
        <v>119</v>
      </c>
      <c r="E255" s="24" t="s">
        <v>305</v>
      </c>
      <c r="F255" s="2" t="s">
        <v>314</v>
      </c>
      <c r="G255" s="2"/>
      <c r="H255" s="2"/>
      <c r="I255" s="20">
        <f>1851+3129</f>
        <v>4980</v>
      </c>
      <c r="J255" s="20"/>
      <c r="K255" s="2"/>
      <c r="L255" s="10" t="s">
        <v>321</v>
      </c>
      <c r="M255" s="2"/>
      <c r="N255" s="2"/>
      <c r="O255" s="15"/>
    </row>
    <row r="256" spans="1:15" ht="11.4" hidden="1" customHeight="1" x14ac:dyDescent="0.25">
      <c r="A256" s="4" t="s">
        <v>10</v>
      </c>
      <c r="B256" s="2">
        <v>796</v>
      </c>
      <c r="C256" s="3">
        <v>796</v>
      </c>
      <c r="D256" s="2" t="s">
        <v>119</v>
      </c>
      <c r="E256" s="24" t="s">
        <v>302</v>
      </c>
      <c r="F256" s="2" t="s">
        <v>314</v>
      </c>
      <c r="G256" s="2"/>
      <c r="H256" s="2"/>
      <c r="I256" s="20">
        <f>355+938</f>
        <v>1293</v>
      </c>
      <c r="J256" s="20"/>
      <c r="K256" s="2"/>
      <c r="L256" s="10" t="s">
        <v>321</v>
      </c>
      <c r="M256" s="2"/>
      <c r="N256" s="2"/>
      <c r="O256" s="15"/>
    </row>
    <row r="257" spans="1:15" ht="11.4" hidden="1" customHeight="1" x14ac:dyDescent="0.25">
      <c r="A257" s="4" t="s">
        <v>25</v>
      </c>
      <c r="B257" s="2">
        <v>796</v>
      </c>
      <c r="C257" s="3">
        <v>1240</v>
      </c>
      <c r="D257" s="29" t="s">
        <v>120</v>
      </c>
      <c r="E257" s="30" t="s">
        <v>305</v>
      </c>
      <c r="F257" s="29" t="s">
        <v>314</v>
      </c>
      <c r="G257" s="29"/>
      <c r="H257" s="29"/>
      <c r="I257" s="31">
        <v>449</v>
      </c>
      <c r="J257" s="31"/>
      <c r="K257" s="29"/>
      <c r="L257" s="32" t="s">
        <v>321</v>
      </c>
      <c r="M257" s="29"/>
      <c r="N257" s="29"/>
      <c r="O257" s="15"/>
    </row>
    <row r="258" spans="1:15" ht="11.4" hidden="1" customHeight="1" x14ac:dyDescent="0.25">
      <c r="A258" s="4" t="s">
        <v>25</v>
      </c>
      <c r="B258" s="2">
        <v>796</v>
      </c>
      <c r="C258" s="3">
        <v>1240</v>
      </c>
      <c r="D258" s="29" t="s">
        <v>120</v>
      </c>
      <c r="E258" s="30" t="s">
        <v>302</v>
      </c>
      <c r="F258" s="29" t="s">
        <v>314</v>
      </c>
      <c r="G258" s="29"/>
      <c r="H258" s="29"/>
      <c r="I258" s="31">
        <v>272</v>
      </c>
      <c r="J258" s="31"/>
      <c r="K258" s="29"/>
      <c r="L258" s="32" t="s">
        <v>321</v>
      </c>
      <c r="M258" s="29"/>
      <c r="N258" s="29"/>
      <c r="O258" s="15"/>
    </row>
    <row r="259" spans="1:15" ht="11.4" hidden="1" customHeight="1" x14ac:dyDescent="0.25">
      <c r="A259" s="4" t="s">
        <v>50</v>
      </c>
      <c r="B259" s="2">
        <v>797</v>
      </c>
      <c r="C259" s="3">
        <v>797</v>
      </c>
      <c r="D259" s="2" t="s">
        <v>222</v>
      </c>
      <c r="E259" s="24" t="s">
        <v>307</v>
      </c>
      <c r="F259" s="2" t="s">
        <v>314</v>
      </c>
      <c r="G259" s="2"/>
      <c r="H259" s="2"/>
      <c r="I259" s="20">
        <f>53+790</f>
        <v>843</v>
      </c>
      <c r="J259" s="20"/>
      <c r="K259" s="2"/>
      <c r="L259" s="10" t="s">
        <v>321</v>
      </c>
      <c r="M259" s="2"/>
      <c r="N259" s="2"/>
      <c r="O259" s="15"/>
    </row>
    <row r="260" spans="1:15" ht="11.4" hidden="1" customHeight="1" x14ac:dyDescent="0.25">
      <c r="A260" s="4" t="s">
        <v>50</v>
      </c>
      <c r="B260" s="2">
        <v>797</v>
      </c>
      <c r="C260" s="3">
        <v>797</v>
      </c>
      <c r="D260" s="2" t="s">
        <v>222</v>
      </c>
      <c r="E260" s="24" t="s">
        <v>305</v>
      </c>
      <c r="F260" s="2" t="s">
        <v>314</v>
      </c>
      <c r="G260" s="2"/>
      <c r="H260" s="2"/>
      <c r="I260" s="20">
        <f>705+1968</f>
        <v>2673</v>
      </c>
      <c r="J260" s="20"/>
      <c r="K260" s="2"/>
      <c r="L260" s="10" t="s">
        <v>321</v>
      </c>
      <c r="M260" s="2"/>
      <c r="N260" s="2"/>
      <c r="O260" s="15"/>
    </row>
    <row r="261" spans="1:15" ht="11.4" hidden="1" customHeight="1" x14ac:dyDescent="0.25">
      <c r="A261" s="4" t="s">
        <v>50</v>
      </c>
      <c r="B261" s="2">
        <v>797</v>
      </c>
      <c r="C261" s="3">
        <v>797</v>
      </c>
      <c r="D261" s="2" t="s">
        <v>222</v>
      </c>
      <c r="E261" s="24" t="s">
        <v>302</v>
      </c>
      <c r="F261" s="2" t="s">
        <v>314</v>
      </c>
      <c r="G261" s="2"/>
      <c r="H261" s="2"/>
      <c r="I261" s="20">
        <f>352+579</f>
        <v>931</v>
      </c>
      <c r="J261" s="20"/>
      <c r="K261" s="2"/>
      <c r="L261" s="10" t="s">
        <v>321</v>
      </c>
      <c r="M261" s="2"/>
      <c r="N261" s="2"/>
      <c r="O261" s="15"/>
    </row>
    <row r="262" spans="1:15" ht="11.4" hidden="1" customHeight="1" x14ac:dyDescent="0.25">
      <c r="A262" s="4" t="s">
        <v>23</v>
      </c>
      <c r="B262" s="2">
        <v>810</v>
      </c>
      <c r="C262" s="3">
        <v>810</v>
      </c>
      <c r="D262" s="2" t="s">
        <v>148</v>
      </c>
      <c r="E262" s="24" t="s">
        <v>298</v>
      </c>
      <c r="F262" s="2" t="s">
        <v>314</v>
      </c>
      <c r="G262" s="2"/>
      <c r="H262" s="2"/>
      <c r="I262" s="20">
        <f>33+74</f>
        <v>107</v>
      </c>
      <c r="J262" s="20"/>
      <c r="K262" s="2"/>
      <c r="L262" s="10" t="s">
        <v>321</v>
      </c>
      <c r="M262" s="2"/>
      <c r="N262" s="2"/>
      <c r="O262" s="15"/>
    </row>
    <row r="263" spans="1:15" ht="11.4" customHeight="1" x14ac:dyDescent="0.25">
      <c r="A263" s="4" t="s">
        <v>23</v>
      </c>
      <c r="B263" s="2">
        <v>810</v>
      </c>
      <c r="C263" s="3">
        <v>810</v>
      </c>
      <c r="D263" s="2" t="s">
        <v>148</v>
      </c>
      <c r="E263" s="24" t="s">
        <v>308</v>
      </c>
      <c r="F263" s="2" t="s">
        <v>314</v>
      </c>
      <c r="G263" s="2"/>
      <c r="H263" s="2"/>
      <c r="I263" s="20">
        <f>69+391</f>
        <v>460</v>
      </c>
      <c r="J263" s="20"/>
      <c r="K263" s="10" t="s">
        <v>313</v>
      </c>
      <c r="L263" s="10" t="s">
        <v>321</v>
      </c>
      <c r="M263" s="10" t="s">
        <v>322</v>
      </c>
      <c r="N263" s="2"/>
      <c r="O263" s="15"/>
    </row>
    <row r="264" spans="1:15" ht="11.4" hidden="1" customHeight="1" x14ac:dyDescent="0.25">
      <c r="A264" s="4" t="s">
        <v>6</v>
      </c>
      <c r="B264" s="2">
        <v>830</v>
      </c>
      <c r="C264" s="3">
        <v>2290</v>
      </c>
      <c r="D264" s="2" t="s">
        <v>81</v>
      </c>
      <c r="E264" s="24" t="s">
        <v>304</v>
      </c>
      <c r="F264" s="2" t="s">
        <v>313</v>
      </c>
      <c r="G264" s="2"/>
      <c r="H264" s="2">
        <f>307+5622</f>
        <v>5929</v>
      </c>
      <c r="I264" s="20">
        <f>40+731</f>
        <v>771</v>
      </c>
      <c r="J264" s="26">
        <f>I264/H264</f>
        <v>0.13003879237645471</v>
      </c>
      <c r="K264" s="10" t="s">
        <v>313</v>
      </c>
      <c r="L264" s="10"/>
      <c r="M264" s="2"/>
      <c r="N264" s="2"/>
    </row>
    <row r="265" spans="1:15" ht="11.4" hidden="1" customHeight="1" x14ac:dyDescent="0.25">
      <c r="A265" s="4" t="s">
        <v>1</v>
      </c>
      <c r="B265" s="2">
        <v>831</v>
      </c>
      <c r="C265" s="3">
        <v>831</v>
      </c>
      <c r="D265" s="2" t="s">
        <v>195</v>
      </c>
      <c r="E265" s="24" t="s">
        <v>298</v>
      </c>
      <c r="F265" s="2" t="s">
        <v>314</v>
      </c>
      <c r="G265" s="2"/>
      <c r="H265" s="2"/>
      <c r="I265" s="20">
        <f>52+61</f>
        <v>113</v>
      </c>
      <c r="J265" s="20"/>
      <c r="K265" s="2"/>
      <c r="L265" s="10" t="s">
        <v>321</v>
      </c>
      <c r="M265" s="2"/>
      <c r="N265" s="2"/>
      <c r="O265" s="15"/>
    </row>
    <row r="266" spans="1:15" ht="11.4" customHeight="1" x14ac:dyDescent="0.25">
      <c r="A266" s="4" t="s">
        <v>1</v>
      </c>
      <c r="B266" s="2">
        <v>831</v>
      </c>
      <c r="C266" s="3">
        <v>831</v>
      </c>
      <c r="D266" s="2" t="s">
        <v>195</v>
      </c>
      <c r="E266" s="24" t="s">
        <v>299</v>
      </c>
      <c r="F266" s="2" t="s">
        <v>314</v>
      </c>
      <c r="G266" s="2"/>
      <c r="H266" s="2"/>
      <c r="I266" s="20">
        <f>496+572</f>
        <v>1068</v>
      </c>
      <c r="J266" s="20"/>
      <c r="K266" s="10" t="s">
        <v>313</v>
      </c>
      <c r="L266" s="10" t="s">
        <v>321</v>
      </c>
      <c r="M266" s="10" t="s">
        <v>322</v>
      </c>
      <c r="N266" s="2"/>
      <c r="O266" s="15"/>
    </row>
    <row r="267" spans="1:15" ht="11.4" hidden="1" customHeight="1" x14ac:dyDescent="0.25">
      <c r="A267" s="4" t="s">
        <v>6</v>
      </c>
      <c r="B267" s="2">
        <v>832</v>
      </c>
      <c r="C267" s="3">
        <v>2289</v>
      </c>
      <c r="D267" s="2" t="s">
        <v>80</v>
      </c>
      <c r="E267" s="24" t="s">
        <v>304</v>
      </c>
      <c r="F267" s="2" t="s">
        <v>313</v>
      </c>
      <c r="G267" s="2"/>
      <c r="H267" s="2">
        <f>184+6556</f>
        <v>6740</v>
      </c>
      <c r="I267" s="20">
        <f>24+852</f>
        <v>876</v>
      </c>
      <c r="J267" s="26">
        <f>I267/H267</f>
        <v>0.12997032640949555</v>
      </c>
      <c r="K267" s="10" t="s">
        <v>313</v>
      </c>
      <c r="L267" s="10"/>
      <c r="M267" s="2"/>
      <c r="N267" s="2"/>
    </row>
    <row r="268" spans="1:15" ht="11.4" hidden="1" customHeight="1" x14ac:dyDescent="0.25">
      <c r="A268" s="4" t="s">
        <v>53</v>
      </c>
      <c r="B268" s="2">
        <v>837</v>
      </c>
      <c r="C268" s="3">
        <v>837</v>
      </c>
      <c r="D268" s="2" t="s">
        <v>236</v>
      </c>
      <c r="E268" s="24" t="s">
        <v>305</v>
      </c>
      <c r="F268" s="2" t="s">
        <v>314</v>
      </c>
      <c r="G268" s="2"/>
      <c r="H268" s="2"/>
      <c r="I268" s="20">
        <f>1101+1712</f>
        <v>2813</v>
      </c>
      <c r="J268" s="20"/>
      <c r="K268" s="2"/>
      <c r="L268" s="10" t="s">
        <v>321</v>
      </c>
      <c r="M268" s="2"/>
      <c r="N268" s="2"/>
      <c r="O268" s="15"/>
    </row>
    <row r="269" spans="1:15" ht="11.4" hidden="1" customHeight="1" x14ac:dyDescent="0.25">
      <c r="A269" s="4" t="s">
        <v>14</v>
      </c>
      <c r="B269" s="2">
        <v>850</v>
      </c>
      <c r="C269" s="3">
        <v>850</v>
      </c>
      <c r="D269" s="10" t="s">
        <v>376</v>
      </c>
      <c r="E269" s="24" t="s">
        <v>300</v>
      </c>
      <c r="F269" s="2" t="s">
        <v>314</v>
      </c>
      <c r="G269" s="2"/>
      <c r="H269" s="2"/>
      <c r="I269" s="20">
        <f>322+1564</f>
        <v>1886</v>
      </c>
      <c r="J269" s="20"/>
      <c r="K269" s="2"/>
      <c r="L269" s="10" t="s">
        <v>321</v>
      </c>
      <c r="M269" s="2"/>
      <c r="N269" s="2"/>
      <c r="O269" s="15"/>
    </row>
    <row r="270" spans="1:15" ht="11.4" hidden="1" customHeight="1" x14ac:dyDescent="0.25">
      <c r="A270" s="4" t="s">
        <v>50</v>
      </c>
      <c r="B270" s="2">
        <v>872</v>
      </c>
      <c r="C270" s="3">
        <v>2292</v>
      </c>
      <c r="D270" s="2" t="s">
        <v>241</v>
      </c>
      <c r="E270" s="24" t="s">
        <v>297</v>
      </c>
      <c r="F270" s="2" t="s">
        <v>313</v>
      </c>
      <c r="G270" s="2"/>
      <c r="H270" s="2">
        <f>1170+1267</f>
        <v>2437</v>
      </c>
      <c r="I270" s="20">
        <f>702+760</f>
        <v>1462</v>
      </c>
      <c r="J270" s="26">
        <f>I270/H270</f>
        <v>0.59991793188346332</v>
      </c>
      <c r="K270" s="10" t="s">
        <v>313</v>
      </c>
      <c r="L270" s="10"/>
      <c r="M270" s="2"/>
      <c r="N270" s="2"/>
      <c r="O270" s="15"/>
    </row>
    <row r="271" spans="1:15" ht="11.4" hidden="1" customHeight="1" x14ac:dyDescent="0.25">
      <c r="A271" s="4" t="s">
        <v>50</v>
      </c>
      <c r="B271" s="2">
        <v>873</v>
      </c>
      <c r="C271" s="3">
        <v>2305</v>
      </c>
      <c r="D271" s="2" t="s">
        <v>272</v>
      </c>
      <c r="E271" s="24" t="s">
        <v>297</v>
      </c>
      <c r="F271" s="2" t="s">
        <v>313</v>
      </c>
      <c r="G271" s="2"/>
      <c r="H271" s="2">
        <f>969+650</f>
        <v>1619</v>
      </c>
      <c r="I271" s="20">
        <f>390+581</f>
        <v>971</v>
      </c>
      <c r="J271" s="26">
        <f>I271/H271</f>
        <v>0.59975293390982087</v>
      </c>
      <c r="K271" s="10" t="s">
        <v>313</v>
      </c>
      <c r="L271" s="10"/>
      <c r="M271" s="2"/>
      <c r="N271" s="2"/>
      <c r="O271" s="15"/>
    </row>
    <row r="272" spans="1:15" ht="11.4" hidden="1" customHeight="1" x14ac:dyDescent="0.25">
      <c r="A272" s="4" t="s">
        <v>50</v>
      </c>
      <c r="B272" s="2">
        <v>874</v>
      </c>
      <c r="C272" s="3">
        <v>2306</v>
      </c>
      <c r="D272" s="2" t="s">
        <v>270</v>
      </c>
      <c r="E272" s="24" t="s">
        <v>297</v>
      </c>
      <c r="F272" s="2" t="s">
        <v>313</v>
      </c>
      <c r="G272" s="2"/>
      <c r="H272" s="2">
        <f>1355+4913</f>
        <v>6268</v>
      </c>
      <c r="I272" s="20">
        <f>813+2948</f>
        <v>3761</v>
      </c>
      <c r="J272" s="26">
        <f>I272/H272</f>
        <v>0.60003190810465856</v>
      </c>
      <c r="K272" s="10" t="s">
        <v>313</v>
      </c>
      <c r="L272" s="10"/>
      <c r="M272" s="2"/>
      <c r="N272" s="2"/>
      <c r="O272" s="15"/>
    </row>
    <row r="273" spans="1:15" ht="11.4" customHeight="1" x14ac:dyDescent="0.25">
      <c r="A273" s="4" t="s">
        <v>29</v>
      </c>
      <c r="B273" s="2">
        <v>879</v>
      </c>
      <c r="C273" s="3">
        <v>879</v>
      </c>
      <c r="D273" s="2" t="s">
        <v>348</v>
      </c>
      <c r="E273" s="24" t="s">
        <v>303</v>
      </c>
      <c r="F273" s="2" t="s">
        <v>314</v>
      </c>
      <c r="G273" s="2"/>
      <c r="H273" s="2"/>
      <c r="I273" s="20">
        <f>28+441</f>
        <v>469</v>
      </c>
      <c r="J273" s="20"/>
      <c r="K273" s="2"/>
      <c r="L273" s="10" t="s">
        <v>321</v>
      </c>
      <c r="M273" s="10" t="s">
        <v>322</v>
      </c>
      <c r="N273" s="2"/>
      <c r="O273" s="15"/>
    </row>
    <row r="274" spans="1:15" ht="11.4" hidden="1" customHeight="1" x14ac:dyDescent="0.25">
      <c r="A274" s="4" t="s">
        <v>29</v>
      </c>
      <c r="B274" s="2">
        <v>879</v>
      </c>
      <c r="C274" s="3">
        <v>879</v>
      </c>
      <c r="D274" s="2" t="s">
        <v>348</v>
      </c>
      <c r="E274" s="24" t="s">
        <v>305</v>
      </c>
      <c r="F274" s="2" t="s">
        <v>314</v>
      </c>
      <c r="G274" s="2"/>
      <c r="H274" s="2"/>
      <c r="I274" s="20">
        <f>96+1328</f>
        <v>1424</v>
      </c>
      <c r="J274" s="20"/>
      <c r="K274" s="2"/>
      <c r="L274" s="10" t="s">
        <v>321</v>
      </c>
      <c r="M274" s="2"/>
      <c r="N274" s="2"/>
      <c r="O274" s="15"/>
    </row>
    <row r="275" spans="1:15" ht="11.4" hidden="1" customHeight="1" x14ac:dyDescent="0.25">
      <c r="A275" s="4" t="s">
        <v>18</v>
      </c>
      <c r="B275" s="2">
        <v>888</v>
      </c>
      <c r="C275" s="3">
        <v>888</v>
      </c>
      <c r="D275" s="2" t="s">
        <v>247</v>
      </c>
      <c r="E275" s="24" t="s">
        <v>307</v>
      </c>
      <c r="F275" s="2" t="s">
        <v>314</v>
      </c>
      <c r="G275" s="2"/>
      <c r="H275" s="2"/>
      <c r="I275" s="20">
        <f>766+1880</f>
        <v>2646</v>
      </c>
      <c r="J275" s="20"/>
      <c r="K275" s="2"/>
      <c r="L275" s="10" t="s">
        <v>321</v>
      </c>
      <c r="M275" s="2"/>
      <c r="N275" s="2"/>
      <c r="O275" s="15"/>
    </row>
    <row r="276" spans="1:15" ht="11.4" hidden="1" customHeight="1" x14ac:dyDescent="0.25">
      <c r="A276" s="4" t="s">
        <v>18</v>
      </c>
      <c r="B276" s="2">
        <v>888</v>
      </c>
      <c r="C276" s="3">
        <v>888</v>
      </c>
      <c r="D276" s="2" t="s">
        <v>247</v>
      </c>
      <c r="E276" s="24" t="s">
        <v>305</v>
      </c>
      <c r="F276" s="2" t="s">
        <v>314</v>
      </c>
      <c r="G276" s="2"/>
      <c r="H276" s="2"/>
      <c r="I276" s="20">
        <f>1573+2260</f>
        <v>3833</v>
      </c>
      <c r="J276" s="20"/>
      <c r="K276" s="2"/>
      <c r="L276" s="10" t="s">
        <v>321</v>
      </c>
      <c r="M276" s="2"/>
      <c r="N276" s="2"/>
      <c r="O276" s="15"/>
    </row>
    <row r="277" spans="1:15" ht="11.4" hidden="1" customHeight="1" x14ac:dyDescent="0.25">
      <c r="A277" s="4" t="s">
        <v>18</v>
      </c>
      <c r="B277" s="2">
        <v>888</v>
      </c>
      <c r="C277" s="3">
        <v>888</v>
      </c>
      <c r="D277" s="2" t="s">
        <v>247</v>
      </c>
      <c r="E277" s="24" t="s">
        <v>306</v>
      </c>
      <c r="F277" s="2" t="s">
        <v>314</v>
      </c>
      <c r="G277" s="2"/>
      <c r="H277" s="2"/>
      <c r="I277" s="20">
        <v>352</v>
      </c>
      <c r="J277" s="20"/>
      <c r="K277" s="10" t="s">
        <v>313</v>
      </c>
      <c r="L277" s="10" t="s">
        <v>321</v>
      </c>
      <c r="M277" s="2"/>
      <c r="N277" s="2"/>
      <c r="O277" s="15"/>
    </row>
    <row r="278" spans="1:15" ht="11.4" hidden="1" customHeight="1" x14ac:dyDescent="0.25">
      <c r="A278" s="4" t="s">
        <v>18</v>
      </c>
      <c r="B278" s="2">
        <v>889</v>
      </c>
      <c r="C278" s="3">
        <v>889</v>
      </c>
      <c r="D278" s="2" t="s">
        <v>233</v>
      </c>
      <c r="E278" s="24" t="s">
        <v>307</v>
      </c>
      <c r="F278" s="2" t="s">
        <v>314</v>
      </c>
      <c r="G278" s="2"/>
      <c r="H278" s="2"/>
      <c r="I278" s="20">
        <f>658+666</f>
        <v>1324</v>
      </c>
      <c r="J278" s="20"/>
      <c r="K278" s="2"/>
      <c r="L278" s="10" t="s">
        <v>321</v>
      </c>
      <c r="M278" s="2"/>
      <c r="N278" s="2"/>
      <c r="O278" s="15"/>
    </row>
    <row r="279" spans="1:15" ht="11.4" hidden="1" customHeight="1" x14ac:dyDescent="0.25">
      <c r="A279" s="4" t="s">
        <v>18</v>
      </c>
      <c r="B279" s="2">
        <v>889</v>
      </c>
      <c r="C279" s="3">
        <v>889</v>
      </c>
      <c r="D279" s="2" t="s">
        <v>233</v>
      </c>
      <c r="E279" s="24" t="s">
        <v>305</v>
      </c>
      <c r="F279" s="2" t="s">
        <v>314</v>
      </c>
      <c r="G279" s="2"/>
      <c r="H279" s="2"/>
      <c r="I279" s="20">
        <f>3724+7851</f>
        <v>11575</v>
      </c>
      <c r="J279" s="20"/>
      <c r="K279" s="2"/>
      <c r="L279" s="10" t="s">
        <v>321</v>
      </c>
      <c r="M279" s="2"/>
      <c r="N279" s="2"/>
      <c r="O279" s="15"/>
    </row>
    <row r="280" spans="1:15" ht="11.4" hidden="1" customHeight="1" x14ac:dyDescent="0.25">
      <c r="A280" s="4" t="s">
        <v>18</v>
      </c>
      <c r="B280" s="2">
        <v>889</v>
      </c>
      <c r="C280" s="3">
        <v>889</v>
      </c>
      <c r="D280" s="2" t="s">
        <v>233</v>
      </c>
      <c r="E280" s="24" t="s">
        <v>306</v>
      </c>
      <c r="F280" s="2" t="s">
        <v>314</v>
      </c>
      <c r="G280" s="2"/>
      <c r="H280" s="2"/>
      <c r="I280" s="20">
        <f>330+1693</f>
        <v>2023</v>
      </c>
      <c r="J280" s="20"/>
      <c r="K280" s="10" t="s">
        <v>313</v>
      </c>
      <c r="L280" s="10" t="s">
        <v>321</v>
      </c>
      <c r="M280" s="2"/>
      <c r="N280" s="2"/>
      <c r="O280" s="15"/>
    </row>
    <row r="281" spans="1:15" ht="11.4" hidden="1" customHeight="1" x14ac:dyDescent="0.25">
      <c r="A281" s="4" t="s">
        <v>47</v>
      </c>
      <c r="B281" s="2">
        <v>895</v>
      </c>
      <c r="C281" s="3">
        <v>206</v>
      </c>
      <c r="D281" s="29" t="s">
        <v>261</v>
      </c>
      <c r="E281" s="30" t="s">
        <v>307</v>
      </c>
      <c r="F281" s="29" t="s">
        <v>314</v>
      </c>
      <c r="G281" s="29"/>
      <c r="H281" s="29"/>
      <c r="I281" s="31">
        <v>461</v>
      </c>
      <c r="J281" s="31"/>
      <c r="K281" s="29"/>
      <c r="L281" s="32" t="s">
        <v>321</v>
      </c>
      <c r="M281" s="29"/>
      <c r="N281" s="29"/>
      <c r="O281" s="15"/>
    </row>
    <row r="282" spans="1:15" ht="11.4" hidden="1" customHeight="1" x14ac:dyDescent="0.25">
      <c r="A282" s="4" t="s">
        <v>47</v>
      </c>
      <c r="B282" s="2">
        <v>895</v>
      </c>
      <c r="C282" s="3">
        <v>206</v>
      </c>
      <c r="D282" s="29" t="s">
        <v>261</v>
      </c>
      <c r="E282" s="30" t="s">
        <v>306</v>
      </c>
      <c r="F282" s="29" t="s">
        <v>314</v>
      </c>
      <c r="G282" s="29"/>
      <c r="H282" s="29"/>
      <c r="I282" s="31">
        <v>578</v>
      </c>
      <c r="J282" s="31"/>
      <c r="K282" s="32" t="s">
        <v>313</v>
      </c>
      <c r="L282" s="32" t="s">
        <v>321</v>
      </c>
      <c r="M282" s="29"/>
      <c r="N282" s="29"/>
      <c r="O282" s="15"/>
    </row>
    <row r="283" spans="1:15" ht="11.4" hidden="1" customHeight="1" x14ac:dyDescent="0.25">
      <c r="A283" s="4" t="s">
        <v>48</v>
      </c>
      <c r="B283" s="2">
        <v>895</v>
      </c>
      <c r="C283" s="3">
        <v>895</v>
      </c>
      <c r="D283" s="2" t="s">
        <v>235</v>
      </c>
      <c r="E283" s="24" t="s">
        <v>305</v>
      </c>
      <c r="F283" s="2" t="s">
        <v>314</v>
      </c>
      <c r="G283" s="2"/>
      <c r="H283" s="2"/>
      <c r="I283" s="20">
        <f>383+622</f>
        <v>1005</v>
      </c>
      <c r="J283" s="20"/>
      <c r="K283" s="2"/>
      <c r="L283" s="10" t="s">
        <v>321</v>
      </c>
      <c r="M283" s="2"/>
      <c r="N283" s="2"/>
      <c r="O283" s="15"/>
    </row>
    <row r="284" spans="1:15" ht="11.4" hidden="1" customHeight="1" x14ac:dyDescent="0.25">
      <c r="A284" s="4" t="s">
        <v>52</v>
      </c>
      <c r="B284" s="2">
        <v>895</v>
      </c>
      <c r="C284" s="3">
        <v>1243</v>
      </c>
      <c r="D284" s="29" t="s">
        <v>234</v>
      </c>
      <c r="E284" s="30" t="s">
        <v>301</v>
      </c>
      <c r="F284" s="29" t="s">
        <v>314</v>
      </c>
      <c r="G284" s="29"/>
      <c r="H284" s="29"/>
      <c r="I284" s="31">
        <f>18+201</f>
        <v>219</v>
      </c>
      <c r="J284" s="31"/>
      <c r="K284" s="32" t="s">
        <v>313</v>
      </c>
      <c r="L284" s="32" t="s">
        <v>321</v>
      </c>
      <c r="M284" s="29"/>
      <c r="N284" s="29"/>
      <c r="O284" s="15"/>
    </row>
    <row r="285" spans="1:15" ht="11.4" hidden="1" customHeight="1" x14ac:dyDescent="0.25">
      <c r="A285" s="4" t="s">
        <v>1</v>
      </c>
      <c r="B285" s="2">
        <v>898</v>
      </c>
      <c r="C285" s="3">
        <v>2337</v>
      </c>
      <c r="D285" s="2" t="s">
        <v>174</v>
      </c>
      <c r="E285" s="24" t="s">
        <v>297</v>
      </c>
      <c r="F285" s="2" t="s">
        <v>313</v>
      </c>
      <c r="G285" s="2"/>
      <c r="H285" s="2">
        <f>184+418</f>
        <v>602</v>
      </c>
      <c r="I285" s="20">
        <f>46+105</f>
        <v>151</v>
      </c>
      <c r="J285" s="26">
        <f>I285/H285</f>
        <v>0.25083056478405313</v>
      </c>
      <c r="K285" s="10" t="s">
        <v>313</v>
      </c>
      <c r="L285" s="10" t="s">
        <v>321</v>
      </c>
      <c r="M285" s="2"/>
      <c r="N285" s="2"/>
      <c r="O285" s="15"/>
    </row>
    <row r="286" spans="1:15" ht="11.4" hidden="1" customHeight="1" x14ac:dyDescent="0.25">
      <c r="A286" s="4" t="s">
        <v>1</v>
      </c>
      <c r="B286" s="2">
        <v>899</v>
      </c>
      <c r="C286" s="3">
        <v>2336</v>
      </c>
      <c r="D286" s="2" t="s">
        <v>65</v>
      </c>
      <c r="E286" s="24" t="s">
        <v>297</v>
      </c>
      <c r="F286" s="2" t="s">
        <v>313</v>
      </c>
      <c r="G286" s="2"/>
      <c r="H286" s="2">
        <f>139+362</f>
        <v>501</v>
      </c>
      <c r="I286" s="20">
        <v>150</v>
      </c>
      <c r="J286" s="26">
        <f>I286/H286</f>
        <v>0.29940119760479039</v>
      </c>
      <c r="K286" s="10" t="s">
        <v>313</v>
      </c>
      <c r="L286" s="10" t="s">
        <v>321</v>
      </c>
      <c r="M286" s="2"/>
      <c r="N286" s="2"/>
    </row>
    <row r="287" spans="1:15" ht="11.4" customHeight="1" x14ac:dyDescent="0.25">
      <c r="A287" s="4" t="s">
        <v>4</v>
      </c>
      <c r="B287" s="2">
        <v>901</v>
      </c>
      <c r="C287" s="3">
        <v>901</v>
      </c>
      <c r="D287" s="2" t="s">
        <v>70</v>
      </c>
      <c r="E287" s="24" t="s">
        <v>303</v>
      </c>
      <c r="F287" s="2" t="s">
        <v>314</v>
      </c>
      <c r="G287" s="2"/>
      <c r="H287" s="2"/>
      <c r="I287" s="20">
        <f>2176.2+2680.5</f>
        <v>4856.7</v>
      </c>
      <c r="J287" s="20"/>
      <c r="K287" s="2"/>
      <c r="L287" s="10"/>
      <c r="M287" s="10" t="s">
        <v>322</v>
      </c>
      <c r="N287" s="2"/>
    </row>
    <row r="288" spans="1:15" ht="11.4" hidden="1" customHeight="1" x14ac:dyDescent="0.25">
      <c r="A288" s="4" t="s">
        <v>4</v>
      </c>
      <c r="B288" s="2">
        <v>901</v>
      </c>
      <c r="C288" s="3">
        <v>901</v>
      </c>
      <c r="D288" s="2" t="s">
        <v>70</v>
      </c>
      <c r="E288" s="24" t="s">
        <v>302</v>
      </c>
      <c r="F288" s="2" t="s">
        <v>314</v>
      </c>
      <c r="G288" s="2"/>
      <c r="H288" s="2"/>
      <c r="I288" s="20">
        <f>921+1159</f>
        <v>2080</v>
      </c>
      <c r="J288" s="20"/>
      <c r="K288" s="2"/>
      <c r="L288" s="10" t="s">
        <v>321</v>
      </c>
      <c r="M288" s="2"/>
      <c r="N288" s="2"/>
    </row>
    <row r="289" spans="1:15" ht="11.4" hidden="1" customHeight="1" x14ac:dyDescent="0.25">
      <c r="A289" s="4" t="s">
        <v>56</v>
      </c>
      <c r="B289" s="2">
        <v>902</v>
      </c>
      <c r="C289" s="3">
        <v>2330</v>
      </c>
      <c r="D289" s="2" t="s">
        <v>251</v>
      </c>
      <c r="E289" s="24" t="s">
        <v>306</v>
      </c>
      <c r="F289" s="2" t="s">
        <v>313</v>
      </c>
      <c r="G289" s="2"/>
      <c r="H289" s="2">
        <f>4834+6413</f>
        <v>11247</v>
      </c>
      <c r="I289" s="20">
        <f>1547+2052</f>
        <v>3599</v>
      </c>
      <c r="J289" s="26">
        <f>I289/H289</f>
        <v>0.31999644349604339</v>
      </c>
      <c r="K289" s="10" t="s">
        <v>313</v>
      </c>
      <c r="L289" s="10" t="s">
        <v>321</v>
      </c>
      <c r="M289" s="2"/>
      <c r="N289" s="2"/>
      <c r="O289" s="15"/>
    </row>
    <row r="290" spans="1:15" ht="11.4" hidden="1" customHeight="1" x14ac:dyDescent="0.25">
      <c r="A290" s="4" t="s">
        <v>23</v>
      </c>
      <c r="B290" s="2">
        <v>903</v>
      </c>
      <c r="C290" s="3">
        <v>903</v>
      </c>
      <c r="D290" s="2" t="s">
        <v>280</v>
      </c>
      <c r="E290" s="24" t="s">
        <v>298</v>
      </c>
      <c r="F290" s="2" t="s">
        <v>314</v>
      </c>
      <c r="G290" s="2"/>
      <c r="H290" s="2"/>
      <c r="I290" s="20">
        <f>34+64</f>
        <v>98</v>
      </c>
      <c r="J290" s="20"/>
      <c r="K290" s="2"/>
      <c r="L290" s="10" t="s">
        <v>321</v>
      </c>
      <c r="M290" s="2"/>
      <c r="N290" s="2"/>
      <c r="O290" s="15"/>
    </row>
    <row r="291" spans="1:15" ht="11.4" customHeight="1" x14ac:dyDescent="0.25">
      <c r="A291" s="4" t="s">
        <v>23</v>
      </c>
      <c r="B291" s="2">
        <v>903</v>
      </c>
      <c r="C291" s="3">
        <v>903</v>
      </c>
      <c r="D291" s="2" t="s">
        <v>280</v>
      </c>
      <c r="E291" s="24" t="s">
        <v>299</v>
      </c>
      <c r="F291" s="2" t="s">
        <v>314</v>
      </c>
      <c r="G291" s="2"/>
      <c r="H291" s="2"/>
      <c r="I291" s="20">
        <f>109+229</f>
        <v>338</v>
      </c>
      <c r="J291" s="20"/>
      <c r="K291" s="10" t="s">
        <v>313</v>
      </c>
      <c r="L291" s="10" t="s">
        <v>321</v>
      </c>
      <c r="M291" s="10" t="s">
        <v>322</v>
      </c>
      <c r="N291" s="2"/>
      <c r="O291" s="15"/>
    </row>
    <row r="292" spans="1:15" ht="11.4" hidden="1" customHeight="1" x14ac:dyDescent="0.25">
      <c r="A292" s="4" t="s">
        <v>59</v>
      </c>
      <c r="B292" s="2">
        <v>909</v>
      </c>
      <c r="C292" s="3">
        <v>2153</v>
      </c>
      <c r="D292" s="2" t="s">
        <v>268</v>
      </c>
      <c r="E292" s="24" t="s">
        <v>306</v>
      </c>
      <c r="F292" s="2" t="s">
        <v>313</v>
      </c>
      <c r="G292" s="2"/>
      <c r="H292" s="2">
        <f>6484+7148</f>
        <v>13632</v>
      </c>
      <c r="I292" s="20">
        <f>2269+2502</f>
        <v>4771</v>
      </c>
      <c r="J292" s="26">
        <f>I292/H292</f>
        <v>0.34998532863849763</v>
      </c>
      <c r="K292" s="10" t="s">
        <v>313</v>
      </c>
      <c r="L292" s="10" t="s">
        <v>321</v>
      </c>
      <c r="M292" s="2"/>
      <c r="N292" s="2"/>
      <c r="O292" s="15"/>
    </row>
    <row r="293" spans="1:15" ht="11.4" customHeight="1" x14ac:dyDescent="0.25">
      <c r="A293" s="4" t="s">
        <v>60</v>
      </c>
      <c r="B293" s="2">
        <v>910</v>
      </c>
      <c r="C293" s="3">
        <v>910</v>
      </c>
      <c r="D293" s="2" t="s">
        <v>290</v>
      </c>
      <c r="E293" s="24" t="s">
        <v>303</v>
      </c>
      <c r="F293" s="2" t="s">
        <v>314</v>
      </c>
      <c r="G293" s="2"/>
      <c r="H293" s="2"/>
      <c r="I293" s="20">
        <f>932+2318</f>
        <v>3250</v>
      </c>
      <c r="J293" s="20"/>
      <c r="K293" s="2"/>
      <c r="L293" s="10" t="s">
        <v>321</v>
      </c>
      <c r="M293" s="10" t="s">
        <v>322</v>
      </c>
      <c r="N293" s="2"/>
      <c r="O293" s="15"/>
    </row>
    <row r="294" spans="1:15" ht="11.4" hidden="1" customHeight="1" x14ac:dyDescent="0.25">
      <c r="A294" s="4" t="s">
        <v>19</v>
      </c>
      <c r="B294" s="2">
        <v>920</v>
      </c>
      <c r="C294" s="3">
        <v>2340</v>
      </c>
      <c r="D294" s="2" t="s">
        <v>101</v>
      </c>
      <c r="E294" s="24" t="s">
        <v>301</v>
      </c>
      <c r="F294" s="2" t="s">
        <v>313</v>
      </c>
      <c r="G294" s="2"/>
      <c r="H294" s="2">
        <f>43+3977</f>
        <v>4020</v>
      </c>
      <c r="I294" s="20">
        <f>5+477</f>
        <v>482</v>
      </c>
      <c r="J294" s="26">
        <f>I294/H294</f>
        <v>0.11990049751243781</v>
      </c>
      <c r="K294" s="10" t="s">
        <v>313</v>
      </c>
      <c r="L294" s="10" t="s">
        <v>321</v>
      </c>
      <c r="M294" s="2"/>
      <c r="N294" s="2"/>
      <c r="O294" s="15"/>
    </row>
    <row r="295" spans="1:15" ht="11.4" hidden="1" customHeight="1" x14ac:dyDescent="0.25">
      <c r="A295" s="4" t="s">
        <v>18</v>
      </c>
      <c r="B295" s="2">
        <v>924</v>
      </c>
      <c r="C295" s="3">
        <v>924</v>
      </c>
      <c r="D295" s="10" t="s">
        <v>360</v>
      </c>
      <c r="E295" s="24" t="s">
        <v>300</v>
      </c>
      <c r="F295" s="2" t="s">
        <v>314</v>
      </c>
      <c r="G295" s="2"/>
      <c r="H295" s="2"/>
      <c r="I295" s="20">
        <v>29</v>
      </c>
      <c r="J295" s="20"/>
      <c r="K295" s="2"/>
      <c r="L295" s="10" t="s">
        <v>321</v>
      </c>
      <c r="M295" s="2"/>
      <c r="N295" s="2"/>
      <c r="O295" s="15"/>
    </row>
    <row r="296" spans="1:15" ht="11.4" hidden="1" customHeight="1" x14ac:dyDescent="0.25">
      <c r="A296" s="4" t="s">
        <v>18</v>
      </c>
      <c r="B296" s="2">
        <v>925</v>
      </c>
      <c r="C296" s="3">
        <v>925</v>
      </c>
      <c r="D296" s="10" t="s">
        <v>359</v>
      </c>
      <c r="E296" s="24" t="s">
        <v>305</v>
      </c>
      <c r="F296" s="2" t="s">
        <v>314</v>
      </c>
      <c r="G296" s="2"/>
      <c r="H296" s="2"/>
      <c r="I296" s="20">
        <v>50</v>
      </c>
      <c r="J296" s="20"/>
      <c r="K296" s="2"/>
      <c r="L296" s="10" t="s">
        <v>321</v>
      </c>
      <c r="M296" s="2"/>
      <c r="N296" s="2"/>
      <c r="O296" s="15"/>
    </row>
    <row r="297" spans="1:15" ht="11.4" customHeight="1" x14ac:dyDescent="0.25">
      <c r="A297" s="4" t="s">
        <v>44</v>
      </c>
      <c r="B297" s="2">
        <v>929</v>
      </c>
      <c r="C297" s="3">
        <v>929</v>
      </c>
      <c r="D297" s="2" t="s">
        <v>194</v>
      </c>
      <c r="E297" s="24" t="s">
        <v>299</v>
      </c>
      <c r="F297" s="2" t="s">
        <v>314</v>
      </c>
      <c r="G297" s="2"/>
      <c r="H297" s="2"/>
      <c r="I297" s="20">
        <f>480+615</f>
        <v>1095</v>
      </c>
      <c r="J297" s="20"/>
      <c r="K297" s="10" t="s">
        <v>313</v>
      </c>
      <c r="L297" s="10" t="s">
        <v>321</v>
      </c>
      <c r="M297" s="10" t="s">
        <v>322</v>
      </c>
      <c r="N297" s="2"/>
      <c r="O297" s="15"/>
    </row>
    <row r="298" spans="1:15" ht="11.4" hidden="1" customHeight="1" x14ac:dyDescent="0.25">
      <c r="A298" s="4" t="s">
        <v>57</v>
      </c>
      <c r="B298" s="2">
        <v>936</v>
      </c>
      <c r="C298" s="3">
        <v>936</v>
      </c>
      <c r="D298" s="29" t="s">
        <v>264</v>
      </c>
      <c r="E298" s="30" t="s">
        <v>305</v>
      </c>
      <c r="F298" s="29" t="s">
        <v>314</v>
      </c>
      <c r="G298" s="29"/>
      <c r="H298" s="29"/>
      <c r="I298" s="31">
        <v>678</v>
      </c>
      <c r="J298" s="31"/>
      <c r="K298" s="29"/>
      <c r="L298" s="32" t="s">
        <v>321</v>
      </c>
      <c r="M298" s="29"/>
      <c r="N298" s="29"/>
      <c r="O298" s="15"/>
    </row>
    <row r="299" spans="1:15" ht="11.4" hidden="1" customHeight="1" x14ac:dyDescent="0.25">
      <c r="A299" s="4" t="s">
        <v>57</v>
      </c>
      <c r="B299" s="2">
        <v>936</v>
      </c>
      <c r="C299" s="3">
        <v>2221</v>
      </c>
      <c r="D299" s="29" t="s">
        <v>265</v>
      </c>
      <c r="E299" s="30" t="s">
        <v>301</v>
      </c>
      <c r="F299" s="29" t="s">
        <v>313</v>
      </c>
      <c r="G299" s="29"/>
      <c r="H299" s="29">
        <v>1410</v>
      </c>
      <c r="I299" s="31">
        <v>465</v>
      </c>
      <c r="J299" s="33">
        <f>I299/H299</f>
        <v>0.32978723404255317</v>
      </c>
      <c r="K299" s="32" t="s">
        <v>313</v>
      </c>
      <c r="L299" s="32"/>
      <c r="M299" s="29"/>
      <c r="N299" s="29"/>
      <c r="O299" s="15"/>
    </row>
    <row r="300" spans="1:15" ht="11.4" hidden="1" customHeight="1" x14ac:dyDescent="0.25">
      <c r="A300" s="4" t="s">
        <v>53</v>
      </c>
      <c r="B300" s="2">
        <v>938</v>
      </c>
      <c r="C300" s="3">
        <v>938</v>
      </c>
      <c r="D300" s="2" t="s">
        <v>248</v>
      </c>
      <c r="E300" s="24" t="s">
        <v>305</v>
      </c>
      <c r="F300" s="2" t="s">
        <v>314</v>
      </c>
      <c r="G300" s="2"/>
      <c r="H300" s="2"/>
      <c r="I300" s="20">
        <f>829+3531</f>
        <v>4360</v>
      </c>
      <c r="J300" s="20"/>
      <c r="K300" s="2"/>
      <c r="L300" s="10" t="s">
        <v>321</v>
      </c>
      <c r="M300" s="2"/>
      <c r="N300" s="2"/>
      <c r="O300" s="15"/>
    </row>
    <row r="301" spans="1:15" ht="11.4" hidden="1" customHeight="1" x14ac:dyDescent="0.25">
      <c r="A301" s="4" t="s">
        <v>13</v>
      </c>
      <c r="B301" s="2">
        <v>943</v>
      </c>
      <c r="C301" s="3">
        <v>943</v>
      </c>
      <c r="D301" s="29" t="s">
        <v>110</v>
      </c>
      <c r="E301" s="30" t="s">
        <v>302</v>
      </c>
      <c r="F301" s="29" t="s">
        <v>314</v>
      </c>
      <c r="G301" s="29"/>
      <c r="H301" s="29"/>
      <c r="I301" s="31">
        <v>547</v>
      </c>
      <c r="J301" s="31"/>
      <c r="K301" s="29"/>
      <c r="L301" s="32" t="s">
        <v>321</v>
      </c>
      <c r="M301" s="29"/>
      <c r="N301" s="29"/>
      <c r="O301" s="15"/>
    </row>
    <row r="302" spans="1:15" ht="11.4" hidden="1" customHeight="1" x14ac:dyDescent="0.25">
      <c r="A302" s="4" t="s">
        <v>22</v>
      </c>
      <c r="B302" s="2">
        <v>946</v>
      </c>
      <c r="C302" s="3">
        <v>2377</v>
      </c>
      <c r="D302" s="29" t="s">
        <v>105</v>
      </c>
      <c r="E302" s="30" t="s">
        <v>302</v>
      </c>
      <c r="F302" s="29" t="s">
        <v>313</v>
      </c>
      <c r="G302" s="29"/>
      <c r="H302" s="29">
        <v>1503</v>
      </c>
      <c r="I302" s="31">
        <v>353</v>
      </c>
      <c r="J302" s="33">
        <f>I302/H302</f>
        <v>0.23486360612109114</v>
      </c>
      <c r="K302" s="32" t="s">
        <v>313</v>
      </c>
      <c r="L302" s="32"/>
      <c r="M302" s="29"/>
      <c r="N302" s="29"/>
      <c r="O302" s="15"/>
    </row>
    <row r="303" spans="1:15" ht="11.4" hidden="1" customHeight="1" x14ac:dyDescent="0.25">
      <c r="A303" s="4" t="s">
        <v>30</v>
      </c>
      <c r="B303" s="2">
        <v>978</v>
      </c>
      <c r="C303" s="3">
        <v>978</v>
      </c>
      <c r="D303" s="2" t="s">
        <v>278</v>
      </c>
      <c r="E303" s="24" t="s">
        <v>298</v>
      </c>
      <c r="F303" s="2" t="s">
        <v>314</v>
      </c>
      <c r="G303" s="2"/>
      <c r="H303" s="2"/>
      <c r="I303" s="20">
        <f>68+476</f>
        <v>544</v>
      </c>
      <c r="J303" s="20"/>
      <c r="K303" s="2"/>
      <c r="L303" s="10" t="s">
        <v>321</v>
      </c>
      <c r="M303" s="2"/>
      <c r="N303" s="2"/>
      <c r="O303" s="15"/>
    </row>
    <row r="304" spans="1:15" ht="11.4" customHeight="1" x14ac:dyDescent="0.25">
      <c r="A304" s="4" t="s">
        <v>30</v>
      </c>
      <c r="B304" s="2">
        <v>978</v>
      </c>
      <c r="C304" s="3">
        <v>978</v>
      </c>
      <c r="D304" s="2" t="s">
        <v>278</v>
      </c>
      <c r="E304" s="24" t="s">
        <v>308</v>
      </c>
      <c r="F304" s="2" t="s">
        <v>314</v>
      </c>
      <c r="G304" s="2"/>
      <c r="H304" s="2"/>
      <c r="I304" s="20">
        <f>64+183</f>
        <v>247</v>
      </c>
      <c r="J304" s="20"/>
      <c r="K304" s="10" t="s">
        <v>313</v>
      </c>
      <c r="L304" s="10" t="s">
        <v>321</v>
      </c>
      <c r="M304" s="10" t="s">
        <v>322</v>
      </c>
      <c r="N304" s="2"/>
      <c r="O304" s="15"/>
    </row>
    <row r="305" spans="1:15" ht="11.4" hidden="1" customHeight="1" x14ac:dyDescent="0.25">
      <c r="A305" s="4" t="s">
        <v>39</v>
      </c>
      <c r="B305" s="2">
        <v>1202</v>
      </c>
      <c r="C305" s="3">
        <v>2367</v>
      </c>
      <c r="D305" s="2" t="s">
        <v>146</v>
      </c>
      <c r="E305" s="24" t="s">
        <v>304</v>
      </c>
      <c r="F305" s="2" t="s">
        <v>313</v>
      </c>
      <c r="G305" s="2"/>
      <c r="H305" s="2">
        <f>179+545</f>
        <v>724</v>
      </c>
      <c r="I305" s="20">
        <f>18+55</f>
        <v>73</v>
      </c>
      <c r="J305" s="26">
        <f>I305/H305</f>
        <v>0.10082872928176796</v>
      </c>
      <c r="K305" s="10" t="s">
        <v>313</v>
      </c>
      <c r="L305" s="10"/>
      <c r="M305" s="2"/>
      <c r="N305" s="2"/>
      <c r="O305" s="15"/>
    </row>
    <row r="306" spans="1:15" ht="11.4" hidden="1" customHeight="1" x14ac:dyDescent="0.25">
      <c r="A306" s="4" t="s">
        <v>39</v>
      </c>
      <c r="B306" s="2">
        <v>1203</v>
      </c>
      <c r="C306" s="3">
        <v>2366</v>
      </c>
      <c r="D306" s="2" t="s">
        <v>147</v>
      </c>
      <c r="E306" s="24" t="s">
        <v>304</v>
      </c>
      <c r="F306" s="2" t="s">
        <v>313</v>
      </c>
      <c r="G306" s="2"/>
      <c r="H306" s="2">
        <f>144+519</f>
        <v>663</v>
      </c>
      <c r="I306" s="20">
        <f>14+52</f>
        <v>66</v>
      </c>
      <c r="J306" s="26">
        <f>I306/H306</f>
        <v>9.9547511312217188E-2</v>
      </c>
      <c r="K306" s="10" t="s">
        <v>313</v>
      </c>
      <c r="L306" s="10"/>
      <c r="M306" s="2"/>
      <c r="N306" s="2"/>
      <c r="O306" s="15"/>
    </row>
    <row r="307" spans="1:15" ht="11.4" customHeight="1" x14ac:dyDescent="0.25">
      <c r="A307" s="4" t="s">
        <v>4</v>
      </c>
      <c r="B307" s="2">
        <v>1210</v>
      </c>
      <c r="C307" s="3">
        <v>1210</v>
      </c>
      <c r="D307" s="2" t="s">
        <v>78</v>
      </c>
      <c r="E307" s="24" t="s">
        <v>303</v>
      </c>
      <c r="F307" s="2" t="s">
        <v>314</v>
      </c>
      <c r="G307" s="2"/>
      <c r="H307" s="2"/>
      <c r="I307" s="20">
        <f>32+662</f>
        <v>694</v>
      </c>
      <c r="J307" s="20"/>
      <c r="K307" s="2"/>
      <c r="L307" s="10"/>
      <c r="M307" s="10" t="s">
        <v>322</v>
      </c>
      <c r="N307" s="2"/>
    </row>
    <row r="308" spans="1:15" ht="11.4" hidden="1" customHeight="1" x14ac:dyDescent="0.25">
      <c r="A308" s="4" t="s">
        <v>4</v>
      </c>
      <c r="B308" s="2">
        <v>1210</v>
      </c>
      <c r="C308" s="3">
        <v>1210</v>
      </c>
      <c r="D308" s="2" t="s">
        <v>78</v>
      </c>
      <c r="E308" s="24" t="s">
        <v>302</v>
      </c>
      <c r="F308" s="2" t="s">
        <v>314</v>
      </c>
      <c r="G308" s="2"/>
      <c r="H308" s="2"/>
      <c r="I308" s="20">
        <f>168+339</f>
        <v>507</v>
      </c>
      <c r="J308" s="20"/>
      <c r="K308" s="2"/>
      <c r="L308" s="10" t="s">
        <v>321</v>
      </c>
      <c r="M308" s="2"/>
      <c r="N308" s="2"/>
    </row>
    <row r="309" spans="1:15" ht="11.4" customHeight="1" x14ac:dyDescent="0.25">
      <c r="A309" s="4" t="s">
        <v>4</v>
      </c>
      <c r="B309" s="2">
        <v>1211</v>
      </c>
      <c r="C309" s="3">
        <v>1211</v>
      </c>
      <c r="D309" s="2" t="s">
        <v>79</v>
      </c>
      <c r="E309" s="24" t="s">
        <v>303</v>
      </c>
      <c r="F309" s="2" t="s">
        <v>314</v>
      </c>
      <c r="G309" s="2"/>
      <c r="H309" s="2"/>
      <c r="I309" s="20">
        <f>38+659</f>
        <v>697</v>
      </c>
      <c r="J309" s="20"/>
      <c r="K309" s="2"/>
      <c r="L309" s="10"/>
      <c r="M309" s="10" t="s">
        <v>322</v>
      </c>
      <c r="N309" s="2"/>
    </row>
    <row r="310" spans="1:15" ht="11.4" hidden="1" customHeight="1" x14ac:dyDescent="0.25">
      <c r="A310" s="4" t="s">
        <v>4</v>
      </c>
      <c r="B310" s="2">
        <v>1211</v>
      </c>
      <c r="C310" s="3">
        <v>1211</v>
      </c>
      <c r="D310" s="2" t="s">
        <v>79</v>
      </c>
      <c r="E310" s="24" t="s">
        <v>302</v>
      </c>
      <c r="F310" s="2" t="s">
        <v>314</v>
      </c>
      <c r="G310" s="2"/>
      <c r="H310" s="2"/>
      <c r="I310" s="20">
        <f>216+758</f>
        <v>974</v>
      </c>
      <c r="J310" s="20"/>
      <c r="K310" s="2"/>
      <c r="L310" s="10" t="s">
        <v>321</v>
      </c>
      <c r="M310" s="2"/>
      <c r="N310" s="2"/>
    </row>
    <row r="311" spans="1:15" ht="11.4" customHeight="1" x14ac:dyDescent="0.25">
      <c r="A311" s="4" t="s">
        <v>4</v>
      </c>
      <c r="B311" s="2">
        <v>1213</v>
      </c>
      <c r="C311" s="3">
        <v>1213</v>
      </c>
      <c r="D311" s="2" t="s">
        <v>294</v>
      </c>
      <c r="E311" s="24" t="s">
        <v>303</v>
      </c>
      <c r="F311" s="2" t="s">
        <v>314</v>
      </c>
      <c r="G311" s="2"/>
      <c r="H311" s="2"/>
      <c r="I311" s="20">
        <f>98+569</f>
        <v>667</v>
      </c>
      <c r="J311" s="20"/>
      <c r="K311" s="2"/>
      <c r="L311" s="10"/>
      <c r="M311" s="10" t="s">
        <v>322</v>
      </c>
      <c r="N311" s="2"/>
      <c r="O311" s="15"/>
    </row>
    <row r="312" spans="1:15" ht="11.4" hidden="1" customHeight="1" x14ac:dyDescent="0.25">
      <c r="A312" s="4" t="s">
        <v>4</v>
      </c>
      <c r="B312" s="2">
        <v>1213</v>
      </c>
      <c r="C312" s="3">
        <v>1213</v>
      </c>
      <c r="D312" s="2" t="s">
        <v>294</v>
      </c>
      <c r="E312" s="24" t="s">
        <v>302</v>
      </c>
      <c r="F312" s="2" t="s">
        <v>314</v>
      </c>
      <c r="G312" s="2"/>
      <c r="H312" s="2"/>
      <c r="I312" s="20">
        <f>75+408</f>
        <v>483</v>
      </c>
      <c r="J312" s="20"/>
      <c r="K312" s="2"/>
      <c r="L312" s="10" t="s">
        <v>321</v>
      </c>
      <c r="M312" s="2"/>
      <c r="N312" s="2"/>
      <c r="O312" s="15"/>
    </row>
    <row r="313" spans="1:15" ht="11.4" hidden="1" customHeight="1" x14ac:dyDescent="0.25">
      <c r="A313" s="4" t="s">
        <v>19</v>
      </c>
      <c r="B313" s="2">
        <v>1216</v>
      </c>
      <c r="C313" s="3">
        <v>1216</v>
      </c>
      <c r="D313" s="2" t="s">
        <v>202</v>
      </c>
      <c r="E313" s="24" t="s">
        <v>298</v>
      </c>
      <c r="F313" s="2" t="s">
        <v>314</v>
      </c>
      <c r="G313" s="2"/>
      <c r="H313" s="2"/>
      <c r="I313" s="20">
        <f>55+622</f>
        <v>677</v>
      </c>
      <c r="J313" s="20"/>
      <c r="K313" s="2"/>
      <c r="L313" s="10" t="s">
        <v>321</v>
      </c>
      <c r="M313" s="2"/>
      <c r="N313" s="2"/>
      <c r="O313" s="15"/>
    </row>
    <row r="314" spans="1:15" ht="11.4" customHeight="1" x14ac:dyDescent="0.25">
      <c r="A314" s="4" t="s">
        <v>19</v>
      </c>
      <c r="B314" s="2">
        <v>1216</v>
      </c>
      <c r="C314" s="3">
        <v>1216</v>
      </c>
      <c r="D314" s="2" t="s">
        <v>202</v>
      </c>
      <c r="E314" s="24" t="s">
        <v>299</v>
      </c>
      <c r="F314" s="2" t="s">
        <v>314</v>
      </c>
      <c r="G314" s="2"/>
      <c r="H314" s="2"/>
      <c r="I314" s="20">
        <f>314+641</f>
        <v>955</v>
      </c>
      <c r="J314" s="20"/>
      <c r="K314" s="10" t="s">
        <v>313</v>
      </c>
      <c r="L314" s="10" t="s">
        <v>321</v>
      </c>
      <c r="M314" s="10" t="s">
        <v>322</v>
      </c>
      <c r="N314" s="2"/>
      <c r="O314" s="15"/>
    </row>
    <row r="315" spans="1:15" ht="11.4" hidden="1" customHeight="1" x14ac:dyDescent="0.25">
      <c r="A315" s="4" t="s">
        <v>18</v>
      </c>
      <c r="B315" s="2">
        <v>1217</v>
      </c>
      <c r="C315" s="3">
        <v>1217</v>
      </c>
      <c r="D315" s="2" t="s">
        <v>115</v>
      </c>
      <c r="E315" s="24" t="s">
        <v>302</v>
      </c>
      <c r="F315" s="2" t="s">
        <v>314</v>
      </c>
      <c r="G315" s="2"/>
      <c r="H315" s="2"/>
      <c r="I315" s="20">
        <f>193+557</f>
        <v>750</v>
      </c>
      <c r="J315" s="20"/>
      <c r="K315" s="2"/>
      <c r="L315" s="10" t="s">
        <v>321</v>
      </c>
      <c r="M315" s="2"/>
      <c r="N315" s="2"/>
      <c r="O315" s="15"/>
    </row>
    <row r="316" spans="1:15" ht="11.4" hidden="1" customHeight="1" x14ac:dyDescent="0.25">
      <c r="A316" s="4" t="s">
        <v>18</v>
      </c>
      <c r="B316" s="2">
        <v>1218</v>
      </c>
      <c r="C316" s="3">
        <v>1218</v>
      </c>
      <c r="D316" s="2" t="s">
        <v>117</v>
      </c>
      <c r="E316" s="24" t="s">
        <v>302</v>
      </c>
      <c r="F316" s="2" t="s">
        <v>314</v>
      </c>
      <c r="G316" s="2"/>
      <c r="H316" s="2"/>
      <c r="I316" s="20">
        <f>169+234</f>
        <v>403</v>
      </c>
      <c r="J316" s="20"/>
      <c r="K316" s="2"/>
      <c r="L316" s="10" t="s">
        <v>321</v>
      </c>
      <c r="M316" s="2"/>
      <c r="N316" s="2"/>
      <c r="O316" s="15"/>
    </row>
    <row r="317" spans="1:15" ht="11.4" hidden="1" customHeight="1" x14ac:dyDescent="0.25">
      <c r="A317" s="4" t="s">
        <v>18</v>
      </c>
      <c r="B317" s="2">
        <v>1219</v>
      </c>
      <c r="C317" s="3">
        <v>1219</v>
      </c>
      <c r="D317" s="2" t="s">
        <v>114</v>
      </c>
      <c r="E317" s="24" t="s">
        <v>302</v>
      </c>
      <c r="F317" s="2" t="s">
        <v>314</v>
      </c>
      <c r="G317" s="2"/>
      <c r="H317" s="2"/>
      <c r="I317" s="20">
        <f>176+581</f>
        <v>757</v>
      </c>
      <c r="J317" s="20"/>
      <c r="K317" s="2"/>
      <c r="L317" s="10" t="s">
        <v>321</v>
      </c>
      <c r="M317" s="2"/>
      <c r="N317" s="2"/>
      <c r="O317" s="15"/>
    </row>
    <row r="318" spans="1:15" ht="11.4" hidden="1" customHeight="1" x14ac:dyDescent="0.25">
      <c r="A318" s="4" t="s">
        <v>54</v>
      </c>
      <c r="B318" s="2">
        <v>1232</v>
      </c>
      <c r="C318" s="3">
        <v>1232</v>
      </c>
      <c r="D318" s="2" t="s">
        <v>354</v>
      </c>
      <c r="E318" s="24" t="s">
        <v>307</v>
      </c>
      <c r="F318" s="2" t="s">
        <v>314</v>
      </c>
      <c r="G318" s="2"/>
      <c r="H318" s="2"/>
      <c r="I318" s="20">
        <f>60+210</f>
        <v>270</v>
      </c>
      <c r="J318" s="20"/>
      <c r="K318" s="2"/>
      <c r="L318" s="10" t="s">
        <v>321</v>
      </c>
      <c r="M318" s="2"/>
      <c r="N318" s="2"/>
      <c r="O318" s="15"/>
    </row>
    <row r="319" spans="1:15" ht="11.4" hidden="1" customHeight="1" x14ac:dyDescent="0.25">
      <c r="A319" s="4" t="s">
        <v>59</v>
      </c>
      <c r="B319" s="2">
        <v>1232</v>
      </c>
      <c r="C319" s="3">
        <v>2422</v>
      </c>
      <c r="D319" s="2" t="s">
        <v>355</v>
      </c>
      <c r="E319" s="24" t="s">
        <v>306</v>
      </c>
      <c r="F319" s="2" t="s">
        <v>313</v>
      </c>
      <c r="G319" s="2"/>
      <c r="H319" s="2">
        <f>879+2027</f>
        <v>2906</v>
      </c>
      <c r="I319" s="20">
        <f>264+608</f>
        <v>872</v>
      </c>
      <c r="J319" s="26">
        <f>I319/H319</f>
        <v>0.30006882312456984</v>
      </c>
      <c r="K319" s="10" t="s">
        <v>313</v>
      </c>
      <c r="L319" s="10" t="s">
        <v>321</v>
      </c>
      <c r="M319" s="2"/>
      <c r="N319" s="2"/>
      <c r="O319" s="15"/>
    </row>
    <row r="320" spans="1:15" ht="11.4" hidden="1" customHeight="1" x14ac:dyDescent="0.25">
      <c r="A320" s="4" t="s">
        <v>50</v>
      </c>
      <c r="B320" s="2">
        <v>1233</v>
      </c>
      <c r="C320" s="3">
        <v>1233</v>
      </c>
      <c r="D320" s="2" t="s">
        <v>258</v>
      </c>
      <c r="E320" s="24" t="s">
        <v>306</v>
      </c>
      <c r="F320" s="2" t="s">
        <v>314</v>
      </c>
      <c r="G320" s="2"/>
      <c r="H320" s="2"/>
      <c r="I320" s="20">
        <f>127+164</f>
        <v>291</v>
      </c>
      <c r="J320" s="20"/>
      <c r="K320" s="10" t="s">
        <v>313</v>
      </c>
      <c r="L320" s="10" t="s">
        <v>321</v>
      </c>
      <c r="M320" s="2"/>
      <c r="N320" s="2"/>
      <c r="O320" s="15"/>
    </row>
    <row r="321" spans="1:15" ht="11.4" hidden="1" customHeight="1" x14ac:dyDescent="0.25">
      <c r="A321" s="4" t="s">
        <v>58</v>
      </c>
      <c r="B321" s="2">
        <v>1239</v>
      </c>
      <c r="C321" s="3">
        <v>2368</v>
      </c>
      <c r="D321" s="29" t="s">
        <v>266</v>
      </c>
      <c r="E321" s="30" t="s">
        <v>301</v>
      </c>
      <c r="F321" s="29" t="s">
        <v>313</v>
      </c>
      <c r="G321" s="29"/>
      <c r="H321" s="29">
        <v>892</v>
      </c>
      <c r="I321" s="31">
        <v>294</v>
      </c>
      <c r="J321" s="33">
        <f>I321/H321</f>
        <v>0.32959641255605382</v>
      </c>
      <c r="K321" s="32" t="s">
        <v>313</v>
      </c>
      <c r="L321" s="32"/>
      <c r="M321" s="29"/>
      <c r="N321" s="29"/>
      <c r="O321" s="15"/>
    </row>
    <row r="322" spans="1:15" ht="11.4" hidden="1" customHeight="1" x14ac:dyDescent="0.25">
      <c r="A322" s="4" t="s">
        <v>55</v>
      </c>
      <c r="B322" s="2">
        <v>1242</v>
      </c>
      <c r="C322" s="3">
        <v>1242</v>
      </c>
      <c r="D322" s="29" t="s">
        <v>246</v>
      </c>
      <c r="E322" s="30" t="s">
        <v>307</v>
      </c>
      <c r="F322" s="29" t="s">
        <v>314</v>
      </c>
      <c r="G322" s="29"/>
      <c r="H322" s="29"/>
      <c r="I322" s="31">
        <v>124</v>
      </c>
      <c r="J322" s="31"/>
      <c r="K322" s="29"/>
      <c r="L322" s="32" t="s">
        <v>321</v>
      </c>
      <c r="M322" s="29"/>
      <c r="N322" s="29"/>
      <c r="O322" s="15"/>
    </row>
    <row r="323" spans="1:15" ht="11.4" hidden="1" customHeight="1" x14ac:dyDescent="0.25">
      <c r="A323" s="4" t="s">
        <v>55</v>
      </c>
      <c r="B323" s="2">
        <v>1242</v>
      </c>
      <c r="C323" s="3">
        <v>1244</v>
      </c>
      <c r="D323" s="29" t="s">
        <v>245</v>
      </c>
      <c r="E323" s="30" t="s">
        <v>301</v>
      </c>
      <c r="F323" s="29" t="s">
        <v>313</v>
      </c>
      <c r="G323" s="29"/>
      <c r="H323" s="29">
        <v>444</v>
      </c>
      <c r="I323" s="31">
        <v>147</v>
      </c>
      <c r="J323" s="33">
        <f>I323/H323</f>
        <v>0.33108108108108109</v>
      </c>
      <c r="K323" s="32" t="s">
        <v>313</v>
      </c>
      <c r="L323" s="32"/>
      <c r="M323" s="29"/>
      <c r="N323" s="29"/>
      <c r="O323" s="15"/>
    </row>
    <row r="324" spans="1:15" ht="11.4" hidden="1" customHeight="1" x14ac:dyDescent="0.25">
      <c r="A324" s="4" t="s">
        <v>18</v>
      </c>
      <c r="B324" s="2">
        <v>1245</v>
      </c>
      <c r="C324" s="3">
        <v>1249</v>
      </c>
      <c r="D324" s="2" t="s">
        <v>263</v>
      </c>
      <c r="E324" s="24" t="s">
        <v>307</v>
      </c>
      <c r="F324" s="2" t="s">
        <v>314</v>
      </c>
      <c r="G324" s="2"/>
      <c r="H324" s="2"/>
      <c r="I324" s="20">
        <f>319+3618</f>
        <v>3937</v>
      </c>
      <c r="J324" s="20"/>
      <c r="K324" s="2"/>
      <c r="L324" s="10" t="s">
        <v>321</v>
      </c>
      <c r="M324" s="2"/>
      <c r="N324" s="2"/>
      <c r="O324" s="15"/>
    </row>
    <row r="325" spans="1:15" ht="11.4" hidden="1" customHeight="1" x14ac:dyDescent="0.25">
      <c r="A325" s="4" t="s">
        <v>14</v>
      </c>
      <c r="B325" s="2">
        <v>1247</v>
      </c>
      <c r="C325" s="3">
        <v>1247</v>
      </c>
      <c r="D325" s="2" t="s">
        <v>332</v>
      </c>
      <c r="E325" s="24" t="s">
        <v>300</v>
      </c>
      <c r="F325" s="2" t="s">
        <v>314</v>
      </c>
      <c r="G325" s="2"/>
      <c r="H325" s="2"/>
      <c r="I325" s="20">
        <f>176+393</f>
        <v>569</v>
      </c>
      <c r="J325" s="20"/>
      <c r="K325" s="2"/>
      <c r="L325" s="10" t="s">
        <v>321</v>
      </c>
      <c r="M325" s="2"/>
      <c r="N325" s="2"/>
      <c r="O325" s="19" t="s">
        <v>323</v>
      </c>
    </row>
    <row r="326" spans="1:15" ht="11.4" customHeight="1" x14ac:dyDescent="0.25">
      <c r="A326" s="4" t="s">
        <v>12</v>
      </c>
      <c r="B326" s="2">
        <v>1273</v>
      </c>
      <c r="C326" s="3">
        <v>1273</v>
      </c>
      <c r="D326" s="10" t="s">
        <v>378</v>
      </c>
      <c r="E326" s="24" t="s">
        <v>303</v>
      </c>
      <c r="F326" s="2" t="s">
        <v>314</v>
      </c>
      <c r="G326" s="2"/>
      <c r="H326" s="2"/>
      <c r="I326" s="20">
        <f>235+432</f>
        <v>667</v>
      </c>
      <c r="J326" s="20"/>
      <c r="K326" s="2"/>
      <c r="L326" s="10" t="s">
        <v>321</v>
      </c>
      <c r="M326" s="10" t="s">
        <v>322</v>
      </c>
      <c r="N326" s="2"/>
      <c r="O326" s="15"/>
    </row>
    <row r="327" spans="1:15" ht="11.4" hidden="1" customHeight="1" x14ac:dyDescent="0.25">
      <c r="A327" s="4" t="s">
        <v>12</v>
      </c>
      <c r="B327" s="2">
        <v>1273</v>
      </c>
      <c r="C327" s="3">
        <v>1273</v>
      </c>
      <c r="D327" s="2" t="s">
        <v>93</v>
      </c>
      <c r="E327" s="24" t="s">
        <v>305</v>
      </c>
      <c r="F327" s="2" t="s">
        <v>314</v>
      </c>
      <c r="G327" s="2"/>
      <c r="H327" s="2"/>
      <c r="I327" s="20">
        <f>9+271</f>
        <v>280</v>
      </c>
      <c r="J327" s="20"/>
      <c r="K327" s="2"/>
      <c r="L327" s="10" t="s">
        <v>321</v>
      </c>
      <c r="M327" s="2"/>
      <c r="N327" s="2"/>
      <c r="O327" s="15"/>
    </row>
    <row r="328" spans="1:15" ht="11.4" customHeight="1" x14ac:dyDescent="0.25">
      <c r="A328" s="4" t="s">
        <v>10</v>
      </c>
      <c r="B328" s="2">
        <v>1274</v>
      </c>
      <c r="C328" s="3">
        <v>1274</v>
      </c>
      <c r="D328" s="10" t="s">
        <v>377</v>
      </c>
      <c r="E328" s="24" t="s">
        <v>303</v>
      </c>
      <c r="F328" s="2" t="s">
        <v>314</v>
      </c>
      <c r="G328" s="2"/>
      <c r="H328" s="2"/>
      <c r="I328" s="20">
        <f>123+572</f>
        <v>695</v>
      </c>
      <c r="J328" s="20"/>
      <c r="K328" s="2"/>
      <c r="L328" s="10" t="s">
        <v>321</v>
      </c>
      <c r="M328" s="10" t="s">
        <v>322</v>
      </c>
      <c r="N328" s="2"/>
      <c r="O328" s="15"/>
    </row>
    <row r="329" spans="1:15" ht="11.4" hidden="1" customHeight="1" x14ac:dyDescent="0.25">
      <c r="A329" s="4" t="s">
        <v>10</v>
      </c>
      <c r="B329" s="2">
        <v>1274</v>
      </c>
      <c r="C329" s="3">
        <v>1274</v>
      </c>
      <c r="D329" s="2" t="s">
        <v>97</v>
      </c>
      <c r="E329" s="24" t="s">
        <v>302</v>
      </c>
      <c r="F329" s="2" t="s">
        <v>314</v>
      </c>
      <c r="G329" s="2"/>
      <c r="H329" s="2"/>
      <c r="I329" s="20">
        <f>28+37</f>
        <v>65</v>
      </c>
      <c r="J329" s="20"/>
      <c r="K329" s="2"/>
      <c r="L329" s="10" t="s">
        <v>321</v>
      </c>
      <c r="M329" s="2"/>
      <c r="N329" s="2"/>
      <c r="O329" s="15"/>
    </row>
    <row r="330" spans="1:15" ht="11.4" hidden="1" customHeight="1" x14ac:dyDescent="0.25">
      <c r="A330" s="4" t="s">
        <v>6</v>
      </c>
      <c r="B330" s="2">
        <v>2269</v>
      </c>
      <c r="C330" s="3">
        <v>2269</v>
      </c>
      <c r="D330" s="2" t="s">
        <v>157</v>
      </c>
      <c r="E330" s="24" t="s">
        <v>300</v>
      </c>
      <c r="F330" s="2" t="s">
        <v>313</v>
      </c>
      <c r="G330" s="2"/>
      <c r="H330" s="2">
        <f>8506+10905</f>
        <v>19411</v>
      </c>
      <c r="I330" s="20">
        <f>4253+5453</f>
        <v>9706</v>
      </c>
      <c r="J330" s="26">
        <f>I330/H330</f>
        <v>0.50002575859048992</v>
      </c>
      <c r="K330" s="10" t="s">
        <v>313</v>
      </c>
      <c r="L330" s="10"/>
      <c r="M330" s="2"/>
      <c r="N330" s="2"/>
      <c r="O330" s="15"/>
    </row>
    <row r="331" spans="1:15" ht="11.4" hidden="1" customHeight="1" x14ac:dyDescent="0.25">
      <c r="A331" s="4" t="s">
        <v>19</v>
      </c>
      <c r="B331" s="2">
        <v>2371</v>
      </c>
      <c r="C331" s="3">
        <v>2371</v>
      </c>
      <c r="D331" s="2" t="s">
        <v>158</v>
      </c>
      <c r="E331" s="24" t="s">
        <v>302</v>
      </c>
      <c r="F331" s="2" t="s">
        <v>313</v>
      </c>
      <c r="G331" s="2"/>
      <c r="H331" s="2">
        <f>265+269</f>
        <v>534</v>
      </c>
      <c r="I331" s="20">
        <f>106+108</f>
        <v>214</v>
      </c>
      <c r="J331" s="20"/>
      <c r="K331" s="10" t="s">
        <v>313</v>
      </c>
      <c r="L331" s="10"/>
      <c r="M331" s="2"/>
      <c r="N331" s="2"/>
      <c r="O331" s="15"/>
    </row>
    <row r="332" spans="1:15" x14ac:dyDescent="0.25">
      <c r="H332" s="21">
        <f>SUM(H2:H331)</f>
        <v>424209</v>
      </c>
      <c r="I332" s="21">
        <f>SUM(I2:I331)</f>
        <v>643710.77</v>
      </c>
      <c r="J332" s="21"/>
    </row>
    <row r="333" spans="1:15" x14ac:dyDescent="0.25">
      <c r="I333" s="21"/>
      <c r="J333" s="21"/>
    </row>
    <row r="334" spans="1:15" x14ac:dyDescent="0.25">
      <c r="I334" s="21"/>
      <c r="J334" s="21"/>
    </row>
    <row r="335" spans="1:15" x14ac:dyDescent="0.25">
      <c r="I335" s="21"/>
      <c r="J335" s="21"/>
    </row>
    <row r="336" spans="1:15" x14ac:dyDescent="0.25">
      <c r="I336" s="21"/>
      <c r="J336" s="21"/>
    </row>
    <row r="337" spans="9:10" x14ac:dyDescent="0.25">
      <c r="I337" s="21"/>
      <c r="J337" s="21"/>
    </row>
    <row r="338" spans="9:10" x14ac:dyDescent="0.25">
      <c r="I338" s="21"/>
      <c r="J338" s="21"/>
    </row>
    <row r="339" spans="9:10" x14ac:dyDescent="0.25">
      <c r="I339" s="21"/>
      <c r="J339" s="21"/>
    </row>
    <row r="340" spans="9:10" x14ac:dyDescent="0.25">
      <c r="I340" s="21"/>
      <c r="J340" s="21"/>
    </row>
    <row r="341" spans="9:10" x14ac:dyDescent="0.25">
      <c r="I341" s="21"/>
      <c r="J341" s="21"/>
    </row>
    <row r="342" spans="9:10" x14ac:dyDescent="0.25">
      <c r="I342" s="21"/>
      <c r="J342" s="21"/>
    </row>
    <row r="343" spans="9:10" x14ac:dyDescent="0.25">
      <c r="I343" s="21"/>
      <c r="J343" s="21"/>
    </row>
    <row r="344" spans="9:10" x14ac:dyDescent="0.25">
      <c r="I344" s="21"/>
      <c r="J344" s="21"/>
    </row>
    <row r="345" spans="9:10" x14ac:dyDescent="0.25">
      <c r="I345" s="21"/>
      <c r="J345" s="21"/>
    </row>
    <row r="346" spans="9:10" x14ac:dyDescent="0.25">
      <c r="I346" s="21"/>
      <c r="J346" s="21"/>
    </row>
    <row r="347" spans="9:10" x14ac:dyDescent="0.25">
      <c r="I347" s="21"/>
      <c r="J347" s="21"/>
    </row>
    <row r="348" spans="9:10" x14ac:dyDescent="0.25">
      <c r="I348" s="21"/>
      <c r="J348" s="21"/>
    </row>
    <row r="349" spans="9:10" x14ac:dyDescent="0.25">
      <c r="I349" s="21"/>
      <c r="J349" s="21"/>
    </row>
    <row r="350" spans="9:10" x14ac:dyDescent="0.25">
      <c r="I350" s="21"/>
      <c r="J350" s="21"/>
    </row>
    <row r="351" spans="9:10" x14ac:dyDescent="0.25">
      <c r="I351" s="21"/>
      <c r="J351" s="21"/>
    </row>
    <row r="352" spans="9:10" x14ac:dyDescent="0.25">
      <c r="I352" s="21"/>
      <c r="J352" s="21"/>
    </row>
    <row r="353" spans="9:10" x14ac:dyDescent="0.25">
      <c r="I353" s="21"/>
      <c r="J353" s="21"/>
    </row>
    <row r="354" spans="9:10" x14ac:dyDescent="0.25">
      <c r="I354" s="21"/>
      <c r="J354" s="21"/>
    </row>
    <row r="355" spans="9:10" x14ac:dyDescent="0.25">
      <c r="I355" s="21"/>
      <c r="J355" s="21"/>
    </row>
    <row r="356" spans="9:10" x14ac:dyDescent="0.25">
      <c r="I356" s="21"/>
      <c r="J356" s="21"/>
    </row>
    <row r="357" spans="9:10" x14ac:dyDescent="0.25">
      <c r="I357" s="21"/>
      <c r="J357" s="21"/>
    </row>
    <row r="358" spans="9:10" x14ac:dyDescent="0.25">
      <c r="I358" s="21"/>
      <c r="J358" s="21"/>
    </row>
    <row r="359" spans="9:10" x14ac:dyDescent="0.25">
      <c r="I359" s="21"/>
      <c r="J359" s="21"/>
    </row>
    <row r="360" spans="9:10" x14ac:dyDescent="0.25">
      <c r="I360" s="21"/>
      <c r="J360" s="21"/>
    </row>
    <row r="361" spans="9:10" x14ac:dyDescent="0.25">
      <c r="I361" s="21"/>
      <c r="J361" s="21"/>
    </row>
    <row r="362" spans="9:10" x14ac:dyDescent="0.25">
      <c r="I362" s="21"/>
      <c r="J362" s="21"/>
    </row>
    <row r="363" spans="9:10" x14ac:dyDescent="0.25">
      <c r="I363" s="21"/>
      <c r="J363" s="21"/>
    </row>
    <row r="364" spans="9:10" x14ac:dyDescent="0.25">
      <c r="I364" s="21"/>
      <c r="J364" s="21"/>
    </row>
    <row r="365" spans="9:10" x14ac:dyDescent="0.25">
      <c r="I365" s="21"/>
      <c r="J365" s="21"/>
    </row>
    <row r="366" spans="9:10" x14ac:dyDescent="0.25">
      <c r="I366" s="21"/>
      <c r="J366" s="21"/>
    </row>
    <row r="367" spans="9:10" x14ac:dyDescent="0.25">
      <c r="I367" s="21"/>
      <c r="J367" s="21"/>
    </row>
    <row r="368" spans="9:10" x14ac:dyDescent="0.25">
      <c r="I368" s="21"/>
      <c r="J368" s="21"/>
    </row>
    <row r="369" spans="9:10" x14ac:dyDescent="0.25">
      <c r="I369" s="21"/>
      <c r="J369" s="21"/>
    </row>
    <row r="370" spans="9:10" x14ac:dyDescent="0.25">
      <c r="I370" s="21"/>
      <c r="J370" s="21"/>
    </row>
    <row r="371" spans="9:10" x14ac:dyDescent="0.25">
      <c r="I371" s="21"/>
      <c r="J371" s="21"/>
    </row>
    <row r="372" spans="9:10" x14ac:dyDescent="0.25">
      <c r="I372" s="21"/>
      <c r="J372" s="21"/>
    </row>
    <row r="373" spans="9:10" x14ac:dyDescent="0.25">
      <c r="I373" s="21"/>
      <c r="J373" s="21"/>
    </row>
    <row r="374" spans="9:10" x14ac:dyDescent="0.25">
      <c r="I374" s="21"/>
      <c r="J374" s="21"/>
    </row>
    <row r="375" spans="9:10" x14ac:dyDescent="0.25">
      <c r="I375" s="21"/>
      <c r="J375" s="21"/>
    </row>
    <row r="376" spans="9:10" x14ac:dyDescent="0.25">
      <c r="I376" s="21"/>
      <c r="J376" s="21"/>
    </row>
    <row r="377" spans="9:10" x14ac:dyDescent="0.25">
      <c r="I377" s="21"/>
      <c r="J377" s="21"/>
    </row>
    <row r="378" spans="9:10" x14ac:dyDescent="0.25">
      <c r="I378" s="21"/>
      <c r="J378" s="21"/>
    </row>
    <row r="379" spans="9:10" x14ac:dyDescent="0.25">
      <c r="I379" s="21"/>
      <c r="J379" s="21"/>
    </row>
    <row r="380" spans="9:10" x14ac:dyDescent="0.25">
      <c r="I380" s="21"/>
      <c r="J380" s="21"/>
    </row>
    <row r="381" spans="9:10" x14ac:dyDescent="0.25">
      <c r="I381" s="21"/>
      <c r="J381" s="21"/>
    </row>
  </sheetData>
  <autoFilter ref="A1:N331">
    <filterColumn colId="12">
      <customFilters>
        <customFilter operator="notEqual" val=" "/>
      </customFilters>
    </filterColumn>
    <sortState ref="A2:J388">
      <sortCondition ref="D1:D388"/>
    </sortState>
  </autoFilter>
  <sortState ref="A1:O333">
    <sortCondition ref="B2:B333"/>
    <sortCondition ref="C2:C333"/>
    <sortCondition ref="D2:D333"/>
    <sortCondition ref="E2:E333"/>
    <sortCondition ref="F2:F333"/>
    <sortCondition ref="A2:A333"/>
    <sortCondition ref="H2:H333"/>
    <sortCondition ref="I2:I333"/>
    <sortCondition ref="J2:J333"/>
    <sortCondition ref="K2:K333"/>
    <sortCondition ref="L2:L333"/>
    <sortCondition ref="M2:M333"/>
    <sortCondition ref="N2:N333"/>
    <sortCondition ref="O2:O333"/>
  </sortState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8"/>
  <sheetViews>
    <sheetView tabSelected="1" workbookViewId="0">
      <selection activeCell="L19" sqref="L19"/>
    </sheetView>
  </sheetViews>
  <sheetFormatPr defaultRowHeight="12.5" x14ac:dyDescent="0.25"/>
  <cols>
    <col min="1" max="1" width="25" customWidth="1"/>
    <col min="2" max="2" width="6.1796875" customWidth="1"/>
    <col min="3" max="4" width="8.81640625" customWidth="1"/>
    <col min="5" max="5" width="38.1796875" customWidth="1"/>
    <col min="6" max="6" width="9.81640625" customWidth="1"/>
    <col min="7" max="7" width="4" customWidth="1"/>
  </cols>
  <sheetData>
    <row r="1" spans="1:8" ht="17" x14ac:dyDescent="0.25">
      <c r="A1" s="5" t="s">
        <v>0</v>
      </c>
      <c r="B1" s="1" t="s">
        <v>316</v>
      </c>
      <c r="C1" s="1" t="s">
        <v>315</v>
      </c>
      <c r="D1" s="1" t="s">
        <v>383</v>
      </c>
      <c r="E1" s="1" t="s">
        <v>64</v>
      </c>
      <c r="F1" s="23" t="s">
        <v>296</v>
      </c>
      <c r="G1" s="1" t="s">
        <v>312</v>
      </c>
      <c r="H1" s="35" t="s">
        <v>380</v>
      </c>
    </row>
    <row r="2" spans="1:8" x14ac:dyDescent="0.25">
      <c r="A2" s="4" t="s">
        <v>1</v>
      </c>
      <c r="B2" s="2">
        <v>899</v>
      </c>
      <c r="C2" s="3">
        <v>2336</v>
      </c>
      <c r="D2" s="36">
        <v>100</v>
      </c>
      <c r="E2" s="2" t="s">
        <v>65</v>
      </c>
      <c r="F2" s="24" t="s">
        <v>297</v>
      </c>
      <c r="G2" s="2" t="s">
        <v>313</v>
      </c>
      <c r="H2" s="37" t="s">
        <v>379</v>
      </c>
    </row>
    <row r="3" spans="1:8" ht="18" x14ac:dyDescent="0.25">
      <c r="A3" s="4" t="s">
        <v>1</v>
      </c>
      <c r="B3" s="2">
        <v>899</v>
      </c>
      <c r="C3" s="3">
        <v>2336</v>
      </c>
      <c r="D3" s="36">
        <f>IF(C3=C2,D2+1,MROUND(D2,10)+10)</f>
        <v>101</v>
      </c>
      <c r="E3" s="2" t="s">
        <v>65</v>
      </c>
      <c r="F3" s="24" t="s">
        <v>297</v>
      </c>
      <c r="G3" s="2" t="s">
        <v>313</v>
      </c>
      <c r="H3" s="37" t="s">
        <v>381</v>
      </c>
    </row>
    <row r="4" spans="1:8" ht="18" x14ac:dyDescent="0.25">
      <c r="A4" s="4" t="s">
        <v>2</v>
      </c>
      <c r="B4" s="2">
        <v>363</v>
      </c>
      <c r="C4" s="3">
        <v>363</v>
      </c>
      <c r="D4" s="36">
        <f t="shared" ref="D4:D67" si="0">IF(C4=C3,D3+1,MROUND(D3,10)+10)</f>
        <v>110</v>
      </c>
      <c r="E4" s="2" t="s">
        <v>67</v>
      </c>
      <c r="F4" s="24" t="s">
        <v>301</v>
      </c>
      <c r="G4" s="2" t="s">
        <v>313</v>
      </c>
      <c r="H4" s="37" t="s">
        <v>381</v>
      </c>
    </row>
    <row r="5" spans="1:8" ht="18" x14ac:dyDescent="0.25">
      <c r="A5" s="4" t="s">
        <v>3</v>
      </c>
      <c r="B5" s="2">
        <v>667</v>
      </c>
      <c r="C5" s="3">
        <v>667</v>
      </c>
      <c r="D5" s="36">
        <f t="shared" si="0"/>
        <v>120</v>
      </c>
      <c r="E5" s="2" t="s">
        <v>68</v>
      </c>
      <c r="F5" s="24" t="s">
        <v>300</v>
      </c>
      <c r="G5" s="2" t="s">
        <v>313</v>
      </c>
      <c r="H5" s="37" t="s">
        <v>381</v>
      </c>
    </row>
    <row r="6" spans="1:8" ht="18" x14ac:dyDescent="0.25">
      <c r="A6" s="4" t="s">
        <v>4</v>
      </c>
      <c r="B6" s="2">
        <v>101</v>
      </c>
      <c r="C6" s="3">
        <v>101</v>
      </c>
      <c r="D6" s="36">
        <f t="shared" si="0"/>
        <v>130</v>
      </c>
      <c r="E6" s="2" t="s">
        <v>69</v>
      </c>
      <c r="F6" s="24" t="s">
        <v>302</v>
      </c>
      <c r="G6" s="2" t="s">
        <v>313</v>
      </c>
      <c r="H6" s="37" t="s">
        <v>381</v>
      </c>
    </row>
    <row r="7" spans="1:8" ht="18" x14ac:dyDescent="0.25">
      <c r="A7" s="4" t="s">
        <v>4</v>
      </c>
      <c r="B7" s="2">
        <v>101</v>
      </c>
      <c r="C7" s="3">
        <v>101</v>
      </c>
      <c r="D7" s="36">
        <f t="shared" si="0"/>
        <v>131</v>
      </c>
      <c r="E7" s="2" t="s">
        <v>69</v>
      </c>
      <c r="F7" s="24" t="s">
        <v>303</v>
      </c>
      <c r="G7" s="2" t="s">
        <v>314</v>
      </c>
      <c r="H7" s="37" t="s">
        <v>382</v>
      </c>
    </row>
    <row r="8" spans="1:8" ht="18" x14ac:dyDescent="0.25">
      <c r="A8" s="4" t="s">
        <v>4</v>
      </c>
      <c r="B8" s="2">
        <v>1210</v>
      </c>
      <c r="C8" s="3">
        <v>1210</v>
      </c>
      <c r="D8" s="36">
        <f t="shared" si="0"/>
        <v>140</v>
      </c>
      <c r="E8" s="2" t="s">
        <v>78</v>
      </c>
      <c r="F8" s="24" t="s">
        <v>302</v>
      </c>
      <c r="G8" s="2" t="s">
        <v>313</v>
      </c>
      <c r="H8" s="37" t="s">
        <v>381</v>
      </c>
    </row>
    <row r="9" spans="1:8" ht="18" x14ac:dyDescent="0.25">
      <c r="A9" s="4" t="s">
        <v>4</v>
      </c>
      <c r="B9" s="2">
        <v>1210</v>
      </c>
      <c r="C9" s="3">
        <v>1210</v>
      </c>
      <c r="D9" s="36">
        <f t="shared" si="0"/>
        <v>141</v>
      </c>
      <c r="E9" s="2" t="s">
        <v>78</v>
      </c>
      <c r="F9" s="24" t="s">
        <v>303</v>
      </c>
      <c r="G9" s="2" t="s">
        <v>314</v>
      </c>
      <c r="H9" s="37" t="s">
        <v>382</v>
      </c>
    </row>
    <row r="10" spans="1:8" ht="18" x14ac:dyDescent="0.25">
      <c r="A10" s="4" t="s">
        <v>4</v>
      </c>
      <c r="B10" s="2">
        <v>901</v>
      </c>
      <c r="C10" s="3">
        <v>901</v>
      </c>
      <c r="D10" s="36">
        <f t="shared" si="0"/>
        <v>150</v>
      </c>
      <c r="E10" s="2" t="s">
        <v>70</v>
      </c>
      <c r="F10" s="24" t="s">
        <v>302</v>
      </c>
      <c r="G10" s="2" t="s">
        <v>313</v>
      </c>
      <c r="H10" s="37" t="s">
        <v>381</v>
      </c>
    </row>
    <row r="11" spans="1:8" ht="18" x14ac:dyDescent="0.25">
      <c r="A11" s="4" t="s">
        <v>4</v>
      </c>
      <c r="B11" s="2">
        <v>901</v>
      </c>
      <c r="C11" s="3">
        <v>901</v>
      </c>
      <c r="D11" s="36">
        <f t="shared" si="0"/>
        <v>151</v>
      </c>
      <c r="E11" s="2" t="s">
        <v>70</v>
      </c>
      <c r="F11" s="24" t="s">
        <v>303</v>
      </c>
      <c r="G11" s="2" t="s">
        <v>314</v>
      </c>
      <c r="H11" s="37" t="s">
        <v>382</v>
      </c>
    </row>
    <row r="12" spans="1:8" ht="18" x14ac:dyDescent="0.25">
      <c r="A12" s="4" t="s">
        <v>5</v>
      </c>
      <c r="B12" s="2">
        <v>66</v>
      </c>
      <c r="C12" s="3">
        <v>66</v>
      </c>
      <c r="D12" s="36">
        <f t="shared" si="0"/>
        <v>160</v>
      </c>
      <c r="E12" s="2" t="s">
        <v>71</v>
      </c>
      <c r="F12" s="24" t="s">
        <v>302</v>
      </c>
      <c r="G12" s="2" t="s">
        <v>313</v>
      </c>
      <c r="H12" s="37" t="s">
        <v>381</v>
      </c>
    </row>
    <row r="13" spans="1:8" ht="18" x14ac:dyDescent="0.25">
      <c r="A13" s="4" t="s">
        <v>5</v>
      </c>
      <c r="B13" s="2">
        <v>66</v>
      </c>
      <c r="C13" s="3">
        <v>66</v>
      </c>
      <c r="D13" s="36">
        <f t="shared" si="0"/>
        <v>161</v>
      </c>
      <c r="E13" s="2" t="s">
        <v>71</v>
      </c>
      <c r="F13" s="24" t="s">
        <v>303</v>
      </c>
      <c r="G13" s="2" t="s">
        <v>314</v>
      </c>
      <c r="H13" s="37" t="s">
        <v>382</v>
      </c>
    </row>
    <row r="14" spans="1:8" ht="18" x14ac:dyDescent="0.25">
      <c r="A14" s="4" t="s">
        <v>4</v>
      </c>
      <c r="B14" s="2">
        <v>777</v>
      </c>
      <c r="C14" s="3">
        <v>777</v>
      </c>
      <c r="D14" s="36">
        <f t="shared" si="0"/>
        <v>170</v>
      </c>
      <c r="E14" s="2" t="s">
        <v>72</v>
      </c>
      <c r="F14" s="24" t="s">
        <v>303</v>
      </c>
      <c r="G14" s="2" t="s">
        <v>314</v>
      </c>
      <c r="H14" s="37" t="s">
        <v>382</v>
      </c>
    </row>
    <row r="15" spans="1:8" ht="18" x14ac:dyDescent="0.25">
      <c r="A15" s="4" t="s">
        <v>6</v>
      </c>
      <c r="B15" s="2">
        <v>185</v>
      </c>
      <c r="C15" s="3">
        <v>185</v>
      </c>
      <c r="D15" s="36">
        <f t="shared" si="0"/>
        <v>180</v>
      </c>
      <c r="E15" s="2" t="s">
        <v>73</v>
      </c>
      <c r="F15" s="24" t="s">
        <v>302</v>
      </c>
      <c r="G15" s="2" t="s">
        <v>313</v>
      </c>
      <c r="H15" s="37" t="s">
        <v>381</v>
      </c>
    </row>
    <row r="16" spans="1:8" ht="18" x14ac:dyDescent="0.25">
      <c r="A16" s="4" t="s">
        <v>6</v>
      </c>
      <c r="B16" s="2">
        <v>185</v>
      </c>
      <c r="C16" s="3">
        <v>185</v>
      </c>
      <c r="D16" s="36">
        <f t="shared" si="0"/>
        <v>181</v>
      </c>
      <c r="E16" s="2" t="s">
        <v>73</v>
      </c>
      <c r="F16" s="24" t="s">
        <v>303</v>
      </c>
      <c r="G16" s="2" t="s">
        <v>314</v>
      </c>
      <c r="H16" s="37" t="s">
        <v>382</v>
      </c>
    </row>
    <row r="17" spans="1:8" ht="18" x14ac:dyDescent="0.25">
      <c r="A17" s="4" t="s">
        <v>7</v>
      </c>
      <c r="B17" s="2">
        <v>462</v>
      </c>
      <c r="C17" s="3">
        <v>462</v>
      </c>
      <c r="D17" s="36">
        <f t="shared" si="0"/>
        <v>190</v>
      </c>
      <c r="E17" s="2" t="s">
        <v>74</v>
      </c>
      <c r="F17" s="24" t="s">
        <v>304</v>
      </c>
      <c r="G17" s="2" t="s">
        <v>313</v>
      </c>
      <c r="H17" s="37" t="s">
        <v>379</v>
      </c>
    </row>
    <row r="18" spans="1:8" ht="18" x14ac:dyDescent="0.25">
      <c r="A18" s="4" t="s">
        <v>7</v>
      </c>
      <c r="B18" s="2">
        <v>462</v>
      </c>
      <c r="C18" s="3">
        <v>462</v>
      </c>
      <c r="D18" s="36">
        <f t="shared" si="0"/>
        <v>191</v>
      </c>
      <c r="E18" s="2" t="s">
        <v>74</v>
      </c>
      <c r="F18" s="24" t="s">
        <v>299</v>
      </c>
      <c r="G18" s="2" t="s">
        <v>313</v>
      </c>
      <c r="H18" s="37" t="s">
        <v>379</v>
      </c>
    </row>
    <row r="19" spans="1:8" ht="18" x14ac:dyDescent="0.25">
      <c r="A19" s="4" t="s">
        <v>7</v>
      </c>
      <c r="B19" s="2">
        <v>462</v>
      </c>
      <c r="C19" s="3">
        <v>462</v>
      </c>
      <c r="D19" s="36">
        <f t="shared" si="0"/>
        <v>192</v>
      </c>
      <c r="E19" s="2" t="s">
        <v>74</v>
      </c>
      <c r="F19" s="24" t="s">
        <v>299</v>
      </c>
      <c r="G19" s="2" t="s">
        <v>313</v>
      </c>
      <c r="H19" s="37" t="s">
        <v>381</v>
      </c>
    </row>
    <row r="20" spans="1:8" ht="18" x14ac:dyDescent="0.25">
      <c r="A20" s="4" t="s">
        <v>7</v>
      </c>
      <c r="B20" s="2">
        <v>462</v>
      </c>
      <c r="C20" s="3">
        <v>462</v>
      </c>
      <c r="D20" s="36">
        <f t="shared" si="0"/>
        <v>193</v>
      </c>
      <c r="E20" s="2" t="s">
        <v>74</v>
      </c>
      <c r="F20" s="24" t="s">
        <v>299</v>
      </c>
      <c r="G20" s="2" t="s">
        <v>314</v>
      </c>
      <c r="H20" s="37" t="s">
        <v>382</v>
      </c>
    </row>
    <row r="21" spans="1:8" ht="18" x14ac:dyDescent="0.25">
      <c r="A21" s="4" t="s">
        <v>4</v>
      </c>
      <c r="B21" s="2">
        <v>1211</v>
      </c>
      <c r="C21" s="3">
        <v>1211</v>
      </c>
      <c r="D21" s="36">
        <f t="shared" si="0"/>
        <v>200</v>
      </c>
      <c r="E21" s="2" t="s">
        <v>79</v>
      </c>
      <c r="F21" s="24" t="s">
        <v>302</v>
      </c>
      <c r="G21" s="2" t="s">
        <v>313</v>
      </c>
      <c r="H21" s="37" t="s">
        <v>381</v>
      </c>
    </row>
    <row r="22" spans="1:8" ht="18" x14ac:dyDescent="0.25">
      <c r="A22" s="4" t="s">
        <v>4</v>
      </c>
      <c r="B22" s="2">
        <v>1211</v>
      </c>
      <c r="C22" s="3">
        <v>1211</v>
      </c>
      <c r="D22" s="36">
        <f t="shared" si="0"/>
        <v>201</v>
      </c>
      <c r="E22" s="2" t="s">
        <v>79</v>
      </c>
      <c r="F22" s="24" t="s">
        <v>303</v>
      </c>
      <c r="G22" s="2" t="s">
        <v>314</v>
      </c>
      <c r="H22" s="37" t="s">
        <v>382</v>
      </c>
    </row>
    <row r="23" spans="1:8" ht="18" x14ac:dyDescent="0.25">
      <c r="A23" s="4" t="s">
        <v>4</v>
      </c>
      <c r="B23" s="2">
        <v>81</v>
      </c>
      <c r="C23" s="3">
        <v>81</v>
      </c>
      <c r="D23" s="36">
        <f t="shared" si="0"/>
        <v>210</v>
      </c>
      <c r="E23" s="2" t="s">
        <v>75</v>
      </c>
      <c r="F23" s="24" t="s">
        <v>303</v>
      </c>
      <c r="G23" s="2" t="s">
        <v>314</v>
      </c>
      <c r="H23" s="37" t="s">
        <v>382</v>
      </c>
    </row>
    <row r="24" spans="1:8" ht="18" x14ac:dyDescent="0.25">
      <c r="A24" s="4" t="s">
        <v>4</v>
      </c>
      <c r="B24" s="2">
        <v>221</v>
      </c>
      <c r="C24" s="3">
        <v>221</v>
      </c>
      <c r="D24" s="36">
        <f t="shared" si="0"/>
        <v>220</v>
      </c>
      <c r="E24" s="2" t="s">
        <v>76</v>
      </c>
      <c r="F24" s="24" t="s">
        <v>303</v>
      </c>
      <c r="G24" s="2" t="s">
        <v>314</v>
      </c>
      <c r="H24" s="37" t="s">
        <v>382</v>
      </c>
    </row>
    <row r="25" spans="1:8" ht="18" x14ac:dyDescent="0.25">
      <c r="A25" s="4" t="s">
        <v>7</v>
      </c>
      <c r="B25" s="2">
        <v>331</v>
      </c>
      <c r="C25" s="3">
        <v>331</v>
      </c>
      <c r="D25" s="36">
        <f t="shared" si="0"/>
        <v>230</v>
      </c>
      <c r="E25" s="2" t="s">
        <v>77</v>
      </c>
      <c r="F25" s="24" t="s">
        <v>299</v>
      </c>
      <c r="G25" s="2" t="s">
        <v>313</v>
      </c>
      <c r="H25" s="37" t="s">
        <v>379</v>
      </c>
    </row>
    <row r="26" spans="1:8" ht="18" x14ac:dyDescent="0.25">
      <c r="A26" s="4" t="s">
        <v>7</v>
      </c>
      <c r="B26" s="2">
        <v>331</v>
      </c>
      <c r="C26" s="3">
        <v>331</v>
      </c>
      <c r="D26" s="36">
        <f t="shared" si="0"/>
        <v>231</v>
      </c>
      <c r="E26" s="2" t="s">
        <v>77</v>
      </c>
      <c r="F26" s="24" t="s">
        <v>299</v>
      </c>
      <c r="G26" s="2" t="s">
        <v>313</v>
      </c>
      <c r="H26" s="37" t="s">
        <v>381</v>
      </c>
    </row>
    <row r="27" spans="1:8" ht="18" x14ac:dyDescent="0.25">
      <c r="A27" s="4" t="s">
        <v>7</v>
      </c>
      <c r="B27" s="2">
        <v>331</v>
      </c>
      <c r="C27" s="3">
        <v>331</v>
      </c>
      <c r="D27" s="36">
        <f t="shared" si="0"/>
        <v>232</v>
      </c>
      <c r="E27" s="2" t="s">
        <v>77</v>
      </c>
      <c r="F27" s="24" t="s">
        <v>299</v>
      </c>
      <c r="G27" s="2" t="s">
        <v>314</v>
      </c>
      <c r="H27" s="37" t="s">
        <v>382</v>
      </c>
    </row>
    <row r="28" spans="1:8" ht="18" x14ac:dyDescent="0.25">
      <c r="A28" s="4" t="s">
        <v>6</v>
      </c>
      <c r="B28" s="2">
        <v>832</v>
      </c>
      <c r="C28" s="3">
        <v>2289</v>
      </c>
      <c r="D28" s="36">
        <f t="shared" si="0"/>
        <v>240</v>
      </c>
      <c r="E28" s="2" t="s">
        <v>80</v>
      </c>
      <c r="F28" s="24" t="s">
        <v>304</v>
      </c>
      <c r="G28" s="2" t="s">
        <v>313</v>
      </c>
      <c r="H28" s="37" t="s">
        <v>379</v>
      </c>
    </row>
    <row r="29" spans="1:8" ht="18" x14ac:dyDescent="0.25">
      <c r="A29" s="4" t="s">
        <v>6</v>
      </c>
      <c r="B29" s="2">
        <v>830</v>
      </c>
      <c r="C29" s="3">
        <v>2290</v>
      </c>
      <c r="D29" s="36">
        <f t="shared" si="0"/>
        <v>250</v>
      </c>
      <c r="E29" s="2" t="s">
        <v>81</v>
      </c>
      <c r="F29" s="24" t="s">
        <v>304</v>
      </c>
      <c r="G29" s="2" t="s">
        <v>313</v>
      </c>
      <c r="H29" s="37" t="s">
        <v>379</v>
      </c>
    </row>
    <row r="30" spans="1:8" ht="18" x14ac:dyDescent="0.25">
      <c r="A30" s="4" t="s">
        <v>6</v>
      </c>
      <c r="B30" s="2">
        <v>669</v>
      </c>
      <c r="C30" s="3">
        <v>669</v>
      </c>
      <c r="D30" s="36">
        <f t="shared" si="0"/>
        <v>260</v>
      </c>
      <c r="E30" s="2" t="s">
        <v>82</v>
      </c>
      <c r="F30" s="24" t="s">
        <v>301</v>
      </c>
      <c r="G30" s="2" t="s">
        <v>313</v>
      </c>
      <c r="H30" s="37" t="s">
        <v>381</v>
      </c>
    </row>
    <row r="31" spans="1:8" ht="18" x14ac:dyDescent="0.25">
      <c r="A31" s="4" t="s">
        <v>6</v>
      </c>
      <c r="B31" s="2">
        <v>669</v>
      </c>
      <c r="C31" s="3">
        <v>669</v>
      </c>
      <c r="D31" s="36">
        <f t="shared" si="0"/>
        <v>261</v>
      </c>
      <c r="E31" s="2" t="s">
        <v>82</v>
      </c>
      <c r="F31" s="24" t="s">
        <v>303</v>
      </c>
      <c r="G31" s="2" t="s">
        <v>314</v>
      </c>
      <c r="H31" s="37" t="s">
        <v>382</v>
      </c>
    </row>
    <row r="32" spans="1:8" ht="18" x14ac:dyDescent="0.25">
      <c r="A32" s="4" t="s">
        <v>6</v>
      </c>
      <c r="B32" s="2">
        <v>67</v>
      </c>
      <c r="C32" s="3">
        <v>67</v>
      </c>
      <c r="D32" s="36">
        <f t="shared" si="0"/>
        <v>270</v>
      </c>
      <c r="E32" s="2" t="s">
        <v>83</v>
      </c>
      <c r="F32" s="24" t="s">
        <v>301</v>
      </c>
      <c r="G32" s="2" t="s">
        <v>313</v>
      </c>
      <c r="H32" s="37" t="s">
        <v>381</v>
      </c>
    </row>
    <row r="33" spans="1:8" ht="18" x14ac:dyDescent="0.25">
      <c r="A33" s="4" t="s">
        <v>6</v>
      </c>
      <c r="B33" s="2">
        <v>67</v>
      </c>
      <c r="C33" s="3">
        <v>67</v>
      </c>
      <c r="D33" s="36">
        <f t="shared" si="0"/>
        <v>271</v>
      </c>
      <c r="E33" s="2" t="s">
        <v>83</v>
      </c>
      <c r="F33" s="24" t="s">
        <v>303</v>
      </c>
      <c r="G33" s="2" t="s">
        <v>314</v>
      </c>
      <c r="H33" s="37" t="s">
        <v>382</v>
      </c>
    </row>
    <row r="34" spans="1:8" ht="18" x14ac:dyDescent="0.25">
      <c r="A34" s="4" t="s">
        <v>8</v>
      </c>
      <c r="B34" s="2">
        <v>109</v>
      </c>
      <c r="C34" s="3">
        <v>109</v>
      </c>
      <c r="D34" s="36">
        <f t="shared" si="0"/>
        <v>280</v>
      </c>
      <c r="E34" s="2" t="s">
        <v>84</v>
      </c>
      <c r="F34" s="24" t="s">
        <v>298</v>
      </c>
      <c r="G34" s="2" t="s">
        <v>313</v>
      </c>
      <c r="H34" s="37" t="s">
        <v>381</v>
      </c>
    </row>
    <row r="35" spans="1:8" ht="18" x14ac:dyDescent="0.25">
      <c r="A35" s="4" t="s">
        <v>8</v>
      </c>
      <c r="B35" s="2">
        <v>109</v>
      </c>
      <c r="C35" s="3">
        <v>109</v>
      </c>
      <c r="D35" s="36">
        <f t="shared" si="0"/>
        <v>281</v>
      </c>
      <c r="E35" s="2" t="s">
        <v>84</v>
      </c>
      <c r="F35" s="24" t="s">
        <v>299</v>
      </c>
      <c r="G35" s="2" t="s">
        <v>313</v>
      </c>
      <c r="H35" s="37" t="s">
        <v>381</v>
      </c>
    </row>
    <row r="36" spans="1:8" ht="18" x14ac:dyDescent="0.25">
      <c r="A36" s="4" t="s">
        <v>8</v>
      </c>
      <c r="B36" s="2">
        <v>109</v>
      </c>
      <c r="C36" s="3">
        <v>109</v>
      </c>
      <c r="D36" s="36">
        <f t="shared" si="0"/>
        <v>282</v>
      </c>
      <c r="E36" s="2" t="s">
        <v>84</v>
      </c>
      <c r="F36" s="24" t="s">
        <v>299</v>
      </c>
      <c r="G36" s="2" t="s">
        <v>314</v>
      </c>
      <c r="H36" s="37" t="s">
        <v>382</v>
      </c>
    </row>
    <row r="37" spans="1:8" ht="18" x14ac:dyDescent="0.25">
      <c r="A37" s="4" t="s">
        <v>9</v>
      </c>
      <c r="B37" s="2">
        <v>109</v>
      </c>
      <c r="C37" s="3">
        <v>2313</v>
      </c>
      <c r="D37" s="36">
        <f t="shared" si="0"/>
        <v>290</v>
      </c>
      <c r="E37" s="2" t="s">
        <v>85</v>
      </c>
      <c r="F37" s="24" t="s">
        <v>299</v>
      </c>
      <c r="G37" s="2" t="s">
        <v>313</v>
      </c>
      <c r="H37" s="37" t="s">
        <v>379</v>
      </c>
    </row>
    <row r="38" spans="1:8" ht="18" x14ac:dyDescent="0.25">
      <c r="A38" s="4" t="s">
        <v>10</v>
      </c>
      <c r="B38" s="2">
        <v>46</v>
      </c>
      <c r="C38" s="3">
        <v>46</v>
      </c>
      <c r="D38" s="36">
        <f t="shared" si="0"/>
        <v>300</v>
      </c>
      <c r="E38" s="2" t="s">
        <v>86</v>
      </c>
      <c r="F38" s="24" t="s">
        <v>302</v>
      </c>
      <c r="G38" s="2" t="s">
        <v>313</v>
      </c>
      <c r="H38" s="37" t="s">
        <v>381</v>
      </c>
    </row>
    <row r="39" spans="1:8" ht="18" x14ac:dyDescent="0.25">
      <c r="A39" s="4" t="s">
        <v>11</v>
      </c>
      <c r="B39" s="2">
        <v>46</v>
      </c>
      <c r="C39" s="3">
        <v>551</v>
      </c>
      <c r="D39" s="36">
        <f t="shared" si="0"/>
        <v>310</v>
      </c>
      <c r="E39" s="29" t="s">
        <v>87</v>
      </c>
      <c r="F39" s="30" t="s">
        <v>302</v>
      </c>
      <c r="G39" s="2" t="s">
        <v>313</v>
      </c>
      <c r="H39" s="37" t="s">
        <v>381</v>
      </c>
    </row>
    <row r="40" spans="1:8" ht="18" x14ac:dyDescent="0.25">
      <c r="A40" s="4" t="s">
        <v>12</v>
      </c>
      <c r="B40" s="2">
        <v>464</v>
      </c>
      <c r="C40" s="3">
        <v>464</v>
      </c>
      <c r="D40" s="36">
        <f t="shared" si="0"/>
        <v>320</v>
      </c>
      <c r="E40" s="10" t="s">
        <v>374</v>
      </c>
      <c r="F40" s="24" t="s">
        <v>302</v>
      </c>
      <c r="G40" s="2" t="s">
        <v>313</v>
      </c>
      <c r="H40" s="37" t="s">
        <v>381</v>
      </c>
    </row>
    <row r="41" spans="1:8" ht="18" x14ac:dyDescent="0.25">
      <c r="A41" s="4" t="s">
        <v>8</v>
      </c>
      <c r="B41" s="2">
        <v>128</v>
      </c>
      <c r="C41" s="3">
        <v>128</v>
      </c>
      <c r="D41" s="36">
        <f t="shared" si="0"/>
        <v>330</v>
      </c>
      <c r="E41" s="2" t="s">
        <v>89</v>
      </c>
      <c r="F41" s="24" t="s">
        <v>298</v>
      </c>
      <c r="G41" s="2" t="s">
        <v>313</v>
      </c>
      <c r="H41" s="37" t="s">
        <v>381</v>
      </c>
    </row>
    <row r="42" spans="1:8" ht="18" x14ac:dyDescent="0.25">
      <c r="A42" s="4" t="s">
        <v>8</v>
      </c>
      <c r="B42" s="2">
        <v>128</v>
      </c>
      <c r="C42" s="3">
        <v>128</v>
      </c>
      <c r="D42" s="36">
        <f t="shared" si="0"/>
        <v>331</v>
      </c>
      <c r="E42" s="2" t="s">
        <v>89</v>
      </c>
      <c r="F42" s="24" t="s">
        <v>299</v>
      </c>
      <c r="G42" s="2" t="s">
        <v>313</v>
      </c>
      <c r="H42" s="37" t="s">
        <v>381</v>
      </c>
    </row>
    <row r="43" spans="1:8" ht="18" x14ac:dyDescent="0.25">
      <c r="A43" s="4" t="s">
        <v>8</v>
      </c>
      <c r="B43" s="2">
        <v>128</v>
      </c>
      <c r="C43" s="3">
        <v>128</v>
      </c>
      <c r="D43" s="36">
        <f t="shared" si="0"/>
        <v>332</v>
      </c>
      <c r="E43" s="2" t="s">
        <v>89</v>
      </c>
      <c r="F43" s="24" t="s">
        <v>299</v>
      </c>
      <c r="G43" s="2" t="s">
        <v>314</v>
      </c>
      <c r="H43" s="37" t="s">
        <v>382</v>
      </c>
    </row>
    <row r="44" spans="1:8" ht="18" x14ac:dyDescent="0.25">
      <c r="A44" s="4" t="s">
        <v>9</v>
      </c>
      <c r="B44" s="2">
        <v>128</v>
      </c>
      <c r="C44" s="3">
        <v>2125</v>
      </c>
      <c r="D44" s="36">
        <f t="shared" si="0"/>
        <v>340</v>
      </c>
      <c r="E44" s="2" t="s">
        <v>90</v>
      </c>
      <c r="F44" s="24" t="s">
        <v>299</v>
      </c>
      <c r="G44" s="2" t="s">
        <v>313</v>
      </c>
      <c r="H44" s="37" t="s">
        <v>379</v>
      </c>
    </row>
    <row r="45" spans="1:8" ht="18" x14ac:dyDescent="0.25">
      <c r="A45" s="4" t="s">
        <v>13</v>
      </c>
      <c r="B45" s="2">
        <v>128</v>
      </c>
      <c r="C45" s="3">
        <v>942</v>
      </c>
      <c r="D45" s="36">
        <f t="shared" si="0"/>
        <v>350</v>
      </c>
      <c r="E45" s="29" t="s">
        <v>91</v>
      </c>
      <c r="F45" s="30" t="s">
        <v>298</v>
      </c>
      <c r="G45" s="2" t="s">
        <v>313</v>
      </c>
      <c r="H45" s="37" t="s">
        <v>381</v>
      </c>
    </row>
    <row r="46" spans="1:8" ht="18" x14ac:dyDescent="0.25">
      <c r="A46" s="4" t="s">
        <v>4</v>
      </c>
      <c r="B46" s="2">
        <v>222</v>
      </c>
      <c r="C46" s="3">
        <v>222</v>
      </c>
      <c r="D46" s="36">
        <f t="shared" si="0"/>
        <v>360</v>
      </c>
      <c r="E46" s="2" t="s">
        <v>92</v>
      </c>
      <c r="F46" s="24" t="s">
        <v>302</v>
      </c>
      <c r="G46" s="2" t="s">
        <v>313</v>
      </c>
      <c r="H46" s="37" t="s">
        <v>381</v>
      </c>
    </row>
    <row r="47" spans="1:8" ht="18" x14ac:dyDescent="0.25">
      <c r="A47" s="4" t="s">
        <v>4</v>
      </c>
      <c r="B47" s="2">
        <v>222</v>
      </c>
      <c r="C47" s="3">
        <v>222</v>
      </c>
      <c r="D47" s="36">
        <f t="shared" si="0"/>
        <v>361</v>
      </c>
      <c r="E47" s="2" t="s">
        <v>92</v>
      </c>
      <c r="F47" s="24" t="s">
        <v>303</v>
      </c>
      <c r="G47" s="2" t="s">
        <v>314</v>
      </c>
      <c r="H47" s="37" t="s">
        <v>382</v>
      </c>
    </row>
    <row r="48" spans="1:8" ht="18" x14ac:dyDescent="0.25">
      <c r="A48" s="4" t="s">
        <v>12</v>
      </c>
      <c r="B48" s="2">
        <v>1273</v>
      </c>
      <c r="C48" s="3">
        <v>1273</v>
      </c>
      <c r="D48" s="36">
        <f t="shared" si="0"/>
        <v>370</v>
      </c>
      <c r="E48" s="2" t="s">
        <v>93</v>
      </c>
      <c r="F48" s="24" t="s">
        <v>305</v>
      </c>
      <c r="G48" s="2" t="s">
        <v>313</v>
      </c>
      <c r="H48" s="37" t="s">
        <v>381</v>
      </c>
    </row>
    <row r="49" spans="1:8" ht="18" x14ac:dyDescent="0.25">
      <c r="A49" s="4" t="s">
        <v>12</v>
      </c>
      <c r="B49" s="2">
        <v>1273</v>
      </c>
      <c r="C49" s="3">
        <v>1273</v>
      </c>
      <c r="D49" s="36">
        <f t="shared" si="0"/>
        <v>371</v>
      </c>
      <c r="E49" s="10" t="s">
        <v>378</v>
      </c>
      <c r="F49" s="24" t="s">
        <v>303</v>
      </c>
      <c r="G49" s="2" t="s">
        <v>313</v>
      </c>
      <c r="H49" s="37" t="s">
        <v>381</v>
      </c>
    </row>
    <row r="50" spans="1:8" ht="18" x14ac:dyDescent="0.25">
      <c r="A50" s="4" t="s">
        <v>12</v>
      </c>
      <c r="B50" s="2">
        <v>1273</v>
      </c>
      <c r="C50" s="3">
        <v>1273</v>
      </c>
      <c r="D50" s="36">
        <f t="shared" si="0"/>
        <v>372</v>
      </c>
      <c r="E50" s="10" t="s">
        <v>378</v>
      </c>
      <c r="F50" s="24" t="s">
        <v>303</v>
      </c>
      <c r="G50" s="2" t="s">
        <v>314</v>
      </c>
      <c r="H50" s="37" t="s">
        <v>382</v>
      </c>
    </row>
    <row r="51" spans="1:8" ht="18" x14ac:dyDescent="0.25">
      <c r="A51" s="4" t="s">
        <v>14</v>
      </c>
      <c r="B51" s="2">
        <v>541</v>
      </c>
      <c r="C51" s="3">
        <v>541</v>
      </c>
      <c r="D51" s="36">
        <f t="shared" si="0"/>
        <v>380</v>
      </c>
      <c r="E51" s="2" t="s">
        <v>94</v>
      </c>
      <c r="F51" s="24" t="s">
        <v>300</v>
      </c>
      <c r="G51" s="2" t="s">
        <v>313</v>
      </c>
      <c r="H51" s="37" t="s">
        <v>381</v>
      </c>
    </row>
    <row r="52" spans="1:8" ht="18" x14ac:dyDescent="0.25">
      <c r="A52" s="4" t="s">
        <v>15</v>
      </c>
      <c r="B52" s="2">
        <v>9</v>
      </c>
      <c r="C52" s="3">
        <v>2093</v>
      </c>
      <c r="D52" s="36">
        <f t="shared" si="0"/>
        <v>390</v>
      </c>
      <c r="E52" s="2" t="s">
        <v>96</v>
      </c>
      <c r="F52" s="24" t="s">
        <v>300</v>
      </c>
      <c r="G52" s="2" t="s">
        <v>313</v>
      </c>
      <c r="H52" s="37" t="s">
        <v>379</v>
      </c>
    </row>
    <row r="53" spans="1:8" ht="18" x14ac:dyDescent="0.25">
      <c r="A53" s="4" t="s">
        <v>17</v>
      </c>
      <c r="B53" s="2">
        <v>322</v>
      </c>
      <c r="C53" s="3">
        <v>322</v>
      </c>
      <c r="D53" s="36">
        <f t="shared" si="0"/>
        <v>400</v>
      </c>
      <c r="E53" s="2" t="s">
        <v>331</v>
      </c>
      <c r="F53" s="24" t="s">
        <v>300</v>
      </c>
      <c r="G53" s="2" t="s">
        <v>313</v>
      </c>
      <c r="H53" s="37" t="s">
        <v>381</v>
      </c>
    </row>
    <row r="54" spans="1:8" ht="18" x14ac:dyDescent="0.25">
      <c r="A54" s="4" t="s">
        <v>10</v>
      </c>
      <c r="B54" s="2">
        <v>1274</v>
      </c>
      <c r="C54" s="3">
        <v>1274</v>
      </c>
      <c r="D54" s="36">
        <f t="shared" si="0"/>
        <v>410</v>
      </c>
      <c r="E54" s="2" t="s">
        <v>97</v>
      </c>
      <c r="F54" s="24" t="s">
        <v>302</v>
      </c>
      <c r="G54" s="2" t="s">
        <v>313</v>
      </c>
      <c r="H54" s="37" t="s">
        <v>381</v>
      </c>
    </row>
    <row r="55" spans="1:8" ht="18" x14ac:dyDescent="0.25">
      <c r="A55" s="4" t="s">
        <v>10</v>
      </c>
      <c r="B55" s="2">
        <v>1274</v>
      </c>
      <c r="C55" s="3">
        <v>1274</v>
      </c>
      <c r="D55" s="36">
        <f t="shared" si="0"/>
        <v>411</v>
      </c>
      <c r="E55" s="10" t="s">
        <v>377</v>
      </c>
      <c r="F55" s="24" t="s">
        <v>303</v>
      </c>
      <c r="G55" s="2" t="s">
        <v>313</v>
      </c>
      <c r="H55" s="37" t="s">
        <v>381</v>
      </c>
    </row>
    <row r="56" spans="1:8" ht="18" x14ac:dyDescent="0.25">
      <c r="A56" s="4" t="s">
        <v>10</v>
      </c>
      <c r="B56" s="2">
        <v>1274</v>
      </c>
      <c r="C56" s="3">
        <v>1274</v>
      </c>
      <c r="D56" s="36">
        <f t="shared" si="0"/>
        <v>412</v>
      </c>
      <c r="E56" s="10" t="s">
        <v>377</v>
      </c>
      <c r="F56" s="24" t="s">
        <v>303</v>
      </c>
      <c r="G56" s="2" t="s">
        <v>314</v>
      </c>
      <c r="H56" s="37" t="s">
        <v>382</v>
      </c>
    </row>
    <row r="57" spans="1:8" ht="18" x14ac:dyDescent="0.25">
      <c r="A57" s="4" t="s">
        <v>14</v>
      </c>
      <c r="B57" s="2">
        <v>1247</v>
      </c>
      <c r="C57" s="3">
        <v>1247</v>
      </c>
      <c r="D57" s="36">
        <f t="shared" si="0"/>
        <v>420</v>
      </c>
      <c r="E57" s="2" t="s">
        <v>332</v>
      </c>
      <c r="F57" s="24" t="s">
        <v>300</v>
      </c>
      <c r="G57" s="2" t="s">
        <v>313</v>
      </c>
      <c r="H57" s="37" t="s">
        <v>381</v>
      </c>
    </row>
    <row r="58" spans="1:8" ht="18" x14ac:dyDescent="0.25">
      <c r="A58" s="4" t="s">
        <v>16</v>
      </c>
      <c r="B58" s="2">
        <v>302</v>
      </c>
      <c r="C58" s="3">
        <v>2036</v>
      </c>
      <c r="D58" s="36">
        <f t="shared" si="0"/>
        <v>430</v>
      </c>
      <c r="E58" s="2" t="s">
        <v>330</v>
      </c>
      <c r="F58" s="24" t="s">
        <v>300</v>
      </c>
      <c r="G58" s="2" t="s">
        <v>313</v>
      </c>
      <c r="H58" s="37" t="s">
        <v>379</v>
      </c>
    </row>
    <row r="59" spans="1:8" ht="27" x14ac:dyDescent="0.25">
      <c r="A59" s="4" t="s">
        <v>18</v>
      </c>
      <c r="B59" s="2">
        <v>925</v>
      </c>
      <c r="C59" s="3">
        <v>925</v>
      </c>
      <c r="D59" s="36">
        <f t="shared" si="0"/>
        <v>440</v>
      </c>
      <c r="E59" s="10" t="s">
        <v>359</v>
      </c>
      <c r="F59" s="24" t="s">
        <v>305</v>
      </c>
      <c r="G59" s="2" t="s">
        <v>313</v>
      </c>
      <c r="H59" s="37" t="s">
        <v>381</v>
      </c>
    </row>
    <row r="60" spans="1:8" ht="27" x14ac:dyDescent="0.25">
      <c r="A60" s="4" t="s">
        <v>18</v>
      </c>
      <c r="B60" s="2">
        <v>924</v>
      </c>
      <c r="C60" s="3">
        <v>924</v>
      </c>
      <c r="D60" s="36">
        <f t="shared" si="0"/>
        <v>450</v>
      </c>
      <c r="E60" s="10" t="s">
        <v>360</v>
      </c>
      <c r="F60" s="24" t="s">
        <v>300</v>
      </c>
      <c r="G60" s="2" t="s">
        <v>313</v>
      </c>
      <c r="H60" s="37" t="s">
        <v>381</v>
      </c>
    </row>
    <row r="61" spans="1:8" x14ac:dyDescent="0.25">
      <c r="A61" s="4" t="s">
        <v>20</v>
      </c>
      <c r="B61" s="2">
        <v>525</v>
      </c>
      <c r="C61" s="3">
        <v>1215</v>
      </c>
      <c r="D61" s="36">
        <f t="shared" si="0"/>
        <v>460</v>
      </c>
      <c r="E61" s="29" t="s">
        <v>102</v>
      </c>
      <c r="F61" s="30" t="s">
        <v>301</v>
      </c>
      <c r="G61" s="2" t="s">
        <v>313</v>
      </c>
      <c r="H61" s="37" t="s">
        <v>379</v>
      </c>
    </row>
    <row r="62" spans="1:8" ht="18" x14ac:dyDescent="0.25">
      <c r="A62" s="4" t="s">
        <v>20</v>
      </c>
      <c r="B62" s="2">
        <v>525</v>
      </c>
      <c r="C62" s="3">
        <v>1215</v>
      </c>
      <c r="D62" s="36">
        <f t="shared" si="0"/>
        <v>461</v>
      </c>
      <c r="E62" s="29" t="s">
        <v>102</v>
      </c>
      <c r="F62" s="30" t="s">
        <v>301</v>
      </c>
      <c r="G62" s="2" t="s">
        <v>313</v>
      </c>
      <c r="H62" s="37" t="s">
        <v>381</v>
      </c>
    </row>
    <row r="63" spans="1:8" ht="18" x14ac:dyDescent="0.25">
      <c r="A63" s="4" t="s">
        <v>19</v>
      </c>
      <c r="B63" s="2">
        <v>920</v>
      </c>
      <c r="C63" s="3">
        <v>2340</v>
      </c>
      <c r="D63" s="36">
        <f t="shared" si="0"/>
        <v>470</v>
      </c>
      <c r="E63" s="2" t="s">
        <v>101</v>
      </c>
      <c r="F63" s="24" t="s">
        <v>301</v>
      </c>
      <c r="G63" s="2" t="s">
        <v>313</v>
      </c>
      <c r="H63" s="37" t="s">
        <v>379</v>
      </c>
    </row>
    <row r="64" spans="1:8" ht="18" x14ac:dyDescent="0.25">
      <c r="A64" s="4" t="s">
        <v>19</v>
      </c>
      <c r="B64" s="2">
        <v>920</v>
      </c>
      <c r="C64" s="3">
        <v>2340</v>
      </c>
      <c r="D64" s="36">
        <f t="shared" si="0"/>
        <v>471</v>
      </c>
      <c r="E64" s="2" t="s">
        <v>101</v>
      </c>
      <c r="F64" s="24" t="s">
        <v>301</v>
      </c>
      <c r="G64" s="2" t="s">
        <v>313</v>
      </c>
      <c r="H64" s="37" t="s">
        <v>381</v>
      </c>
    </row>
    <row r="65" spans="1:8" x14ac:dyDescent="0.25">
      <c r="A65" s="4" t="s">
        <v>21</v>
      </c>
      <c r="B65" s="2">
        <v>119</v>
      </c>
      <c r="C65" s="3">
        <v>119</v>
      </c>
      <c r="D65" s="36">
        <f t="shared" si="0"/>
        <v>480</v>
      </c>
      <c r="E65" s="2" t="s">
        <v>103</v>
      </c>
      <c r="F65" s="24" t="s">
        <v>306</v>
      </c>
      <c r="G65" s="2" t="s">
        <v>313</v>
      </c>
      <c r="H65" s="37" t="s">
        <v>379</v>
      </c>
    </row>
    <row r="66" spans="1:8" ht="18" x14ac:dyDescent="0.25">
      <c r="A66" s="4" t="s">
        <v>21</v>
      </c>
      <c r="B66" s="2">
        <v>119</v>
      </c>
      <c r="C66" s="3">
        <v>119</v>
      </c>
      <c r="D66" s="36">
        <f t="shared" si="0"/>
        <v>481</v>
      </c>
      <c r="E66" s="2" t="s">
        <v>103</v>
      </c>
      <c r="F66" s="24" t="s">
        <v>305</v>
      </c>
      <c r="G66" s="2" t="s">
        <v>313</v>
      </c>
      <c r="H66" s="37" t="s">
        <v>381</v>
      </c>
    </row>
    <row r="67" spans="1:8" ht="18" x14ac:dyDescent="0.25">
      <c r="A67" s="4" t="s">
        <v>21</v>
      </c>
      <c r="B67" s="2">
        <v>119</v>
      </c>
      <c r="C67" s="3">
        <v>119</v>
      </c>
      <c r="D67" s="36">
        <f t="shared" si="0"/>
        <v>482</v>
      </c>
      <c r="E67" s="2" t="s">
        <v>103</v>
      </c>
      <c r="F67" s="24" t="s">
        <v>306</v>
      </c>
      <c r="G67" s="2" t="s">
        <v>313</v>
      </c>
      <c r="H67" s="37" t="s">
        <v>381</v>
      </c>
    </row>
    <row r="68" spans="1:8" ht="27" x14ac:dyDescent="0.25">
      <c r="A68" s="4" t="s">
        <v>18</v>
      </c>
      <c r="B68" s="2">
        <v>1219</v>
      </c>
      <c r="C68" s="3">
        <v>1219</v>
      </c>
      <c r="D68" s="36">
        <f t="shared" ref="D68:D131" si="1">IF(C68=C67,D67+1,MROUND(D67,10)+10)</f>
        <v>490</v>
      </c>
      <c r="E68" s="2" t="s">
        <v>114</v>
      </c>
      <c r="F68" s="24" t="s">
        <v>302</v>
      </c>
      <c r="G68" s="2" t="s">
        <v>313</v>
      </c>
      <c r="H68" s="37" t="s">
        <v>381</v>
      </c>
    </row>
    <row r="69" spans="1:8" ht="18" x14ac:dyDescent="0.25">
      <c r="A69" s="4" t="s">
        <v>8</v>
      </c>
      <c r="B69" s="2">
        <v>129</v>
      </c>
      <c r="C69" s="3">
        <v>129</v>
      </c>
      <c r="D69" s="36">
        <f t="shared" si="1"/>
        <v>500</v>
      </c>
      <c r="E69" s="2" t="s">
        <v>104</v>
      </c>
      <c r="F69" s="24" t="s">
        <v>306</v>
      </c>
      <c r="G69" s="2" t="s">
        <v>313</v>
      </c>
      <c r="H69" s="37" t="s">
        <v>379</v>
      </c>
    </row>
    <row r="70" spans="1:8" ht="18" x14ac:dyDescent="0.25">
      <c r="A70" s="4" t="s">
        <v>8</v>
      </c>
      <c r="B70" s="2">
        <v>129</v>
      </c>
      <c r="C70" s="3">
        <v>129</v>
      </c>
      <c r="D70" s="36">
        <f t="shared" si="1"/>
        <v>501</v>
      </c>
      <c r="E70" s="2" t="s">
        <v>104</v>
      </c>
      <c r="F70" s="24" t="s">
        <v>307</v>
      </c>
      <c r="G70" s="2" t="s">
        <v>313</v>
      </c>
      <c r="H70" s="37" t="s">
        <v>381</v>
      </c>
    </row>
    <row r="71" spans="1:8" ht="18" x14ac:dyDescent="0.25">
      <c r="A71" s="4" t="s">
        <v>8</v>
      </c>
      <c r="B71" s="2">
        <v>129</v>
      </c>
      <c r="C71" s="3">
        <v>129</v>
      </c>
      <c r="D71" s="36">
        <f t="shared" si="1"/>
        <v>502</v>
      </c>
      <c r="E71" s="2" t="s">
        <v>104</v>
      </c>
      <c r="F71" s="24" t="s">
        <v>305</v>
      </c>
      <c r="G71" s="2" t="s">
        <v>313</v>
      </c>
      <c r="H71" s="37" t="s">
        <v>381</v>
      </c>
    </row>
    <row r="72" spans="1:8" ht="18" x14ac:dyDescent="0.25">
      <c r="A72" s="4" t="s">
        <v>8</v>
      </c>
      <c r="B72" s="2">
        <v>129</v>
      </c>
      <c r="C72" s="3">
        <v>129</v>
      </c>
      <c r="D72" s="36">
        <f t="shared" si="1"/>
        <v>503</v>
      </c>
      <c r="E72" s="2" t="s">
        <v>104</v>
      </c>
      <c r="F72" s="24" t="s">
        <v>306</v>
      </c>
      <c r="G72" s="2" t="s">
        <v>313</v>
      </c>
      <c r="H72" s="37" t="s">
        <v>381</v>
      </c>
    </row>
    <row r="73" spans="1:8" ht="18" x14ac:dyDescent="0.25">
      <c r="A73" s="4" t="s">
        <v>22</v>
      </c>
      <c r="B73" s="2">
        <v>946</v>
      </c>
      <c r="C73" s="3">
        <v>2377</v>
      </c>
      <c r="D73" s="36">
        <f t="shared" si="1"/>
        <v>510</v>
      </c>
      <c r="E73" s="29" t="s">
        <v>105</v>
      </c>
      <c r="F73" s="30" t="s">
        <v>302</v>
      </c>
      <c r="G73" s="2" t="s">
        <v>313</v>
      </c>
      <c r="H73" s="37" t="s">
        <v>379</v>
      </c>
    </row>
    <row r="74" spans="1:8" ht="18" x14ac:dyDescent="0.25">
      <c r="A74" s="4" t="s">
        <v>8</v>
      </c>
      <c r="B74" s="2">
        <v>525</v>
      </c>
      <c r="C74" s="3">
        <v>525</v>
      </c>
      <c r="D74" s="36">
        <f t="shared" si="1"/>
        <v>520</v>
      </c>
      <c r="E74" s="2" t="s">
        <v>107</v>
      </c>
      <c r="F74" s="24" t="s">
        <v>307</v>
      </c>
      <c r="G74" s="2" t="s">
        <v>313</v>
      </c>
      <c r="H74" s="37" t="s">
        <v>381</v>
      </c>
    </row>
    <row r="75" spans="1:8" ht="27" x14ac:dyDescent="0.25">
      <c r="A75" s="4" t="s">
        <v>18</v>
      </c>
      <c r="B75" s="2">
        <v>63</v>
      </c>
      <c r="C75" s="3">
        <v>63</v>
      </c>
      <c r="D75" s="36">
        <f t="shared" si="1"/>
        <v>530</v>
      </c>
      <c r="E75" s="2" t="s">
        <v>333</v>
      </c>
      <c r="F75" s="24" t="s">
        <v>305</v>
      </c>
      <c r="G75" s="2" t="s">
        <v>313</v>
      </c>
      <c r="H75" s="37" t="s">
        <v>381</v>
      </c>
    </row>
    <row r="76" spans="1:8" ht="27" x14ac:dyDescent="0.25">
      <c r="A76" s="4" t="s">
        <v>18</v>
      </c>
      <c r="B76" s="2">
        <v>1217</v>
      </c>
      <c r="C76" s="3">
        <v>1217</v>
      </c>
      <c r="D76" s="36">
        <f t="shared" si="1"/>
        <v>540</v>
      </c>
      <c r="E76" s="2" t="s">
        <v>115</v>
      </c>
      <c r="F76" s="24" t="s">
        <v>302</v>
      </c>
      <c r="G76" s="2" t="s">
        <v>313</v>
      </c>
      <c r="H76" s="37" t="s">
        <v>381</v>
      </c>
    </row>
    <row r="77" spans="1:8" ht="27" x14ac:dyDescent="0.25">
      <c r="A77" s="4" t="s">
        <v>18</v>
      </c>
      <c r="B77" s="2">
        <v>1218</v>
      </c>
      <c r="C77" s="3">
        <v>1218</v>
      </c>
      <c r="D77" s="36">
        <f t="shared" si="1"/>
        <v>550</v>
      </c>
      <c r="E77" s="2" t="s">
        <v>117</v>
      </c>
      <c r="F77" s="24" t="s">
        <v>302</v>
      </c>
      <c r="G77" s="2" t="s">
        <v>313</v>
      </c>
      <c r="H77" s="37" t="s">
        <v>381</v>
      </c>
    </row>
    <row r="78" spans="1:8" ht="18" x14ac:dyDescent="0.25">
      <c r="A78" s="4" t="s">
        <v>10</v>
      </c>
      <c r="B78" s="2">
        <v>247</v>
      </c>
      <c r="C78" s="3">
        <v>247</v>
      </c>
      <c r="D78" s="36">
        <f t="shared" si="1"/>
        <v>560</v>
      </c>
      <c r="E78" s="2" t="s">
        <v>328</v>
      </c>
      <c r="F78" s="24" t="s">
        <v>303</v>
      </c>
      <c r="G78" s="2" t="s">
        <v>313</v>
      </c>
      <c r="H78" s="37" t="s">
        <v>381</v>
      </c>
    </row>
    <row r="79" spans="1:8" ht="18" x14ac:dyDescent="0.25">
      <c r="A79" s="4" t="s">
        <v>10</v>
      </c>
      <c r="B79" s="2">
        <v>247</v>
      </c>
      <c r="C79" s="3">
        <v>247</v>
      </c>
      <c r="D79" s="36">
        <f t="shared" si="1"/>
        <v>561</v>
      </c>
      <c r="E79" s="2" t="s">
        <v>328</v>
      </c>
      <c r="F79" s="24" t="s">
        <v>303</v>
      </c>
      <c r="G79" s="2" t="s">
        <v>314</v>
      </c>
      <c r="H79" s="37" t="s">
        <v>382</v>
      </c>
    </row>
    <row r="80" spans="1:8" ht="18" x14ac:dyDescent="0.25">
      <c r="A80" s="4" t="s">
        <v>4</v>
      </c>
      <c r="B80" s="2">
        <v>561</v>
      </c>
      <c r="C80" s="3">
        <v>561</v>
      </c>
      <c r="D80" s="36">
        <f t="shared" si="1"/>
        <v>570</v>
      </c>
      <c r="E80" s="2" t="s">
        <v>108</v>
      </c>
      <c r="F80" s="24" t="s">
        <v>302</v>
      </c>
      <c r="G80" s="2" t="s">
        <v>313</v>
      </c>
      <c r="H80" s="37" t="s">
        <v>381</v>
      </c>
    </row>
    <row r="81" spans="1:8" ht="18" x14ac:dyDescent="0.25">
      <c r="A81" s="4" t="s">
        <v>4</v>
      </c>
      <c r="B81" s="2">
        <v>561</v>
      </c>
      <c r="C81" s="3">
        <v>561</v>
      </c>
      <c r="D81" s="36">
        <f t="shared" si="1"/>
        <v>571</v>
      </c>
      <c r="E81" s="2" t="s">
        <v>108</v>
      </c>
      <c r="F81" s="24" t="s">
        <v>303</v>
      </c>
      <c r="G81" s="2" t="s">
        <v>314</v>
      </c>
      <c r="H81" s="37" t="s">
        <v>382</v>
      </c>
    </row>
    <row r="82" spans="1:8" ht="18" x14ac:dyDescent="0.25">
      <c r="A82" s="4" t="s">
        <v>8</v>
      </c>
      <c r="B82" s="2">
        <v>533</v>
      </c>
      <c r="C82" s="3">
        <v>533</v>
      </c>
      <c r="D82" s="36">
        <f t="shared" si="1"/>
        <v>580</v>
      </c>
      <c r="E82" s="2" t="s">
        <v>109</v>
      </c>
      <c r="F82" s="24" t="s">
        <v>302</v>
      </c>
      <c r="G82" s="2" t="s">
        <v>313</v>
      </c>
      <c r="H82" s="37" t="s">
        <v>381</v>
      </c>
    </row>
    <row r="83" spans="1:8" ht="18" x14ac:dyDescent="0.25">
      <c r="A83" s="4" t="s">
        <v>13</v>
      </c>
      <c r="B83" s="2">
        <v>943</v>
      </c>
      <c r="C83" s="3">
        <v>943</v>
      </c>
      <c r="D83" s="36">
        <f t="shared" si="1"/>
        <v>590</v>
      </c>
      <c r="E83" s="29" t="s">
        <v>110</v>
      </c>
      <c r="F83" s="30" t="s">
        <v>302</v>
      </c>
      <c r="G83" s="2" t="s">
        <v>313</v>
      </c>
      <c r="H83" s="37" t="s">
        <v>381</v>
      </c>
    </row>
    <row r="84" spans="1:8" ht="18" x14ac:dyDescent="0.25">
      <c r="A84" s="4" t="s">
        <v>23</v>
      </c>
      <c r="B84" s="2">
        <v>764</v>
      </c>
      <c r="C84" s="3">
        <v>764</v>
      </c>
      <c r="D84" s="36">
        <f t="shared" si="1"/>
        <v>600</v>
      </c>
      <c r="E84" s="2" t="s">
        <v>111</v>
      </c>
      <c r="F84" s="24" t="s">
        <v>302</v>
      </c>
      <c r="G84" s="2" t="s">
        <v>313</v>
      </c>
      <c r="H84" s="37" t="s">
        <v>381</v>
      </c>
    </row>
    <row r="85" spans="1:8" ht="18" x14ac:dyDescent="0.25">
      <c r="A85" s="4" t="s">
        <v>5</v>
      </c>
      <c r="B85" s="2">
        <v>356</v>
      </c>
      <c r="C85" s="3">
        <v>356</v>
      </c>
      <c r="D85" s="36">
        <f t="shared" si="1"/>
        <v>610</v>
      </c>
      <c r="E85" s="2" t="s">
        <v>112</v>
      </c>
      <c r="F85" s="24" t="s">
        <v>307</v>
      </c>
      <c r="G85" s="2" t="s">
        <v>313</v>
      </c>
      <c r="H85" s="37" t="s">
        <v>381</v>
      </c>
    </row>
    <row r="86" spans="1:8" ht="18" x14ac:dyDescent="0.25">
      <c r="A86" s="4" t="s">
        <v>5</v>
      </c>
      <c r="B86" s="2">
        <v>356</v>
      </c>
      <c r="C86" s="3">
        <v>356</v>
      </c>
      <c r="D86" s="36">
        <f t="shared" si="1"/>
        <v>611</v>
      </c>
      <c r="E86" s="2" t="s">
        <v>112</v>
      </c>
      <c r="F86" s="24" t="s">
        <v>302</v>
      </c>
      <c r="G86" s="2" t="s">
        <v>313</v>
      </c>
      <c r="H86" s="37" t="s">
        <v>381</v>
      </c>
    </row>
    <row r="87" spans="1:8" ht="18" x14ac:dyDescent="0.25">
      <c r="A87" s="4" t="s">
        <v>7</v>
      </c>
      <c r="B87" s="2">
        <v>195</v>
      </c>
      <c r="C87" s="3">
        <v>195</v>
      </c>
      <c r="D87" s="36">
        <f t="shared" si="1"/>
        <v>620</v>
      </c>
      <c r="E87" s="2" t="s">
        <v>113</v>
      </c>
      <c r="F87" s="24" t="s">
        <v>302</v>
      </c>
      <c r="G87" s="2" t="s">
        <v>313</v>
      </c>
      <c r="H87" s="37" t="s">
        <v>381</v>
      </c>
    </row>
    <row r="88" spans="1:8" ht="18" x14ac:dyDescent="0.25">
      <c r="A88" s="4" t="s">
        <v>7</v>
      </c>
      <c r="B88" s="2">
        <v>195</v>
      </c>
      <c r="C88" s="3">
        <v>195</v>
      </c>
      <c r="D88" s="36">
        <f t="shared" si="1"/>
        <v>621</v>
      </c>
      <c r="E88" s="10" t="s">
        <v>372</v>
      </c>
      <c r="F88" s="24" t="s">
        <v>305</v>
      </c>
      <c r="G88" s="2" t="s">
        <v>313</v>
      </c>
      <c r="H88" s="37" t="s">
        <v>381</v>
      </c>
    </row>
    <row r="89" spans="1:8" ht="18" x14ac:dyDescent="0.25">
      <c r="A89" s="4" t="s">
        <v>24</v>
      </c>
      <c r="B89" s="2">
        <v>738</v>
      </c>
      <c r="C89" s="3">
        <v>738</v>
      </c>
      <c r="D89" s="36">
        <f t="shared" si="1"/>
        <v>630</v>
      </c>
      <c r="E89" s="2" t="s">
        <v>118</v>
      </c>
      <c r="F89" s="24" t="s">
        <v>300</v>
      </c>
      <c r="G89" s="2" t="s">
        <v>313</v>
      </c>
      <c r="H89" s="37" t="s">
        <v>381</v>
      </c>
    </row>
    <row r="90" spans="1:8" ht="18" x14ac:dyDescent="0.25">
      <c r="A90" s="4" t="s">
        <v>26</v>
      </c>
      <c r="B90" s="2">
        <v>23</v>
      </c>
      <c r="C90" s="3">
        <v>23</v>
      </c>
      <c r="D90" s="36">
        <f t="shared" si="1"/>
        <v>640</v>
      </c>
      <c r="E90" s="2" t="s">
        <v>371</v>
      </c>
      <c r="F90" s="24" t="s">
        <v>300</v>
      </c>
      <c r="G90" s="2" t="s">
        <v>313</v>
      </c>
      <c r="H90" s="37" t="s">
        <v>381</v>
      </c>
    </row>
    <row r="91" spans="1:8" ht="18" x14ac:dyDescent="0.25">
      <c r="A91" s="4" t="s">
        <v>12</v>
      </c>
      <c r="B91" s="2">
        <v>770</v>
      </c>
      <c r="C91" s="3">
        <v>770</v>
      </c>
      <c r="D91" s="36">
        <f t="shared" si="1"/>
        <v>650</v>
      </c>
      <c r="E91" s="2" t="s">
        <v>334</v>
      </c>
      <c r="F91" s="24" t="s">
        <v>303</v>
      </c>
      <c r="G91" s="2" t="s">
        <v>313</v>
      </c>
      <c r="H91" s="37" t="s">
        <v>381</v>
      </c>
    </row>
    <row r="92" spans="1:8" ht="18" x14ac:dyDescent="0.25">
      <c r="A92" s="4" t="s">
        <v>12</v>
      </c>
      <c r="B92" s="2">
        <v>770</v>
      </c>
      <c r="C92" s="3">
        <v>770</v>
      </c>
      <c r="D92" s="36">
        <f t="shared" si="1"/>
        <v>651</v>
      </c>
      <c r="E92" s="2" t="s">
        <v>334</v>
      </c>
      <c r="F92" s="24" t="s">
        <v>302</v>
      </c>
      <c r="G92" s="2" t="s">
        <v>313</v>
      </c>
      <c r="H92" s="37" t="s">
        <v>381</v>
      </c>
    </row>
    <row r="93" spans="1:8" ht="18" x14ac:dyDescent="0.25">
      <c r="A93" s="4" t="s">
        <v>12</v>
      </c>
      <c r="B93" s="2">
        <v>770</v>
      </c>
      <c r="C93" s="3">
        <v>770</v>
      </c>
      <c r="D93" s="36">
        <f t="shared" si="1"/>
        <v>652</v>
      </c>
      <c r="E93" s="2" t="s">
        <v>334</v>
      </c>
      <c r="F93" s="24" t="s">
        <v>303</v>
      </c>
      <c r="G93" s="2" t="s">
        <v>314</v>
      </c>
      <c r="H93" s="37" t="s">
        <v>382</v>
      </c>
    </row>
    <row r="94" spans="1:8" ht="18" x14ac:dyDescent="0.25">
      <c r="A94" s="4" t="s">
        <v>27</v>
      </c>
      <c r="B94" s="2">
        <v>179</v>
      </c>
      <c r="C94" s="3">
        <v>2185</v>
      </c>
      <c r="D94" s="36">
        <f t="shared" si="1"/>
        <v>660</v>
      </c>
      <c r="E94" s="29" t="s">
        <v>336</v>
      </c>
      <c r="F94" s="30" t="s">
        <v>300</v>
      </c>
      <c r="G94" s="2" t="s">
        <v>313</v>
      </c>
      <c r="H94" s="37" t="s">
        <v>379</v>
      </c>
    </row>
    <row r="95" spans="1:8" ht="18" x14ac:dyDescent="0.25">
      <c r="A95" s="4" t="s">
        <v>28</v>
      </c>
      <c r="B95" s="2">
        <v>178</v>
      </c>
      <c r="C95" s="3">
        <v>178</v>
      </c>
      <c r="D95" s="36">
        <f t="shared" si="1"/>
        <v>670</v>
      </c>
      <c r="E95" s="29" t="s">
        <v>121</v>
      </c>
      <c r="F95" s="30" t="s">
        <v>303</v>
      </c>
      <c r="G95" s="2" t="s">
        <v>313</v>
      </c>
      <c r="H95" s="37" t="s">
        <v>381</v>
      </c>
    </row>
    <row r="96" spans="1:8" ht="18" x14ac:dyDescent="0.25">
      <c r="A96" s="4" t="s">
        <v>28</v>
      </c>
      <c r="B96" s="2">
        <v>178</v>
      </c>
      <c r="C96" s="3">
        <v>178</v>
      </c>
      <c r="D96" s="36">
        <f t="shared" si="1"/>
        <v>671</v>
      </c>
      <c r="E96" s="29" t="s">
        <v>121</v>
      </c>
      <c r="F96" s="30" t="s">
        <v>302</v>
      </c>
      <c r="G96" s="2" t="s">
        <v>313</v>
      </c>
      <c r="H96" s="37" t="s">
        <v>381</v>
      </c>
    </row>
    <row r="97" spans="1:8" ht="18" x14ac:dyDescent="0.25">
      <c r="A97" s="4" t="s">
        <v>10</v>
      </c>
      <c r="B97" s="2">
        <v>41</v>
      </c>
      <c r="C97" s="3">
        <v>41</v>
      </c>
      <c r="D97" s="36">
        <f t="shared" si="1"/>
        <v>680</v>
      </c>
      <c r="E97" s="2" t="s">
        <v>337</v>
      </c>
      <c r="F97" s="24" t="s">
        <v>303</v>
      </c>
      <c r="G97" s="2" t="s">
        <v>313</v>
      </c>
      <c r="H97" s="37" t="s">
        <v>381</v>
      </c>
    </row>
    <row r="98" spans="1:8" ht="18" x14ac:dyDescent="0.25">
      <c r="A98" s="4" t="s">
        <v>10</v>
      </c>
      <c r="B98" s="2">
        <v>41</v>
      </c>
      <c r="C98" s="3">
        <v>41</v>
      </c>
      <c r="D98" s="36">
        <f t="shared" si="1"/>
        <v>681</v>
      </c>
      <c r="E98" s="2" t="s">
        <v>337</v>
      </c>
      <c r="F98" s="24" t="s">
        <v>305</v>
      </c>
      <c r="G98" s="2" t="s">
        <v>313</v>
      </c>
      <c r="H98" s="37" t="s">
        <v>381</v>
      </c>
    </row>
    <row r="99" spans="1:8" ht="18" x14ac:dyDescent="0.25">
      <c r="A99" s="4" t="s">
        <v>10</v>
      </c>
      <c r="B99" s="2">
        <v>41</v>
      </c>
      <c r="C99" s="3">
        <v>41</v>
      </c>
      <c r="D99" s="36">
        <f t="shared" si="1"/>
        <v>682</v>
      </c>
      <c r="E99" s="2" t="s">
        <v>337</v>
      </c>
      <c r="F99" s="24" t="s">
        <v>302</v>
      </c>
      <c r="G99" s="2" t="s">
        <v>313</v>
      </c>
      <c r="H99" s="37" t="s">
        <v>381</v>
      </c>
    </row>
    <row r="100" spans="1:8" ht="18" x14ac:dyDescent="0.25">
      <c r="A100" s="4" t="s">
        <v>10</v>
      </c>
      <c r="B100" s="2">
        <v>41</v>
      </c>
      <c r="C100" s="3">
        <v>41</v>
      </c>
      <c r="D100" s="36">
        <f t="shared" si="1"/>
        <v>683</v>
      </c>
      <c r="E100" s="2" t="s">
        <v>337</v>
      </c>
      <c r="F100" s="24" t="s">
        <v>303</v>
      </c>
      <c r="G100" s="2" t="s">
        <v>314</v>
      </c>
      <c r="H100" s="37" t="s">
        <v>382</v>
      </c>
    </row>
    <row r="101" spans="1:8" ht="18" x14ac:dyDescent="0.25">
      <c r="A101" s="4" t="s">
        <v>11</v>
      </c>
      <c r="B101" s="2">
        <v>41</v>
      </c>
      <c r="C101" s="3">
        <v>543</v>
      </c>
      <c r="D101" s="36">
        <f t="shared" si="1"/>
        <v>690</v>
      </c>
      <c r="E101" s="29" t="s">
        <v>338</v>
      </c>
      <c r="F101" s="30" t="s">
        <v>302</v>
      </c>
      <c r="G101" s="2" t="s">
        <v>313</v>
      </c>
      <c r="H101" s="37" t="s">
        <v>381</v>
      </c>
    </row>
    <row r="102" spans="1:8" ht="18" x14ac:dyDescent="0.25">
      <c r="A102" s="4" t="s">
        <v>10</v>
      </c>
      <c r="B102" s="2">
        <v>796</v>
      </c>
      <c r="C102" s="3">
        <v>796</v>
      </c>
      <c r="D102" s="36">
        <f t="shared" si="1"/>
        <v>700</v>
      </c>
      <c r="E102" s="2" t="s">
        <v>119</v>
      </c>
      <c r="F102" s="24" t="s">
        <v>303</v>
      </c>
      <c r="G102" s="2" t="s">
        <v>313</v>
      </c>
      <c r="H102" s="37" t="s">
        <v>381</v>
      </c>
    </row>
    <row r="103" spans="1:8" ht="18" x14ac:dyDescent="0.25">
      <c r="A103" s="4" t="s">
        <v>10</v>
      </c>
      <c r="B103" s="2">
        <v>796</v>
      </c>
      <c r="C103" s="3">
        <v>796</v>
      </c>
      <c r="D103" s="36">
        <f t="shared" si="1"/>
        <v>701</v>
      </c>
      <c r="E103" s="2" t="s">
        <v>119</v>
      </c>
      <c r="F103" s="24" t="s">
        <v>305</v>
      </c>
      <c r="G103" s="2" t="s">
        <v>313</v>
      </c>
      <c r="H103" s="37" t="s">
        <v>381</v>
      </c>
    </row>
    <row r="104" spans="1:8" ht="18" x14ac:dyDescent="0.25">
      <c r="A104" s="4" t="s">
        <v>10</v>
      </c>
      <c r="B104" s="2">
        <v>796</v>
      </c>
      <c r="C104" s="3">
        <v>796</v>
      </c>
      <c r="D104" s="36">
        <f t="shared" si="1"/>
        <v>702</v>
      </c>
      <c r="E104" s="2" t="s">
        <v>119</v>
      </c>
      <c r="F104" s="24" t="s">
        <v>302</v>
      </c>
      <c r="G104" s="2" t="s">
        <v>313</v>
      </c>
      <c r="H104" s="37" t="s">
        <v>381</v>
      </c>
    </row>
    <row r="105" spans="1:8" ht="18" x14ac:dyDescent="0.25">
      <c r="A105" s="4" t="s">
        <v>10</v>
      </c>
      <c r="B105" s="2">
        <v>796</v>
      </c>
      <c r="C105" s="3">
        <v>796</v>
      </c>
      <c r="D105" s="36">
        <f t="shared" si="1"/>
        <v>703</v>
      </c>
      <c r="E105" s="2" t="s">
        <v>119</v>
      </c>
      <c r="F105" s="24" t="s">
        <v>303</v>
      </c>
      <c r="G105" s="2" t="s">
        <v>314</v>
      </c>
      <c r="H105" s="37" t="s">
        <v>382</v>
      </c>
    </row>
    <row r="106" spans="1:8" ht="18" x14ac:dyDescent="0.25">
      <c r="A106" s="4" t="s">
        <v>25</v>
      </c>
      <c r="B106" s="2">
        <v>796</v>
      </c>
      <c r="C106" s="3">
        <v>1240</v>
      </c>
      <c r="D106" s="36">
        <f t="shared" si="1"/>
        <v>710</v>
      </c>
      <c r="E106" s="29" t="s">
        <v>120</v>
      </c>
      <c r="F106" s="30" t="s">
        <v>305</v>
      </c>
      <c r="G106" s="2" t="s">
        <v>313</v>
      </c>
      <c r="H106" s="37" t="s">
        <v>381</v>
      </c>
    </row>
    <row r="107" spans="1:8" ht="18" x14ac:dyDescent="0.25">
      <c r="A107" s="4" t="s">
        <v>25</v>
      </c>
      <c r="B107" s="2">
        <v>796</v>
      </c>
      <c r="C107" s="3">
        <v>1240</v>
      </c>
      <c r="D107" s="36">
        <f t="shared" si="1"/>
        <v>711</v>
      </c>
      <c r="E107" s="29" t="s">
        <v>120</v>
      </c>
      <c r="F107" s="30" t="s">
        <v>302</v>
      </c>
      <c r="G107" s="2" t="s">
        <v>313</v>
      </c>
      <c r="H107" s="37" t="s">
        <v>381</v>
      </c>
    </row>
    <row r="108" spans="1:8" ht="18" x14ac:dyDescent="0.25">
      <c r="A108" s="4" t="s">
        <v>15</v>
      </c>
      <c r="B108" s="2">
        <v>340</v>
      </c>
      <c r="C108" s="3">
        <v>2281</v>
      </c>
      <c r="D108" s="36">
        <f t="shared" si="1"/>
        <v>720</v>
      </c>
      <c r="E108" s="2" t="s">
        <v>341</v>
      </c>
      <c r="F108" s="24" t="s">
        <v>300</v>
      </c>
      <c r="G108" s="2" t="s">
        <v>313</v>
      </c>
      <c r="H108" s="37" t="s">
        <v>379</v>
      </c>
    </row>
    <row r="109" spans="1:8" ht="18" x14ac:dyDescent="0.25">
      <c r="A109" s="4" t="s">
        <v>26</v>
      </c>
      <c r="B109" s="2">
        <v>24</v>
      </c>
      <c r="C109" s="3">
        <v>24</v>
      </c>
      <c r="D109" s="36">
        <f t="shared" si="1"/>
        <v>730</v>
      </c>
      <c r="E109" s="2" t="s">
        <v>123</v>
      </c>
      <c r="F109" s="24" t="s">
        <v>300</v>
      </c>
      <c r="G109" s="2" t="s">
        <v>313</v>
      </c>
      <c r="H109" s="37" t="s">
        <v>381</v>
      </c>
    </row>
    <row r="110" spans="1:8" ht="18" x14ac:dyDescent="0.25">
      <c r="A110" s="4" t="s">
        <v>10</v>
      </c>
      <c r="B110" s="2">
        <v>39</v>
      </c>
      <c r="C110" s="3">
        <v>39</v>
      </c>
      <c r="D110" s="36">
        <f t="shared" si="1"/>
        <v>740</v>
      </c>
      <c r="E110" s="2" t="s">
        <v>342</v>
      </c>
      <c r="F110" s="24" t="s">
        <v>303</v>
      </c>
      <c r="G110" s="2" t="s">
        <v>313</v>
      </c>
      <c r="H110" s="37" t="s">
        <v>381</v>
      </c>
    </row>
    <row r="111" spans="1:8" ht="18" x14ac:dyDescent="0.25">
      <c r="A111" s="4" t="s">
        <v>10</v>
      </c>
      <c r="B111" s="2">
        <v>39</v>
      </c>
      <c r="C111" s="3">
        <v>39</v>
      </c>
      <c r="D111" s="36">
        <f t="shared" si="1"/>
        <v>741</v>
      </c>
      <c r="E111" s="2" t="s">
        <v>342</v>
      </c>
      <c r="F111" s="24" t="s">
        <v>305</v>
      </c>
      <c r="G111" s="2" t="s">
        <v>313</v>
      </c>
      <c r="H111" s="37" t="s">
        <v>381</v>
      </c>
    </row>
    <row r="112" spans="1:8" ht="18" x14ac:dyDescent="0.25">
      <c r="A112" s="4" t="s">
        <v>10</v>
      </c>
      <c r="B112" s="2">
        <v>39</v>
      </c>
      <c r="C112" s="3">
        <v>39</v>
      </c>
      <c r="D112" s="36">
        <f t="shared" si="1"/>
        <v>742</v>
      </c>
      <c r="E112" s="2" t="s">
        <v>342</v>
      </c>
      <c r="F112" s="24" t="s">
        <v>302</v>
      </c>
      <c r="G112" s="2" t="s">
        <v>313</v>
      </c>
      <c r="H112" s="37" t="s">
        <v>381</v>
      </c>
    </row>
    <row r="113" spans="1:8" ht="18" x14ac:dyDescent="0.25">
      <c r="A113" s="4" t="s">
        <v>10</v>
      </c>
      <c r="B113" s="2">
        <v>39</v>
      </c>
      <c r="C113" s="3">
        <v>39</v>
      </c>
      <c r="D113" s="36">
        <f t="shared" si="1"/>
        <v>743</v>
      </c>
      <c r="E113" s="2" t="s">
        <v>342</v>
      </c>
      <c r="F113" s="24" t="s">
        <v>303</v>
      </c>
      <c r="G113" s="2" t="s">
        <v>314</v>
      </c>
      <c r="H113" s="37" t="s">
        <v>382</v>
      </c>
    </row>
    <row r="114" spans="1:8" ht="18" x14ac:dyDescent="0.25">
      <c r="A114" s="4" t="s">
        <v>25</v>
      </c>
      <c r="B114" s="2">
        <v>39</v>
      </c>
      <c r="C114" s="3">
        <v>1241</v>
      </c>
      <c r="D114" s="36">
        <f t="shared" si="1"/>
        <v>750</v>
      </c>
      <c r="E114" s="29" t="s">
        <v>343</v>
      </c>
      <c r="F114" s="30" t="s">
        <v>303</v>
      </c>
      <c r="G114" s="2" t="s">
        <v>313</v>
      </c>
      <c r="H114" s="37" t="s">
        <v>381</v>
      </c>
    </row>
    <row r="115" spans="1:8" ht="18" x14ac:dyDescent="0.25">
      <c r="A115" s="4" t="s">
        <v>14</v>
      </c>
      <c r="B115" s="2">
        <v>38</v>
      </c>
      <c r="C115" s="3">
        <v>38</v>
      </c>
      <c r="D115" s="36">
        <f t="shared" si="1"/>
        <v>760</v>
      </c>
      <c r="E115" s="2" t="s">
        <v>344</v>
      </c>
      <c r="F115" s="24" t="s">
        <v>300</v>
      </c>
      <c r="G115" s="2" t="s">
        <v>313</v>
      </c>
      <c r="H115" s="37" t="s">
        <v>381</v>
      </c>
    </row>
    <row r="116" spans="1:8" ht="18" x14ac:dyDescent="0.25">
      <c r="A116" s="4" t="s">
        <v>27</v>
      </c>
      <c r="B116" s="2">
        <v>180</v>
      </c>
      <c r="C116" s="3">
        <v>2186</v>
      </c>
      <c r="D116" s="36">
        <f t="shared" si="1"/>
        <v>770</v>
      </c>
      <c r="E116" s="29" t="s">
        <v>349</v>
      </c>
      <c r="F116" s="30" t="s">
        <v>300</v>
      </c>
      <c r="G116" s="2" t="s">
        <v>313</v>
      </c>
      <c r="H116" s="37" t="s">
        <v>379</v>
      </c>
    </row>
    <row r="117" spans="1:8" ht="18" x14ac:dyDescent="0.25">
      <c r="A117" s="4" t="s">
        <v>10</v>
      </c>
      <c r="B117" s="2">
        <v>190</v>
      </c>
      <c r="C117" s="3">
        <v>190</v>
      </c>
      <c r="D117" s="36">
        <f t="shared" si="1"/>
        <v>780</v>
      </c>
      <c r="E117" s="2" t="s">
        <v>346</v>
      </c>
      <c r="F117" s="24" t="s">
        <v>303</v>
      </c>
      <c r="G117" s="2" t="s">
        <v>313</v>
      </c>
      <c r="H117" s="37" t="s">
        <v>381</v>
      </c>
    </row>
    <row r="118" spans="1:8" ht="18" x14ac:dyDescent="0.25">
      <c r="A118" s="4" t="s">
        <v>10</v>
      </c>
      <c r="B118" s="2">
        <v>190</v>
      </c>
      <c r="C118" s="3">
        <v>190</v>
      </c>
      <c r="D118" s="36">
        <f t="shared" si="1"/>
        <v>781</v>
      </c>
      <c r="E118" s="2" t="s">
        <v>346</v>
      </c>
      <c r="F118" s="24" t="s">
        <v>305</v>
      </c>
      <c r="G118" s="2" t="s">
        <v>313</v>
      </c>
      <c r="H118" s="37" t="s">
        <v>381</v>
      </c>
    </row>
    <row r="119" spans="1:8" ht="18" x14ac:dyDescent="0.25">
      <c r="A119" s="4" t="s">
        <v>10</v>
      </c>
      <c r="B119" s="2">
        <v>190</v>
      </c>
      <c r="C119" s="3">
        <v>190</v>
      </c>
      <c r="D119" s="36">
        <f t="shared" si="1"/>
        <v>782</v>
      </c>
      <c r="E119" s="2" t="s">
        <v>346</v>
      </c>
      <c r="F119" s="24" t="s">
        <v>303</v>
      </c>
      <c r="G119" s="2" t="s">
        <v>314</v>
      </c>
      <c r="H119" s="37" t="s">
        <v>382</v>
      </c>
    </row>
    <row r="120" spans="1:8" ht="18" x14ac:dyDescent="0.25">
      <c r="A120" s="4" t="s">
        <v>11</v>
      </c>
      <c r="B120" s="2">
        <v>190</v>
      </c>
      <c r="C120" s="3">
        <v>545</v>
      </c>
      <c r="D120" s="36">
        <f t="shared" si="1"/>
        <v>790</v>
      </c>
      <c r="E120" s="29" t="s">
        <v>347</v>
      </c>
      <c r="F120" s="30" t="s">
        <v>302</v>
      </c>
      <c r="G120" s="2" t="s">
        <v>313</v>
      </c>
      <c r="H120" s="37" t="s">
        <v>381</v>
      </c>
    </row>
    <row r="121" spans="1:8" ht="18" x14ac:dyDescent="0.25">
      <c r="A121" s="4" t="s">
        <v>29</v>
      </c>
      <c r="B121" s="2">
        <v>879</v>
      </c>
      <c r="C121" s="3">
        <v>879</v>
      </c>
      <c r="D121" s="36">
        <f t="shared" si="1"/>
        <v>800</v>
      </c>
      <c r="E121" s="2" t="s">
        <v>348</v>
      </c>
      <c r="F121" s="24" t="s">
        <v>303</v>
      </c>
      <c r="G121" s="2" t="s">
        <v>313</v>
      </c>
      <c r="H121" s="37" t="s">
        <v>381</v>
      </c>
    </row>
    <row r="122" spans="1:8" ht="18" x14ac:dyDescent="0.25">
      <c r="A122" s="4" t="s">
        <v>29</v>
      </c>
      <c r="B122" s="2">
        <v>879</v>
      </c>
      <c r="C122" s="3">
        <v>879</v>
      </c>
      <c r="D122" s="36">
        <f t="shared" si="1"/>
        <v>801</v>
      </c>
      <c r="E122" s="2" t="s">
        <v>348</v>
      </c>
      <c r="F122" s="24" t="s">
        <v>305</v>
      </c>
      <c r="G122" s="2" t="s">
        <v>313</v>
      </c>
      <c r="H122" s="37" t="s">
        <v>381</v>
      </c>
    </row>
    <row r="123" spans="1:8" ht="18" x14ac:dyDescent="0.25">
      <c r="A123" s="4" t="s">
        <v>29</v>
      </c>
      <c r="B123" s="2">
        <v>879</v>
      </c>
      <c r="C123" s="3">
        <v>879</v>
      </c>
      <c r="D123" s="36">
        <f t="shared" si="1"/>
        <v>802</v>
      </c>
      <c r="E123" s="2" t="s">
        <v>348</v>
      </c>
      <c r="F123" s="24" t="s">
        <v>303</v>
      </c>
      <c r="G123" s="2" t="s">
        <v>314</v>
      </c>
      <c r="H123" s="37" t="s">
        <v>382</v>
      </c>
    </row>
    <row r="124" spans="1:8" ht="18" x14ac:dyDescent="0.25">
      <c r="A124" s="4" t="s">
        <v>15</v>
      </c>
      <c r="B124" s="2">
        <v>199</v>
      </c>
      <c r="C124" s="3">
        <v>2023</v>
      </c>
      <c r="D124" s="36">
        <f t="shared" si="1"/>
        <v>810</v>
      </c>
      <c r="E124" s="2" t="s">
        <v>351</v>
      </c>
      <c r="F124" s="24" t="s">
        <v>300</v>
      </c>
      <c r="G124" s="2" t="s">
        <v>313</v>
      </c>
      <c r="H124" s="37" t="s">
        <v>379</v>
      </c>
    </row>
    <row r="125" spans="1:8" ht="18" x14ac:dyDescent="0.25">
      <c r="A125" s="4" t="s">
        <v>30</v>
      </c>
      <c r="B125" s="2">
        <v>111</v>
      </c>
      <c r="C125" s="3">
        <v>111</v>
      </c>
      <c r="D125" s="36">
        <f t="shared" si="1"/>
        <v>820</v>
      </c>
      <c r="E125" s="2" t="s">
        <v>124</v>
      </c>
      <c r="F125" s="24" t="s">
        <v>298</v>
      </c>
      <c r="G125" s="2" t="s">
        <v>313</v>
      </c>
      <c r="H125" s="37" t="s">
        <v>381</v>
      </c>
    </row>
    <row r="126" spans="1:8" ht="18" x14ac:dyDescent="0.25">
      <c r="A126" s="4" t="s">
        <v>30</v>
      </c>
      <c r="B126" s="2">
        <v>111</v>
      </c>
      <c r="C126" s="3">
        <v>111</v>
      </c>
      <c r="D126" s="36">
        <f t="shared" si="1"/>
        <v>821</v>
      </c>
      <c r="E126" s="2" t="s">
        <v>124</v>
      </c>
      <c r="F126" s="24" t="s">
        <v>299</v>
      </c>
      <c r="G126" s="2" t="s">
        <v>313</v>
      </c>
      <c r="H126" s="37" t="s">
        <v>381</v>
      </c>
    </row>
    <row r="127" spans="1:8" ht="18" x14ac:dyDescent="0.25">
      <c r="A127" s="4" t="s">
        <v>30</v>
      </c>
      <c r="B127" s="2">
        <v>111</v>
      </c>
      <c r="C127" s="3">
        <v>111</v>
      </c>
      <c r="D127" s="36">
        <f t="shared" si="1"/>
        <v>822</v>
      </c>
      <c r="E127" s="2" t="s">
        <v>124</v>
      </c>
      <c r="F127" s="24" t="s">
        <v>299</v>
      </c>
      <c r="G127" s="2" t="s">
        <v>314</v>
      </c>
      <c r="H127" s="37" t="s">
        <v>382</v>
      </c>
    </row>
    <row r="128" spans="1:8" x14ac:dyDescent="0.25">
      <c r="A128" s="4" t="s">
        <v>31</v>
      </c>
      <c r="B128" s="2">
        <v>111</v>
      </c>
      <c r="C128" s="3">
        <v>1262</v>
      </c>
      <c r="D128" s="36">
        <f t="shared" si="1"/>
        <v>830</v>
      </c>
      <c r="E128" s="29" t="s">
        <v>125</v>
      </c>
      <c r="F128" s="30" t="s">
        <v>299</v>
      </c>
      <c r="G128" s="2" t="s">
        <v>313</v>
      </c>
      <c r="H128" s="37" t="s">
        <v>379</v>
      </c>
    </row>
    <row r="129" spans="1:8" ht="18" x14ac:dyDescent="0.25">
      <c r="A129" s="4" t="s">
        <v>31</v>
      </c>
      <c r="B129" s="2">
        <v>111</v>
      </c>
      <c r="C129" s="3">
        <v>1262</v>
      </c>
      <c r="D129" s="36">
        <f t="shared" si="1"/>
        <v>831</v>
      </c>
      <c r="E129" s="29" t="s">
        <v>125</v>
      </c>
      <c r="F129" s="30" t="s">
        <v>299</v>
      </c>
      <c r="G129" s="2" t="s">
        <v>313</v>
      </c>
      <c r="H129" s="37" t="s">
        <v>381</v>
      </c>
    </row>
    <row r="130" spans="1:8" x14ac:dyDescent="0.25">
      <c r="A130" s="4" t="s">
        <v>23</v>
      </c>
      <c r="B130" s="2">
        <v>756</v>
      </c>
      <c r="C130" s="3">
        <v>756</v>
      </c>
      <c r="D130" s="36">
        <f t="shared" si="1"/>
        <v>840</v>
      </c>
      <c r="E130" s="2" t="s">
        <v>126</v>
      </c>
      <c r="F130" s="24" t="s">
        <v>299</v>
      </c>
      <c r="G130" s="2" t="s">
        <v>313</v>
      </c>
      <c r="H130" s="37" t="s">
        <v>379</v>
      </c>
    </row>
    <row r="131" spans="1:8" ht="18" x14ac:dyDescent="0.25">
      <c r="A131" s="4" t="s">
        <v>23</v>
      </c>
      <c r="B131" s="2">
        <v>756</v>
      </c>
      <c r="C131" s="3">
        <v>756</v>
      </c>
      <c r="D131" s="36">
        <f t="shared" si="1"/>
        <v>841</v>
      </c>
      <c r="E131" s="2" t="s">
        <v>126</v>
      </c>
      <c r="F131" s="24" t="s">
        <v>298</v>
      </c>
      <c r="G131" s="2" t="s">
        <v>313</v>
      </c>
      <c r="H131" s="37" t="s">
        <v>381</v>
      </c>
    </row>
    <row r="132" spans="1:8" ht="18" x14ac:dyDescent="0.25">
      <c r="A132" s="4" t="s">
        <v>23</v>
      </c>
      <c r="B132" s="2">
        <v>756</v>
      </c>
      <c r="C132" s="3">
        <v>756</v>
      </c>
      <c r="D132" s="36">
        <f t="shared" ref="D132:D195" si="2">IF(C132=C131,D131+1,MROUND(D131,10)+10)</f>
        <v>842</v>
      </c>
      <c r="E132" s="2" t="s">
        <v>126</v>
      </c>
      <c r="F132" s="24" t="s">
        <v>299</v>
      </c>
      <c r="G132" s="2" t="s">
        <v>313</v>
      </c>
      <c r="H132" s="37" t="s">
        <v>381</v>
      </c>
    </row>
    <row r="133" spans="1:8" ht="18" x14ac:dyDescent="0.25">
      <c r="A133" s="4" t="s">
        <v>23</v>
      </c>
      <c r="B133" s="2">
        <v>756</v>
      </c>
      <c r="C133" s="3">
        <v>756</v>
      </c>
      <c r="D133" s="36">
        <f t="shared" si="2"/>
        <v>843</v>
      </c>
      <c r="E133" s="2" t="s">
        <v>126</v>
      </c>
      <c r="F133" s="24" t="s">
        <v>299</v>
      </c>
      <c r="G133" s="2" t="s">
        <v>314</v>
      </c>
      <c r="H133" s="37" t="s">
        <v>382</v>
      </c>
    </row>
    <row r="134" spans="1:8" x14ac:dyDescent="0.25">
      <c r="A134" s="4" t="s">
        <v>20</v>
      </c>
      <c r="B134" s="2">
        <v>111</v>
      </c>
      <c r="C134" s="3">
        <v>515</v>
      </c>
      <c r="D134" s="36">
        <f t="shared" si="2"/>
        <v>850</v>
      </c>
      <c r="E134" s="29" t="s">
        <v>127</v>
      </c>
      <c r="F134" s="30" t="s">
        <v>299</v>
      </c>
      <c r="G134" s="2" t="s">
        <v>313</v>
      </c>
      <c r="H134" s="37" t="s">
        <v>379</v>
      </c>
    </row>
    <row r="135" spans="1:8" ht="18" x14ac:dyDescent="0.25">
      <c r="A135" s="4" t="s">
        <v>20</v>
      </c>
      <c r="B135" s="2">
        <v>111</v>
      </c>
      <c r="C135" s="3">
        <v>515</v>
      </c>
      <c r="D135" s="36">
        <f t="shared" si="2"/>
        <v>851</v>
      </c>
      <c r="E135" s="29" t="s">
        <v>127</v>
      </c>
      <c r="F135" s="30" t="s">
        <v>299</v>
      </c>
      <c r="G135" s="2" t="s">
        <v>313</v>
      </c>
      <c r="H135" s="37" t="s">
        <v>381</v>
      </c>
    </row>
    <row r="136" spans="1:8" ht="18" x14ac:dyDescent="0.25">
      <c r="A136" s="4" t="s">
        <v>32</v>
      </c>
      <c r="B136" s="2">
        <v>557</v>
      </c>
      <c r="C136" s="3">
        <v>557</v>
      </c>
      <c r="D136" s="36">
        <f t="shared" si="2"/>
        <v>860</v>
      </c>
      <c r="E136" s="10" t="s">
        <v>361</v>
      </c>
      <c r="F136" s="24" t="s">
        <v>298</v>
      </c>
      <c r="G136" s="2" t="s">
        <v>313</v>
      </c>
      <c r="H136" s="37" t="s">
        <v>381</v>
      </c>
    </row>
    <row r="137" spans="1:8" ht="18" x14ac:dyDescent="0.25">
      <c r="A137" s="4" t="s">
        <v>32</v>
      </c>
      <c r="B137" s="2">
        <v>557</v>
      </c>
      <c r="C137" s="3">
        <v>557</v>
      </c>
      <c r="D137" s="36">
        <f t="shared" si="2"/>
        <v>861</v>
      </c>
      <c r="E137" s="10" t="s">
        <v>361</v>
      </c>
      <c r="F137" s="24" t="s">
        <v>362</v>
      </c>
      <c r="G137" s="2" t="s">
        <v>313</v>
      </c>
      <c r="H137" s="37" t="s">
        <v>381</v>
      </c>
    </row>
    <row r="138" spans="1:8" ht="18" x14ac:dyDescent="0.25">
      <c r="A138" s="4" t="s">
        <v>9</v>
      </c>
      <c r="B138" s="2">
        <v>111</v>
      </c>
      <c r="C138" s="3">
        <v>2314</v>
      </c>
      <c r="D138" s="36">
        <f t="shared" si="2"/>
        <v>870</v>
      </c>
      <c r="E138" s="2" t="s">
        <v>128</v>
      </c>
      <c r="F138" s="24" t="s">
        <v>299</v>
      </c>
      <c r="G138" s="2" t="s">
        <v>313</v>
      </c>
      <c r="H138" s="37" t="s">
        <v>379</v>
      </c>
    </row>
    <row r="139" spans="1:8" x14ac:dyDescent="0.25">
      <c r="A139" s="4" t="s">
        <v>32</v>
      </c>
      <c r="B139" s="2">
        <v>638</v>
      </c>
      <c r="C139" s="3">
        <v>638</v>
      </c>
      <c r="D139" s="36">
        <f t="shared" si="2"/>
        <v>880</v>
      </c>
      <c r="E139" s="2" t="s">
        <v>129</v>
      </c>
      <c r="F139" s="24" t="s">
        <v>299</v>
      </c>
      <c r="G139" s="2" t="s">
        <v>313</v>
      </c>
      <c r="H139" s="37" t="s">
        <v>379</v>
      </c>
    </row>
    <row r="140" spans="1:8" ht="18" x14ac:dyDescent="0.25">
      <c r="A140" s="4" t="s">
        <v>32</v>
      </c>
      <c r="B140" s="2">
        <v>638</v>
      </c>
      <c r="C140" s="3">
        <v>638</v>
      </c>
      <c r="D140" s="36">
        <f t="shared" si="2"/>
        <v>881</v>
      </c>
      <c r="E140" s="2" t="s">
        <v>129</v>
      </c>
      <c r="F140" s="24" t="s">
        <v>298</v>
      </c>
      <c r="G140" s="2" t="s">
        <v>313</v>
      </c>
      <c r="H140" s="37" t="s">
        <v>381</v>
      </c>
    </row>
    <row r="141" spans="1:8" ht="18" x14ac:dyDescent="0.25">
      <c r="A141" s="4" t="s">
        <v>32</v>
      </c>
      <c r="B141" s="2">
        <v>638</v>
      </c>
      <c r="C141" s="3">
        <v>638</v>
      </c>
      <c r="D141" s="36">
        <f t="shared" si="2"/>
        <v>882</v>
      </c>
      <c r="E141" s="2" t="s">
        <v>129</v>
      </c>
      <c r="F141" s="24" t="s">
        <v>299</v>
      </c>
      <c r="G141" s="2" t="s">
        <v>313</v>
      </c>
      <c r="H141" s="37" t="s">
        <v>381</v>
      </c>
    </row>
    <row r="142" spans="1:8" ht="18" x14ac:dyDescent="0.25">
      <c r="A142" s="4" t="s">
        <v>32</v>
      </c>
      <c r="B142" s="2">
        <v>638</v>
      </c>
      <c r="C142" s="3">
        <v>638</v>
      </c>
      <c r="D142" s="36">
        <f t="shared" si="2"/>
        <v>883</v>
      </c>
      <c r="E142" s="2" t="s">
        <v>129</v>
      </c>
      <c r="F142" s="24" t="s">
        <v>299</v>
      </c>
      <c r="G142" s="2" t="s">
        <v>314</v>
      </c>
      <c r="H142" s="37" t="s">
        <v>382</v>
      </c>
    </row>
    <row r="143" spans="1:8" ht="18" x14ac:dyDescent="0.25">
      <c r="A143" s="4" t="s">
        <v>33</v>
      </c>
      <c r="B143" s="2">
        <v>640</v>
      </c>
      <c r="C143" s="3">
        <v>2293</v>
      </c>
      <c r="D143" s="36">
        <f t="shared" si="2"/>
        <v>890</v>
      </c>
      <c r="E143" s="2" t="s">
        <v>130</v>
      </c>
      <c r="F143" s="24" t="s">
        <v>304</v>
      </c>
      <c r="G143" s="2" t="s">
        <v>313</v>
      </c>
      <c r="H143" s="37" t="s">
        <v>379</v>
      </c>
    </row>
    <row r="144" spans="1:8" ht="18" x14ac:dyDescent="0.25">
      <c r="A144" s="4" t="s">
        <v>33</v>
      </c>
      <c r="B144" s="2">
        <v>623</v>
      </c>
      <c r="C144" s="3">
        <v>2236</v>
      </c>
      <c r="D144" s="36">
        <f t="shared" si="2"/>
        <v>900</v>
      </c>
      <c r="E144" s="2" t="s">
        <v>131</v>
      </c>
      <c r="F144" s="24" t="s">
        <v>304</v>
      </c>
      <c r="G144" s="2" t="s">
        <v>313</v>
      </c>
      <c r="H144" s="37" t="s">
        <v>379</v>
      </c>
    </row>
    <row r="145" spans="1:8" ht="18" x14ac:dyDescent="0.25">
      <c r="A145" s="4" t="s">
        <v>33</v>
      </c>
      <c r="B145" s="2">
        <v>72</v>
      </c>
      <c r="C145" s="3">
        <v>2028</v>
      </c>
      <c r="D145" s="36">
        <f t="shared" si="2"/>
        <v>910</v>
      </c>
      <c r="E145" s="2" t="s">
        <v>132</v>
      </c>
      <c r="F145" s="24" t="s">
        <v>304</v>
      </c>
      <c r="G145" s="2" t="s">
        <v>313</v>
      </c>
      <c r="H145" s="37" t="s">
        <v>379</v>
      </c>
    </row>
    <row r="146" spans="1:8" ht="18" x14ac:dyDescent="0.25">
      <c r="A146" s="4" t="s">
        <v>34</v>
      </c>
      <c r="B146" s="2">
        <v>165</v>
      </c>
      <c r="C146" s="3">
        <v>2372</v>
      </c>
      <c r="D146" s="36">
        <f t="shared" si="2"/>
        <v>920</v>
      </c>
      <c r="E146" s="2" t="s">
        <v>133</v>
      </c>
      <c r="F146" s="24" t="s">
        <v>304</v>
      </c>
      <c r="G146" s="2" t="s">
        <v>313</v>
      </c>
      <c r="H146" s="37" t="s">
        <v>379</v>
      </c>
    </row>
    <row r="147" spans="1:8" x14ac:dyDescent="0.25">
      <c r="A147" s="4" t="s">
        <v>35</v>
      </c>
      <c r="B147" s="2">
        <v>165</v>
      </c>
      <c r="C147" s="3">
        <v>2288</v>
      </c>
      <c r="D147" s="36">
        <f t="shared" si="2"/>
        <v>930</v>
      </c>
      <c r="E147" s="29" t="s">
        <v>134</v>
      </c>
      <c r="F147" s="30" t="s">
        <v>304</v>
      </c>
      <c r="G147" s="2" t="s">
        <v>313</v>
      </c>
      <c r="H147" s="37" t="s">
        <v>379</v>
      </c>
    </row>
    <row r="148" spans="1:8" x14ac:dyDescent="0.25">
      <c r="A148" s="4" t="s">
        <v>36</v>
      </c>
      <c r="B148" s="2">
        <v>165</v>
      </c>
      <c r="C148" s="3">
        <v>2380</v>
      </c>
      <c r="D148" s="36">
        <f t="shared" si="2"/>
        <v>940</v>
      </c>
      <c r="E148" s="29" t="s">
        <v>135</v>
      </c>
      <c r="F148" s="30" t="s">
        <v>304</v>
      </c>
      <c r="G148" s="2" t="s">
        <v>313</v>
      </c>
      <c r="H148" s="37" t="s">
        <v>379</v>
      </c>
    </row>
    <row r="149" spans="1:8" ht="18" x14ac:dyDescent="0.25">
      <c r="A149" s="4" t="s">
        <v>37</v>
      </c>
      <c r="B149" s="2">
        <v>165</v>
      </c>
      <c r="C149" s="3">
        <v>2342</v>
      </c>
      <c r="D149" s="36">
        <f t="shared" si="2"/>
        <v>950</v>
      </c>
      <c r="E149" s="29" t="s">
        <v>136</v>
      </c>
      <c r="F149" s="30" t="s">
        <v>304</v>
      </c>
      <c r="G149" s="2" t="s">
        <v>313</v>
      </c>
      <c r="H149" s="37" t="s">
        <v>379</v>
      </c>
    </row>
    <row r="150" spans="1:8" ht="18" x14ac:dyDescent="0.25">
      <c r="A150" s="4" t="s">
        <v>38</v>
      </c>
      <c r="B150" s="2">
        <v>82</v>
      </c>
      <c r="C150" s="3">
        <v>2382</v>
      </c>
      <c r="D150" s="36">
        <f t="shared" si="2"/>
        <v>960</v>
      </c>
      <c r="E150" s="29" t="s">
        <v>137</v>
      </c>
      <c r="F150" s="30" t="s">
        <v>304</v>
      </c>
      <c r="G150" s="2" t="s">
        <v>313</v>
      </c>
      <c r="H150" s="37" t="s">
        <v>379</v>
      </c>
    </row>
    <row r="151" spans="1:8" ht="18" x14ac:dyDescent="0.25">
      <c r="A151" s="4" t="s">
        <v>37</v>
      </c>
      <c r="B151" s="2">
        <v>82</v>
      </c>
      <c r="C151" s="3">
        <v>2344</v>
      </c>
      <c r="D151" s="36">
        <f t="shared" si="2"/>
        <v>970</v>
      </c>
      <c r="E151" s="29" t="s">
        <v>138</v>
      </c>
      <c r="F151" s="30" t="s">
        <v>304</v>
      </c>
      <c r="G151" s="2" t="s">
        <v>313</v>
      </c>
      <c r="H151" s="37" t="s">
        <v>379</v>
      </c>
    </row>
    <row r="152" spans="1:8" ht="18" x14ac:dyDescent="0.25">
      <c r="A152" s="4" t="s">
        <v>34</v>
      </c>
      <c r="B152" s="2">
        <v>163</v>
      </c>
      <c r="C152" s="3">
        <v>2373</v>
      </c>
      <c r="D152" s="36">
        <f t="shared" si="2"/>
        <v>980</v>
      </c>
      <c r="E152" s="2" t="s">
        <v>139</v>
      </c>
      <c r="F152" s="24" t="s">
        <v>304</v>
      </c>
      <c r="G152" s="2" t="s">
        <v>313</v>
      </c>
      <c r="H152" s="37" t="s">
        <v>379</v>
      </c>
    </row>
    <row r="153" spans="1:8" x14ac:dyDescent="0.25">
      <c r="A153" s="4" t="s">
        <v>35</v>
      </c>
      <c r="B153" s="2">
        <v>163</v>
      </c>
      <c r="C153" s="3">
        <v>2287</v>
      </c>
      <c r="D153" s="36">
        <f t="shared" si="2"/>
        <v>990</v>
      </c>
      <c r="E153" s="29" t="s">
        <v>140</v>
      </c>
      <c r="F153" s="30" t="s">
        <v>304</v>
      </c>
      <c r="G153" s="2" t="s">
        <v>313</v>
      </c>
      <c r="H153" s="37" t="s">
        <v>379</v>
      </c>
    </row>
    <row r="154" spans="1:8" x14ac:dyDescent="0.25">
      <c r="A154" s="4" t="s">
        <v>36</v>
      </c>
      <c r="B154" s="2">
        <v>163</v>
      </c>
      <c r="C154" s="3">
        <v>2381</v>
      </c>
      <c r="D154" s="36">
        <f t="shared" si="2"/>
        <v>1000</v>
      </c>
      <c r="E154" s="29" t="s">
        <v>141</v>
      </c>
      <c r="F154" s="30" t="s">
        <v>304</v>
      </c>
      <c r="G154" s="2" t="s">
        <v>313</v>
      </c>
      <c r="H154" s="37" t="s">
        <v>379</v>
      </c>
    </row>
    <row r="155" spans="1:8" ht="18" x14ac:dyDescent="0.25">
      <c r="A155" s="4" t="s">
        <v>37</v>
      </c>
      <c r="B155" s="2">
        <v>163</v>
      </c>
      <c r="C155" s="3">
        <v>2343</v>
      </c>
      <c r="D155" s="36">
        <f t="shared" si="2"/>
        <v>1010</v>
      </c>
      <c r="E155" s="29" t="s">
        <v>142</v>
      </c>
      <c r="F155" s="30" t="s">
        <v>304</v>
      </c>
      <c r="G155" s="2" t="s">
        <v>313</v>
      </c>
      <c r="H155" s="37" t="s">
        <v>379</v>
      </c>
    </row>
    <row r="156" spans="1:8" ht="18" x14ac:dyDescent="0.25">
      <c r="A156" s="4" t="s">
        <v>34</v>
      </c>
      <c r="B156" s="2">
        <v>164</v>
      </c>
      <c r="C156" s="3">
        <v>2182</v>
      </c>
      <c r="D156" s="36">
        <f t="shared" si="2"/>
        <v>1020</v>
      </c>
      <c r="E156" s="2" t="s">
        <v>144</v>
      </c>
      <c r="F156" s="24" t="s">
        <v>304</v>
      </c>
      <c r="G156" s="2" t="s">
        <v>313</v>
      </c>
      <c r="H156" s="37" t="s">
        <v>379</v>
      </c>
    </row>
    <row r="157" spans="1:8" ht="18" x14ac:dyDescent="0.25">
      <c r="A157" s="4" t="s">
        <v>34</v>
      </c>
      <c r="B157" s="2">
        <v>162</v>
      </c>
      <c r="C157" s="3">
        <v>2374</v>
      </c>
      <c r="D157" s="36">
        <f t="shared" si="2"/>
        <v>1030</v>
      </c>
      <c r="E157" s="2" t="s">
        <v>145</v>
      </c>
      <c r="F157" s="24" t="s">
        <v>304</v>
      </c>
      <c r="G157" s="2" t="s">
        <v>313</v>
      </c>
      <c r="H157" s="37" t="s">
        <v>379</v>
      </c>
    </row>
    <row r="158" spans="1:8" x14ac:dyDescent="0.25">
      <c r="A158" s="4" t="s">
        <v>39</v>
      </c>
      <c r="B158" s="2">
        <v>1202</v>
      </c>
      <c r="C158" s="3">
        <v>2367</v>
      </c>
      <c r="D158" s="36">
        <f t="shared" si="2"/>
        <v>1040</v>
      </c>
      <c r="E158" s="2" t="s">
        <v>146</v>
      </c>
      <c r="F158" s="24" t="s">
        <v>304</v>
      </c>
      <c r="G158" s="2" t="s">
        <v>313</v>
      </c>
      <c r="H158" s="37" t="s">
        <v>379</v>
      </c>
    </row>
    <row r="159" spans="1:8" x14ac:dyDescent="0.25">
      <c r="A159" s="4" t="s">
        <v>39</v>
      </c>
      <c r="B159" s="2">
        <v>1203</v>
      </c>
      <c r="C159" s="3">
        <v>2366</v>
      </c>
      <c r="D159" s="36">
        <f t="shared" si="2"/>
        <v>1050</v>
      </c>
      <c r="E159" s="2" t="s">
        <v>147</v>
      </c>
      <c r="F159" s="24" t="s">
        <v>304</v>
      </c>
      <c r="G159" s="2" t="s">
        <v>313</v>
      </c>
      <c r="H159" s="37" t="s">
        <v>379</v>
      </c>
    </row>
    <row r="160" spans="1:8" x14ac:dyDescent="0.25">
      <c r="A160" s="4" t="s">
        <v>23</v>
      </c>
      <c r="B160" s="2">
        <v>810</v>
      </c>
      <c r="C160" s="3">
        <v>810</v>
      </c>
      <c r="D160" s="36">
        <f t="shared" si="2"/>
        <v>1060</v>
      </c>
      <c r="E160" s="2" t="s">
        <v>148</v>
      </c>
      <c r="F160" s="24" t="s">
        <v>308</v>
      </c>
      <c r="G160" s="2" t="s">
        <v>313</v>
      </c>
      <c r="H160" s="37" t="s">
        <v>379</v>
      </c>
    </row>
    <row r="161" spans="1:8" ht="18" x14ac:dyDescent="0.25">
      <c r="A161" s="4" t="s">
        <v>23</v>
      </c>
      <c r="B161" s="2">
        <v>810</v>
      </c>
      <c r="C161" s="3">
        <v>810</v>
      </c>
      <c r="D161" s="36">
        <f t="shared" si="2"/>
        <v>1061</v>
      </c>
      <c r="E161" s="2" t="s">
        <v>148</v>
      </c>
      <c r="F161" s="24" t="s">
        <v>298</v>
      </c>
      <c r="G161" s="2" t="s">
        <v>313</v>
      </c>
      <c r="H161" s="37" t="s">
        <v>381</v>
      </c>
    </row>
    <row r="162" spans="1:8" ht="18" x14ac:dyDescent="0.25">
      <c r="A162" s="4" t="s">
        <v>23</v>
      </c>
      <c r="B162" s="2">
        <v>810</v>
      </c>
      <c r="C162" s="3">
        <v>810</v>
      </c>
      <c r="D162" s="36">
        <f t="shared" si="2"/>
        <v>1062</v>
      </c>
      <c r="E162" s="2" t="s">
        <v>148</v>
      </c>
      <c r="F162" s="24" t="s">
        <v>308</v>
      </c>
      <c r="G162" s="2" t="s">
        <v>313</v>
      </c>
      <c r="H162" s="37" t="s">
        <v>381</v>
      </c>
    </row>
    <row r="163" spans="1:8" ht="18" x14ac:dyDescent="0.25">
      <c r="A163" s="4" t="s">
        <v>23</v>
      </c>
      <c r="B163" s="2">
        <v>810</v>
      </c>
      <c r="C163" s="3">
        <v>810</v>
      </c>
      <c r="D163" s="36">
        <f t="shared" si="2"/>
        <v>1063</v>
      </c>
      <c r="E163" s="2" t="s">
        <v>148</v>
      </c>
      <c r="F163" s="24" t="s">
        <v>308</v>
      </c>
      <c r="G163" s="2" t="s">
        <v>314</v>
      </c>
      <c r="H163" s="37" t="s">
        <v>382</v>
      </c>
    </row>
    <row r="164" spans="1:8" ht="18" x14ac:dyDescent="0.25">
      <c r="A164" s="4" t="s">
        <v>5</v>
      </c>
      <c r="B164" s="2">
        <v>662</v>
      </c>
      <c r="C164" s="3">
        <v>662</v>
      </c>
      <c r="D164" s="36">
        <f t="shared" si="2"/>
        <v>1070</v>
      </c>
      <c r="E164" s="2" t="s">
        <v>150</v>
      </c>
      <c r="F164" s="24" t="s">
        <v>302</v>
      </c>
      <c r="G164" s="2" t="s">
        <v>313</v>
      </c>
      <c r="H164" s="37" t="s">
        <v>381</v>
      </c>
    </row>
    <row r="165" spans="1:8" ht="18" x14ac:dyDescent="0.25">
      <c r="A165" s="4" t="s">
        <v>4</v>
      </c>
      <c r="B165" s="2">
        <v>540</v>
      </c>
      <c r="C165" s="3">
        <v>540</v>
      </c>
      <c r="D165" s="36">
        <f t="shared" si="2"/>
        <v>1080</v>
      </c>
      <c r="E165" s="2" t="s">
        <v>153</v>
      </c>
      <c r="F165" s="24" t="s">
        <v>303</v>
      </c>
      <c r="G165" s="2" t="s">
        <v>314</v>
      </c>
      <c r="H165" s="37" t="s">
        <v>382</v>
      </c>
    </row>
    <row r="166" spans="1:8" ht="18" x14ac:dyDescent="0.25">
      <c r="A166" s="4" t="s">
        <v>40</v>
      </c>
      <c r="B166" s="2">
        <v>312</v>
      </c>
      <c r="C166" s="3">
        <v>2031</v>
      </c>
      <c r="D166" s="36">
        <f t="shared" si="2"/>
        <v>1090</v>
      </c>
      <c r="E166" s="2" t="s">
        <v>151</v>
      </c>
      <c r="F166" s="24" t="s">
        <v>300</v>
      </c>
      <c r="G166" s="2" t="s">
        <v>313</v>
      </c>
      <c r="H166" s="37" t="s">
        <v>379</v>
      </c>
    </row>
    <row r="167" spans="1:8" ht="18" x14ac:dyDescent="0.25">
      <c r="A167" s="4" t="s">
        <v>40</v>
      </c>
      <c r="B167" s="2">
        <v>312</v>
      </c>
      <c r="C167" s="3">
        <v>312</v>
      </c>
      <c r="D167" s="36">
        <f t="shared" si="2"/>
        <v>1100</v>
      </c>
      <c r="E167" s="2" t="s">
        <v>152</v>
      </c>
      <c r="F167" s="24" t="s">
        <v>300</v>
      </c>
      <c r="G167" s="2" t="s">
        <v>313</v>
      </c>
      <c r="H167" s="37" t="s">
        <v>381</v>
      </c>
    </row>
    <row r="168" spans="1:8" ht="18" x14ac:dyDescent="0.25">
      <c r="A168" s="4" t="s">
        <v>4</v>
      </c>
      <c r="B168" s="2">
        <v>72</v>
      </c>
      <c r="C168" s="3">
        <v>72</v>
      </c>
      <c r="D168" s="36">
        <f t="shared" si="2"/>
        <v>1110</v>
      </c>
      <c r="E168" s="2" t="s">
        <v>154</v>
      </c>
      <c r="F168" s="24" t="s">
        <v>302</v>
      </c>
      <c r="G168" s="2" t="s">
        <v>313</v>
      </c>
      <c r="H168" s="37" t="s">
        <v>381</v>
      </c>
    </row>
    <row r="169" spans="1:8" ht="18" x14ac:dyDescent="0.25">
      <c r="A169" s="4" t="s">
        <v>42</v>
      </c>
      <c r="B169" s="2">
        <v>151</v>
      </c>
      <c r="C169" s="3">
        <v>2078</v>
      </c>
      <c r="D169" s="36">
        <f t="shared" si="2"/>
        <v>1120</v>
      </c>
      <c r="E169" s="2" t="s">
        <v>156</v>
      </c>
      <c r="F169" s="24" t="s">
        <v>300</v>
      </c>
      <c r="G169" s="2" t="s">
        <v>313</v>
      </c>
      <c r="H169" s="37" t="s">
        <v>379</v>
      </c>
    </row>
    <row r="170" spans="1:8" ht="18" x14ac:dyDescent="0.25">
      <c r="A170" s="4" t="s">
        <v>19</v>
      </c>
      <c r="B170" s="2">
        <v>2371</v>
      </c>
      <c r="C170" s="3">
        <v>2371</v>
      </c>
      <c r="D170" s="36">
        <f t="shared" si="2"/>
        <v>1130</v>
      </c>
      <c r="E170" s="2" t="s">
        <v>158</v>
      </c>
      <c r="F170" s="24" t="s">
        <v>302</v>
      </c>
      <c r="G170" s="2" t="s">
        <v>313</v>
      </c>
      <c r="H170" s="37" t="s">
        <v>379</v>
      </c>
    </row>
    <row r="171" spans="1:8" ht="18" x14ac:dyDescent="0.25">
      <c r="A171" s="4" t="s">
        <v>6</v>
      </c>
      <c r="B171" s="2">
        <v>2269</v>
      </c>
      <c r="C171" s="3">
        <v>2269</v>
      </c>
      <c r="D171" s="36">
        <f t="shared" si="2"/>
        <v>1140</v>
      </c>
      <c r="E171" s="2" t="s">
        <v>157</v>
      </c>
      <c r="F171" s="24" t="s">
        <v>300</v>
      </c>
      <c r="G171" s="2" t="s">
        <v>313</v>
      </c>
      <c r="H171" s="37" t="s">
        <v>379</v>
      </c>
    </row>
    <row r="172" spans="1:8" ht="18" x14ac:dyDescent="0.25">
      <c r="A172" s="4" t="s">
        <v>6</v>
      </c>
      <c r="B172" s="2">
        <v>144</v>
      </c>
      <c r="C172" s="3">
        <v>144</v>
      </c>
      <c r="D172" s="36">
        <f t="shared" si="2"/>
        <v>1150</v>
      </c>
      <c r="E172" s="2" t="s">
        <v>159</v>
      </c>
      <c r="F172" s="24" t="s">
        <v>305</v>
      </c>
      <c r="G172" s="2" t="s">
        <v>313</v>
      </c>
      <c r="H172" s="37" t="s">
        <v>381</v>
      </c>
    </row>
    <row r="173" spans="1:8" ht="18" x14ac:dyDescent="0.25">
      <c r="A173" s="4" t="s">
        <v>6</v>
      </c>
      <c r="B173" s="2">
        <v>144</v>
      </c>
      <c r="C173" s="3">
        <v>144</v>
      </c>
      <c r="D173" s="36">
        <f t="shared" si="2"/>
        <v>1151</v>
      </c>
      <c r="E173" s="2" t="s">
        <v>159</v>
      </c>
      <c r="F173" s="24" t="s">
        <v>305</v>
      </c>
      <c r="G173" s="2" t="s">
        <v>314</v>
      </c>
      <c r="H173" s="37" t="s">
        <v>382</v>
      </c>
    </row>
    <row r="174" spans="1:8" ht="18" x14ac:dyDescent="0.25">
      <c r="A174" s="4" t="s">
        <v>4</v>
      </c>
      <c r="B174" s="2">
        <v>142</v>
      </c>
      <c r="C174" s="3">
        <v>142</v>
      </c>
      <c r="D174" s="36">
        <f t="shared" si="2"/>
        <v>1160</v>
      </c>
      <c r="E174" s="2" t="s">
        <v>160</v>
      </c>
      <c r="F174" s="24" t="s">
        <v>303</v>
      </c>
      <c r="G174" s="2" t="s">
        <v>314</v>
      </c>
      <c r="H174" s="37" t="s">
        <v>382</v>
      </c>
    </row>
    <row r="175" spans="1:8" ht="18" x14ac:dyDescent="0.25">
      <c r="A175" s="4" t="s">
        <v>43</v>
      </c>
      <c r="B175" s="2">
        <v>90</v>
      </c>
      <c r="C175" s="3">
        <v>90</v>
      </c>
      <c r="D175" s="36">
        <f t="shared" si="2"/>
        <v>1170</v>
      </c>
      <c r="E175" s="2" t="s">
        <v>161</v>
      </c>
      <c r="F175" s="24" t="s">
        <v>302</v>
      </c>
      <c r="G175" s="2" t="s">
        <v>313</v>
      </c>
      <c r="H175" s="37" t="s">
        <v>381</v>
      </c>
    </row>
    <row r="176" spans="1:8" ht="18" x14ac:dyDescent="0.25">
      <c r="A176" s="4" t="s">
        <v>43</v>
      </c>
      <c r="B176" s="2">
        <v>90</v>
      </c>
      <c r="C176" s="3">
        <v>90</v>
      </c>
      <c r="D176" s="36">
        <f t="shared" si="2"/>
        <v>1171</v>
      </c>
      <c r="E176" s="2" t="s">
        <v>161</v>
      </c>
      <c r="F176" s="24" t="s">
        <v>303</v>
      </c>
      <c r="G176" s="2" t="s">
        <v>314</v>
      </c>
      <c r="H176" s="37" t="s">
        <v>382</v>
      </c>
    </row>
    <row r="177" spans="1:8" ht="18" x14ac:dyDescent="0.25">
      <c r="A177" s="4" t="s">
        <v>6</v>
      </c>
      <c r="B177" s="2">
        <v>145</v>
      </c>
      <c r="C177" s="3">
        <v>145</v>
      </c>
      <c r="D177" s="36">
        <f t="shared" si="2"/>
        <v>1180</v>
      </c>
      <c r="E177" s="2" t="s">
        <v>162</v>
      </c>
      <c r="F177" s="24" t="s">
        <v>305</v>
      </c>
      <c r="G177" s="2" t="s">
        <v>313</v>
      </c>
      <c r="H177" s="37" t="s">
        <v>381</v>
      </c>
    </row>
    <row r="178" spans="1:8" ht="18" x14ac:dyDescent="0.25">
      <c r="A178" s="4" t="s">
        <v>6</v>
      </c>
      <c r="B178" s="2">
        <v>145</v>
      </c>
      <c r="C178" s="3">
        <v>145</v>
      </c>
      <c r="D178" s="36">
        <f t="shared" si="2"/>
        <v>1181</v>
      </c>
      <c r="E178" s="2" t="s">
        <v>162</v>
      </c>
      <c r="F178" s="24" t="s">
        <v>303</v>
      </c>
      <c r="G178" s="2" t="s">
        <v>314</v>
      </c>
      <c r="H178" s="37" t="s">
        <v>382</v>
      </c>
    </row>
    <row r="179" spans="1:8" ht="18" x14ac:dyDescent="0.25">
      <c r="A179" s="4" t="s">
        <v>6</v>
      </c>
      <c r="B179" s="2">
        <v>145</v>
      </c>
      <c r="C179" s="3">
        <v>145</v>
      </c>
      <c r="D179" s="36">
        <f t="shared" si="2"/>
        <v>1182</v>
      </c>
      <c r="E179" s="2" t="s">
        <v>162</v>
      </c>
      <c r="F179" s="24" t="s">
        <v>305</v>
      </c>
      <c r="G179" s="2" t="s">
        <v>314</v>
      </c>
      <c r="H179" s="37" t="s">
        <v>382</v>
      </c>
    </row>
    <row r="180" spans="1:8" ht="18" x14ac:dyDescent="0.25">
      <c r="A180" s="4" t="s">
        <v>6</v>
      </c>
      <c r="B180" s="2">
        <v>102</v>
      </c>
      <c r="C180" s="3">
        <v>102</v>
      </c>
      <c r="D180" s="36">
        <f t="shared" si="2"/>
        <v>1190</v>
      </c>
      <c r="E180" s="2" t="s">
        <v>163</v>
      </c>
      <c r="F180" s="24" t="s">
        <v>303</v>
      </c>
      <c r="G180" s="2" t="s">
        <v>314</v>
      </c>
      <c r="H180" s="37" t="s">
        <v>382</v>
      </c>
    </row>
    <row r="181" spans="1:8" ht="18" x14ac:dyDescent="0.25">
      <c r="A181" s="4" t="s">
        <v>15</v>
      </c>
      <c r="B181" s="2">
        <v>470</v>
      </c>
      <c r="C181" s="3">
        <v>2116</v>
      </c>
      <c r="D181" s="36">
        <f t="shared" si="2"/>
        <v>1200</v>
      </c>
      <c r="E181" s="2" t="s">
        <v>164</v>
      </c>
      <c r="F181" s="24" t="s">
        <v>300</v>
      </c>
      <c r="G181" s="2" t="s">
        <v>313</v>
      </c>
      <c r="H181" s="37" t="s">
        <v>379</v>
      </c>
    </row>
    <row r="182" spans="1:8" ht="18" x14ac:dyDescent="0.25">
      <c r="A182" s="4" t="s">
        <v>14</v>
      </c>
      <c r="B182" s="2">
        <v>4</v>
      </c>
      <c r="C182" s="3">
        <v>4</v>
      </c>
      <c r="D182" s="36">
        <f t="shared" si="2"/>
        <v>1210</v>
      </c>
      <c r="E182" s="2" t="s">
        <v>165</v>
      </c>
      <c r="F182" s="24" t="s">
        <v>302</v>
      </c>
      <c r="G182" s="2" t="s">
        <v>313</v>
      </c>
      <c r="H182" s="37" t="s">
        <v>381</v>
      </c>
    </row>
    <row r="183" spans="1:8" ht="18" x14ac:dyDescent="0.25">
      <c r="A183" s="4" t="s">
        <v>14</v>
      </c>
      <c r="B183" s="2">
        <v>4</v>
      </c>
      <c r="C183" s="3">
        <v>4</v>
      </c>
      <c r="D183" s="36">
        <f t="shared" si="2"/>
        <v>1211</v>
      </c>
      <c r="E183" s="2" t="s">
        <v>369</v>
      </c>
      <c r="F183" s="24" t="s">
        <v>303</v>
      </c>
      <c r="G183" s="2" t="s">
        <v>313</v>
      </c>
      <c r="H183" s="37" t="s">
        <v>381</v>
      </c>
    </row>
    <row r="184" spans="1:8" ht="18" x14ac:dyDescent="0.25">
      <c r="A184" s="4" t="s">
        <v>14</v>
      </c>
      <c r="B184" s="2">
        <v>4</v>
      </c>
      <c r="C184" s="3">
        <v>4</v>
      </c>
      <c r="D184" s="36">
        <f t="shared" si="2"/>
        <v>1212</v>
      </c>
      <c r="E184" s="2" t="s">
        <v>369</v>
      </c>
      <c r="F184" s="24" t="s">
        <v>303</v>
      </c>
      <c r="G184" s="2" t="s">
        <v>314</v>
      </c>
      <c r="H184" s="37" t="s">
        <v>382</v>
      </c>
    </row>
    <row r="185" spans="1:8" ht="18" x14ac:dyDescent="0.25">
      <c r="A185" s="4" t="s">
        <v>14</v>
      </c>
      <c r="B185" s="2">
        <v>850</v>
      </c>
      <c r="C185" s="3">
        <v>850</v>
      </c>
      <c r="D185" s="36">
        <f t="shared" si="2"/>
        <v>1220</v>
      </c>
      <c r="E185" s="10" t="s">
        <v>376</v>
      </c>
      <c r="F185" s="24" t="s">
        <v>300</v>
      </c>
      <c r="G185" s="2" t="s">
        <v>313</v>
      </c>
      <c r="H185" s="37" t="s">
        <v>381</v>
      </c>
    </row>
    <row r="186" spans="1:8" ht="18" x14ac:dyDescent="0.25">
      <c r="A186" s="4" t="s">
        <v>19</v>
      </c>
      <c r="B186" s="2">
        <v>167</v>
      </c>
      <c r="C186" s="3">
        <v>167</v>
      </c>
      <c r="D186" s="36">
        <f t="shared" si="2"/>
        <v>1230</v>
      </c>
      <c r="E186" s="2" t="s">
        <v>168</v>
      </c>
      <c r="F186" s="24" t="s">
        <v>298</v>
      </c>
      <c r="G186" s="2" t="s">
        <v>313</v>
      </c>
      <c r="H186" s="37" t="s">
        <v>381</v>
      </c>
    </row>
    <row r="187" spans="1:8" ht="18" x14ac:dyDescent="0.25">
      <c r="A187" s="4" t="s">
        <v>19</v>
      </c>
      <c r="B187" s="2">
        <v>167</v>
      </c>
      <c r="C187" s="3">
        <v>167</v>
      </c>
      <c r="D187" s="36">
        <f t="shared" si="2"/>
        <v>1231</v>
      </c>
      <c r="E187" s="2" t="s">
        <v>168</v>
      </c>
      <c r="F187" s="24" t="s">
        <v>299</v>
      </c>
      <c r="G187" s="2" t="s">
        <v>313</v>
      </c>
      <c r="H187" s="37" t="s">
        <v>381</v>
      </c>
    </row>
    <row r="188" spans="1:8" ht="18" x14ac:dyDescent="0.25">
      <c r="A188" s="4" t="s">
        <v>19</v>
      </c>
      <c r="B188" s="2">
        <v>167</v>
      </c>
      <c r="C188" s="3">
        <v>167</v>
      </c>
      <c r="D188" s="36">
        <f t="shared" si="2"/>
        <v>1232</v>
      </c>
      <c r="E188" s="2" t="s">
        <v>168</v>
      </c>
      <c r="F188" s="24" t="s">
        <v>299</v>
      </c>
      <c r="G188" s="2" t="s">
        <v>314</v>
      </c>
      <c r="H188" s="37" t="s">
        <v>382</v>
      </c>
    </row>
    <row r="189" spans="1:8" ht="18" x14ac:dyDescent="0.25">
      <c r="A189" s="4" t="s">
        <v>19</v>
      </c>
      <c r="B189" s="2">
        <v>167</v>
      </c>
      <c r="C189" s="3">
        <v>2416</v>
      </c>
      <c r="D189" s="36">
        <f t="shared" si="2"/>
        <v>1240</v>
      </c>
      <c r="E189" s="2" t="s">
        <v>169</v>
      </c>
      <c r="F189" s="24" t="s">
        <v>299</v>
      </c>
      <c r="G189" s="2" t="s">
        <v>313</v>
      </c>
      <c r="H189" s="37" t="s">
        <v>379</v>
      </c>
    </row>
    <row r="190" spans="1:8" ht="18" x14ac:dyDescent="0.25">
      <c r="A190" s="4" t="s">
        <v>19</v>
      </c>
      <c r="B190" s="2">
        <v>292</v>
      </c>
      <c r="C190" s="3">
        <v>292</v>
      </c>
      <c r="D190" s="36">
        <f t="shared" si="2"/>
        <v>1250</v>
      </c>
      <c r="E190" s="2" t="s">
        <v>170</v>
      </c>
      <c r="F190" s="24" t="s">
        <v>298</v>
      </c>
      <c r="G190" s="2" t="s">
        <v>313</v>
      </c>
      <c r="H190" s="37" t="s">
        <v>381</v>
      </c>
    </row>
    <row r="191" spans="1:8" ht="18" x14ac:dyDescent="0.25">
      <c r="A191" s="4" t="s">
        <v>19</v>
      </c>
      <c r="B191" s="2">
        <v>292</v>
      </c>
      <c r="C191" s="3">
        <v>292</v>
      </c>
      <c r="D191" s="36">
        <f t="shared" si="2"/>
        <v>1251</v>
      </c>
      <c r="E191" s="2" t="s">
        <v>170</v>
      </c>
      <c r="F191" s="24" t="s">
        <v>299</v>
      </c>
      <c r="G191" s="2" t="s">
        <v>313</v>
      </c>
      <c r="H191" s="37" t="s">
        <v>381</v>
      </c>
    </row>
    <row r="192" spans="1:8" ht="18" x14ac:dyDescent="0.25">
      <c r="A192" s="4" t="s">
        <v>19</v>
      </c>
      <c r="B192" s="2">
        <v>292</v>
      </c>
      <c r="C192" s="3">
        <v>292</v>
      </c>
      <c r="D192" s="36">
        <f t="shared" si="2"/>
        <v>1252</v>
      </c>
      <c r="E192" s="2" t="s">
        <v>170</v>
      </c>
      <c r="F192" s="24" t="s">
        <v>299</v>
      </c>
      <c r="G192" s="2" t="s">
        <v>314</v>
      </c>
      <c r="H192" s="37" t="s">
        <v>382</v>
      </c>
    </row>
    <row r="193" spans="1:8" ht="18" x14ac:dyDescent="0.25">
      <c r="A193" s="4" t="s">
        <v>19</v>
      </c>
      <c r="B193" s="2">
        <v>292</v>
      </c>
      <c r="C193" s="3">
        <v>2320</v>
      </c>
      <c r="D193" s="36">
        <f t="shared" si="2"/>
        <v>1260</v>
      </c>
      <c r="E193" s="2" t="s">
        <v>171</v>
      </c>
      <c r="F193" s="24" t="s">
        <v>299</v>
      </c>
      <c r="G193" s="2" t="s">
        <v>313</v>
      </c>
      <c r="H193" s="37" t="s">
        <v>379</v>
      </c>
    </row>
    <row r="194" spans="1:8" ht="18" x14ac:dyDescent="0.25">
      <c r="A194" s="4" t="s">
        <v>44</v>
      </c>
      <c r="B194" s="2">
        <v>198</v>
      </c>
      <c r="C194" s="3">
        <v>2329</v>
      </c>
      <c r="D194" s="36">
        <f t="shared" si="2"/>
        <v>1270</v>
      </c>
      <c r="E194" s="2" t="s">
        <v>172</v>
      </c>
      <c r="F194" s="24" t="s">
        <v>299</v>
      </c>
      <c r="G194" s="2" t="s">
        <v>313</v>
      </c>
      <c r="H194" s="37" t="s">
        <v>379</v>
      </c>
    </row>
    <row r="195" spans="1:8" ht="18" x14ac:dyDescent="0.25">
      <c r="A195" s="4" t="s">
        <v>44</v>
      </c>
      <c r="B195" s="2">
        <v>198</v>
      </c>
      <c r="C195" s="3">
        <v>198</v>
      </c>
      <c r="D195" s="36">
        <f t="shared" si="2"/>
        <v>1280</v>
      </c>
      <c r="E195" s="2" t="s">
        <v>173</v>
      </c>
      <c r="F195" s="24" t="s">
        <v>298</v>
      </c>
      <c r="G195" s="2" t="s">
        <v>313</v>
      </c>
      <c r="H195" s="37" t="s">
        <v>381</v>
      </c>
    </row>
    <row r="196" spans="1:8" ht="18" x14ac:dyDescent="0.25">
      <c r="A196" s="4" t="s">
        <v>44</v>
      </c>
      <c r="B196" s="2">
        <v>198</v>
      </c>
      <c r="C196" s="3">
        <v>198</v>
      </c>
      <c r="D196" s="36">
        <f t="shared" ref="D196:D259" si="3">IF(C196=C195,D195+1,MROUND(D195,10)+10)</f>
        <v>1281</v>
      </c>
      <c r="E196" s="2" t="s">
        <v>173</v>
      </c>
      <c r="F196" s="24" t="s">
        <v>299</v>
      </c>
      <c r="G196" s="2" t="s">
        <v>313</v>
      </c>
      <c r="H196" s="37" t="s">
        <v>381</v>
      </c>
    </row>
    <row r="197" spans="1:8" ht="18" x14ac:dyDescent="0.25">
      <c r="A197" s="4" t="s">
        <v>44</v>
      </c>
      <c r="B197" s="2">
        <v>198</v>
      </c>
      <c r="C197" s="3">
        <v>198</v>
      </c>
      <c r="D197" s="36">
        <f t="shared" si="3"/>
        <v>1282</v>
      </c>
      <c r="E197" s="2" t="s">
        <v>173</v>
      </c>
      <c r="F197" s="24" t="s">
        <v>299</v>
      </c>
      <c r="G197" s="2" t="s">
        <v>314</v>
      </c>
      <c r="H197" s="37" t="s">
        <v>382</v>
      </c>
    </row>
    <row r="198" spans="1:8" ht="18" x14ac:dyDescent="0.25">
      <c r="A198" s="4" t="s">
        <v>1</v>
      </c>
      <c r="B198" s="2">
        <v>898</v>
      </c>
      <c r="C198" s="3">
        <v>2337</v>
      </c>
      <c r="D198" s="36">
        <f t="shared" si="3"/>
        <v>1290</v>
      </c>
      <c r="E198" s="2" t="s">
        <v>174</v>
      </c>
      <c r="F198" s="24" t="s">
        <v>297</v>
      </c>
      <c r="G198" s="2" t="s">
        <v>313</v>
      </c>
      <c r="H198" s="37" t="s">
        <v>379</v>
      </c>
    </row>
    <row r="199" spans="1:8" ht="18" x14ac:dyDescent="0.25">
      <c r="A199" s="4" t="s">
        <v>1</v>
      </c>
      <c r="B199" s="2">
        <v>898</v>
      </c>
      <c r="C199" s="3">
        <v>2337</v>
      </c>
      <c r="D199" s="36">
        <f t="shared" si="3"/>
        <v>1291</v>
      </c>
      <c r="E199" s="2" t="s">
        <v>174</v>
      </c>
      <c r="F199" s="24" t="s">
        <v>297</v>
      </c>
      <c r="G199" s="2" t="s">
        <v>313</v>
      </c>
      <c r="H199" s="37" t="s">
        <v>381</v>
      </c>
    </row>
    <row r="200" spans="1:8" ht="18" x14ac:dyDescent="0.25">
      <c r="A200" s="4" t="s">
        <v>19</v>
      </c>
      <c r="B200" s="2">
        <v>165</v>
      </c>
      <c r="C200" s="3">
        <v>2407</v>
      </c>
      <c r="D200" s="36">
        <f t="shared" si="3"/>
        <v>1300</v>
      </c>
      <c r="E200" s="2" t="s">
        <v>176</v>
      </c>
      <c r="F200" s="24" t="s">
        <v>299</v>
      </c>
      <c r="G200" s="2" t="s">
        <v>313</v>
      </c>
      <c r="H200" s="37" t="s">
        <v>379</v>
      </c>
    </row>
    <row r="201" spans="1:8" ht="18" x14ac:dyDescent="0.25">
      <c r="A201" s="4" t="s">
        <v>19</v>
      </c>
      <c r="B201" s="2">
        <v>165</v>
      </c>
      <c r="C201" s="3">
        <v>165</v>
      </c>
      <c r="D201" s="36">
        <f t="shared" si="3"/>
        <v>1310</v>
      </c>
      <c r="E201" s="2" t="s">
        <v>177</v>
      </c>
      <c r="F201" s="24" t="s">
        <v>298</v>
      </c>
      <c r="G201" s="2" t="s">
        <v>313</v>
      </c>
      <c r="H201" s="37" t="s">
        <v>381</v>
      </c>
    </row>
    <row r="202" spans="1:8" ht="18" x14ac:dyDescent="0.25">
      <c r="A202" s="4" t="s">
        <v>19</v>
      </c>
      <c r="B202" s="2">
        <v>165</v>
      </c>
      <c r="C202" s="3">
        <v>165</v>
      </c>
      <c r="D202" s="36">
        <f t="shared" si="3"/>
        <v>1311</v>
      </c>
      <c r="E202" s="2" t="s">
        <v>177</v>
      </c>
      <c r="F202" s="24" t="s">
        <v>299</v>
      </c>
      <c r="G202" s="2" t="s">
        <v>313</v>
      </c>
      <c r="H202" s="37" t="s">
        <v>381</v>
      </c>
    </row>
    <row r="203" spans="1:8" ht="18" x14ac:dyDescent="0.25">
      <c r="A203" s="4" t="s">
        <v>19</v>
      </c>
      <c r="B203" s="2">
        <v>165</v>
      </c>
      <c r="C203" s="3">
        <v>165</v>
      </c>
      <c r="D203" s="36">
        <f t="shared" si="3"/>
        <v>1312</v>
      </c>
      <c r="E203" s="2" t="s">
        <v>177</v>
      </c>
      <c r="F203" s="24" t="s">
        <v>299</v>
      </c>
      <c r="G203" s="2" t="s">
        <v>314</v>
      </c>
      <c r="H203" s="37" t="s">
        <v>382</v>
      </c>
    </row>
    <row r="204" spans="1:8" x14ac:dyDescent="0.25">
      <c r="A204" s="4" t="s">
        <v>36</v>
      </c>
      <c r="B204" s="2">
        <v>165</v>
      </c>
      <c r="C204" s="3">
        <v>274</v>
      </c>
      <c r="D204" s="36">
        <f t="shared" si="3"/>
        <v>1320</v>
      </c>
      <c r="E204" s="29" t="s">
        <v>182</v>
      </c>
      <c r="F204" s="30" t="s">
        <v>299</v>
      </c>
      <c r="G204" s="2" t="s">
        <v>313</v>
      </c>
      <c r="H204" s="37" t="s">
        <v>379</v>
      </c>
    </row>
    <row r="205" spans="1:8" ht="18" x14ac:dyDescent="0.25">
      <c r="A205" s="4" t="s">
        <v>36</v>
      </c>
      <c r="B205" s="2">
        <v>165</v>
      </c>
      <c r="C205" s="3">
        <v>274</v>
      </c>
      <c r="D205" s="36">
        <f t="shared" si="3"/>
        <v>1321</v>
      </c>
      <c r="E205" s="29" t="s">
        <v>182</v>
      </c>
      <c r="F205" s="30" t="s">
        <v>298</v>
      </c>
      <c r="G205" s="2" t="s">
        <v>313</v>
      </c>
      <c r="H205" s="37" t="s">
        <v>381</v>
      </c>
    </row>
    <row r="206" spans="1:8" ht="18" x14ac:dyDescent="0.25">
      <c r="A206" s="4" t="s">
        <v>36</v>
      </c>
      <c r="B206" s="2">
        <v>165</v>
      </c>
      <c r="C206" s="3">
        <v>274</v>
      </c>
      <c r="D206" s="36">
        <f t="shared" si="3"/>
        <v>1322</v>
      </c>
      <c r="E206" s="29" t="s">
        <v>182</v>
      </c>
      <c r="F206" s="30" t="s">
        <v>299</v>
      </c>
      <c r="G206" s="2" t="s">
        <v>313</v>
      </c>
      <c r="H206" s="37" t="s">
        <v>381</v>
      </c>
    </row>
    <row r="207" spans="1:8" x14ac:dyDescent="0.25">
      <c r="A207" s="4" t="s">
        <v>1</v>
      </c>
      <c r="B207" s="2">
        <v>159</v>
      </c>
      <c r="C207" s="3">
        <v>159</v>
      </c>
      <c r="D207" s="36">
        <f t="shared" si="3"/>
        <v>1330</v>
      </c>
      <c r="E207" s="2" t="s">
        <v>178</v>
      </c>
      <c r="F207" s="24" t="s">
        <v>299</v>
      </c>
      <c r="G207" s="2" t="s">
        <v>313</v>
      </c>
      <c r="H207" s="37" t="s">
        <v>379</v>
      </c>
    </row>
    <row r="208" spans="1:8" ht="18" x14ac:dyDescent="0.25">
      <c r="A208" s="4" t="s">
        <v>1</v>
      </c>
      <c r="B208" s="2">
        <v>159</v>
      </c>
      <c r="C208" s="3">
        <v>159</v>
      </c>
      <c r="D208" s="36">
        <f t="shared" si="3"/>
        <v>1331</v>
      </c>
      <c r="E208" s="2" t="s">
        <v>178</v>
      </c>
      <c r="F208" s="24" t="s">
        <v>298</v>
      </c>
      <c r="G208" s="2" t="s">
        <v>313</v>
      </c>
      <c r="H208" s="37" t="s">
        <v>381</v>
      </c>
    </row>
    <row r="209" spans="1:8" ht="18" x14ac:dyDescent="0.25">
      <c r="A209" s="4" t="s">
        <v>1</v>
      </c>
      <c r="B209" s="2">
        <v>159</v>
      </c>
      <c r="C209" s="3">
        <v>159</v>
      </c>
      <c r="D209" s="36">
        <f t="shared" si="3"/>
        <v>1332</v>
      </c>
      <c r="E209" s="2" t="s">
        <v>178</v>
      </c>
      <c r="F209" s="24" t="s">
        <v>299</v>
      </c>
      <c r="G209" s="2" t="s">
        <v>313</v>
      </c>
      <c r="H209" s="37" t="s">
        <v>381</v>
      </c>
    </row>
    <row r="210" spans="1:8" ht="18" x14ac:dyDescent="0.25">
      <c r="A210" s="4" t="s">
        <v>1</v>
      </c>
      <c r="B210" s="2">
        <v>159</v>
      </c>
      <c r="C210" s="3">
        <v>159</v>
      </c>
      <c r="D210" s="36">
        <f t="shared" si="3"/>
        <v>1333</v>
      </c>
      <c r="E210" s="2" t="s">
        <v>178</v>
      </c>
      <c r="F210" s="24" t="s">
        <v>299</v>
      </c>
      <c r="G210" s="2" t="s">
        <v>314</v>
      </c>
      <c r="H210" s="37" t="s">
        <v>382</v>
      </c>
    </row>
    <row r="211" spans="1:8" ht="18" x14ac:dyDescent="0.25">
      <c r="A211" s="4" t="s">
        <v>45</v>
      </c>
      <c r="B211" s="2">
        <v>165</v>
      </c>
      <c r="C211" s="3">
        <v>948</v>
      </c>
      <c r="D211" s="36">
        <f t="shared" si="3"/>
        <v>1340</v>
      </c>
      <c r="E211" s="29" t="s">
        <v>179</v>
      </c>
      <c r="F211" s="30" t="s">
        <v>298</v>
      </c>
      <c r="G211" s="2" t="s">
        <v>313</v>
      </c>
      <c r="H211" s="37" t="s">
        <v>381</v>
      </c>
    </row>
    <row r="212" spans="1:8" ht="18" x14ac:dyDescent="0.25">
      <c r="A212" s="4" t="s">
        <v>37</v>
      </c>
      <c r="B212" s="2">
        <v>165</v>
      </c>
      <c r="C212" s="3">
        <v>944</v>
      </c>
      <c r="D212" s="36">
        <f t="shared" si="3"/>
        <v>1350</v>
      </c>
      <c r="E212" s="29" t="s">
        <v>180</v>
      </c>
      <c r="F212" s="30" t="s">
        <v>299</v>
      </c>
      <c r="G212" s="2" t="s">
        <v>313</v>
      </c>
      <c r="H212" s="37" t="s">
        <v>379</v>
      </c>
    </row>
    <row r="213" spans="1:8" ht="18" x14ac:dyDescent="0.25">
      <c r="A213" s="4" t="s">
        <v>37</v>
      </c>
      <c r="B213" s="2">
        <v>165</v>
      </c>
      <c r="C213" s="3">
        <v>944</v>
      </c>
      <c r="D213" s="36">
        <f t="shared" si="3"/>
        <v>1351</v>
      </c>
      <c r="E213" s="29" t="s">
        <v>180</v>
      </c>
      <c r="F213" s="30" t="s">
        <v>299</v>
      </c>
      <c r="G213" s="2" t="s">
        <v>313</v>
      </c>
      <c r="H213" s="37" t="s">
        <v>381</v>
      </c>
    </row>
    <row r="214" spans="1:8" x14ac:dyDescent="0.25">
      <c r="A214" s="4" t="s">
        <v>363</v>
      </c>
      <c r="B214" s="2">
        <v>165</v>
      </c>
      <c r="C214" s="3">
        <v>689</v>
      </c>
      <c r="D214" s="36">
        <f t="shared" si="3"/>
        <v>1360</v>
      </c>
      <c r="E214" s="32" t="s">
        <v>364</v>
      </c>
      <c r="F214" s="30" t="s">
        <v>299</v>
      </c>
      <c r="G214" s="2" t="s">
        <v>313</v>
      </c>
      <c r="H214" s="37" t="s">
        <v>379</v>
      </c>
    </row>
    <row r="215" spans="1:8" ht="18" x14ac:dyDescent="0.25">
      <c r="A215" s="4" t="s">
        <v>363</v>
      </c>
      <c r="B215" s="2">
        <v>165</v>
      </c>
      <c r="C215" s="3">
        <v>689</v>
      </c>
      <c r="D215" s="36">
        <f t="shared" si="3"/>
        <v>1361</v>
      </c>
      <c r="E215" s="32" t="s">
        <v>364</v>
      </c>
      <c r="F215" s="30" t="s">
        <v>298</v>
      </c>
      <c r="G215" s="2" t="s">
        <v>313</v>
      </c>
      <c r="H215" s="37" t="s">
        <v>381</v>
      </c>
    </row>
    <row r="216" spans="1:8" ht="18" x14ac:dyDescent="0.25">
      <c r="A216" s="4" t="s">
        <v>363</v>
      </c>
      <c r="B216" s="2">
        <v>165</v>
      </c>
      <c r="C216" s="3">
        <v>689</v>
      </c>
      <c r="D216" s="36">
        <f t="shared" si="3"/>
        <v>1362</v>
      </c>
      <c r="E216" s="32" t="s">
        <v>364</v>
      </c>
      <c r="F216" s="30" t="s">
        <v>299</v>
      </c>
      <c r="G216" s="2" t="s">
        <v>313</v>
      </c>
      <c r="H216" s="37" t="s">
        <v>381</v>
      </c>
    </row>
    <row r="217" spans="1:8" x14ac:dyDescent="0.25">
      <c r="A217" s="4" t="s">
        <v>35</v>
      </c>
      <c r="B217" s="2">
        <v>165</v>
      </c>
      <c r="C217" s="3">
        <v>835</v>
      </c>
      <c r="D217" s="36">
        <f t="shared" si="3"/>
        <v>1370</v>
      </c>
      <c r="E217" s="29" t="s">
        <v>181</v>
      </c>
      <c r="F217" s="30" t="s">
        <v>299</v>
      </c>
      <c r="G217" s="2" t="s">
        <v>313</v>
      </c>
      <c r="H217" s="37" t="s">
        <v>379</v>
      </c>
    </row>
    <row r="218" spans="1:8" ht="18" x14ac:dyDescent="0.25">
      <c r="A218" s="4" t="s">
        <v>35</v>
      </c>
      <c r="B218" s="2">
        <v>165</v>
      </c>
      <c r="C218" s="3">
        <v>835</v>
      </c>
      <c r="D218" s="36">
        <f t="shared" si="3"/>
        <v>1371</v>
      </c>
      <c r="E218" s="29" t="s">
        <v>181</v>
      </c>
      <c r="F218" s="30" t="s">
        <v>299</v>
      </c>
      <c r="G218" s="2" t="s">
        <v>313</v>
      </c>
      <c r="H218" s="37" t="s">
        <v>381</v>
      </c>
    </row>
    <row r="219" spans="1:8" x14ac:dyDescent="0.25">
      <c r="A219" s="4" t="s">
        <v>1</v>
      </c>
      <c r="B219" s="2">
        <v>170</v>
      </c>
      <c r="C219" s="3">
        <v>2338</v>
      </c>
      <c r="D219" s="36">
        <f t="shared" si="3"/>
        <v>1380</v>
      </c>
      <c r="E219" s="2" t="s">
        <v>183</v>
      </c>
      <c r="F219" s="24" t="s">
        <v>297</v>
      </c>
      <c r="G219" s="2" t="s">
        <v>313</v>
      </c>
      <c r="H219" s="37" t="s">
        <v>379</v>
      </c>
    </row>
    <row r="220" spans="1:8" ht="18" x14ac:dyDescent="0.25">
      <c r="A220" s="4" t="s">
        <v>1</v>
      </c>
      <c r="B220" s="2">
        <v>170</v>
      </c>
      <c r="C220" s="3">
        <v>170</v>
      </c>
      <c r="D220" s="36">
        <f t="shared" si="3"/>
        <v>1390</v>
      </c>
      <c r="E220" s="2" t="s">
        <v>184</v>
      </c>
      <c r="F220" s="24" t="s">
        <v>298</v>
      </c>
      <c r="G220" s="2" t="s">
        <v>313</v>
      </c>
      <c r="H220" s="37" t="s">
        <v>381</v>
      </c>
    </row>
    <row r="221" spans="1:8" ht="18" x14ac:dyDescent="0.25">
      <c r="A221" s="4" t="s">
        <v>1</v>
      </c>
      <c r="B221" s="2">
        <v>170</v>
      </c>
      <c r="C221" s="3">
        <v>170</v>
      </c>
      <c r="D221" s="36">
        <f t="shared" si="3"/>
        <v>1391</v>
      </c>
      <c r="E221" s="2" t="s">
        <v>184</v>
      </c>
      <c r="F221" s="24" t="s">
        <v>299</v>
      </c>
      <c r="G221" s="2" t="s">
        <v>313</v>
      </c>
      <c r="H221" s="37" t="s">
        <v>381</v>
      </c>
    </row>
    <row r="222" spans="1:8" ht="18" x14ac:dyDescent="0.25">
      <c r="A222" s="4" t="s">
        <v>1</v>
      </c>
      <c r="B222" s="2">
        <v>170</v>
      </c>
      <c r="C222" s="3">
        <v>170</v>
      </c>
      <c r="D222" s="36">
        <f t="shared" si="3"/>
        <v>1392</v>
      </c>
      <c r="E222" s="2" t="s">
        <v>184</v>
      </c>
      <c r="F222" s="24" t="s">
        <v>299</v>
      </c>
      <c r="G222" s="2" t="s">
        <v>314</v>
      </c>
      <c r="H222" s="37" t="s">
        <v>382</v>
      </c>
    </row>
    <row r="223" spans="1:8" ht="18" x14ac:dyDescent="0.25">
      <c r="A223" s="4" t="s">
        <v>19</v>
      </c>
      <c r="B223" s="2">
        <v>173</v>
      </c>
      <c r="C223" s="3">
        <v>173</v>
      </c>
      <c r="D223" s="36">
        <f t="shared" si="3"/>
        <v>1400</v>
      </c>
      <c r="E223" s="2" t="s">
        <v>185</v>
      </c>
      <c r="F223" s="24" t="s">
        <v>298</v>
      </c>
      <c r="G223" s="2" t="s">
        <v>313</v>
      </c>
      <c r="H223" s="37" t="s">
        <v>381</v>
      </c>
    </row>
    <row r="224" spans="1:8" ht="18" x14ac:dyDescent="0.25">
      <c r="A224" s="4" t="s">
        <v>19</v>
      </c>
      <c r="B224" s="2">
        <v>173</v>
      </c>
      <c r="C224" s="3">
        <v>173</v>
      </c>
      <c r="D224" s="36">
        <f t="shared" si="3"/>
        <v>1401</v>
      </c>
      <c r="E224" s="2" t="s">
        <v>185</v>
      </c>
      <c r="F224" s="24" t="s">
        <v>299</v>
      </c>
      <c r="G224" s="2" t="s">
        <v>313</v>
      </c>
      <c r="H224" s="37" t="s">
        <v>381</v>
      </c>
    </row>
    <row r="225" spans="1:8" ht="18" x14ac:dyDescent="0.25">
      <c r="A225" s="4" t="s">
        <v>19</v>
      </c>
      <c r="B225" s="2">
        <v>173</v>
      </c>
      <c r="C225" s="3">
        <v>173</v>
      </c>
      <c r="D225" s="36">
        <f t="shared" si="3"/>
        <v>1402</v>
      </c>
      <c r="E225" s="2" t="s">
        <v>185</v>
      </c>
      <c r="F225" s="24" t="s">
        <v>299</v>
      </c>
      <c r="G225" s="2" t="s">
        <v>314</v>
      </c>
      <c r="H225" s="37" t="s">
        <v>382</v>
      </c>
    </row>
    <row r="226" spans="1:8" ht="18" x14ac:dyDescent="0.25">
      <c r="A226" s="4" t="s">
        <v>19</v>
      </c>
      <c r="B226" s="2">
        <v>173</v>
      </c>
      <c r="C226" s="3">
        <v>2230</v>
      </c>
      <c r="D226" s="36">
        <f t="shared" si="3"/>
        <v>1410</v>
      </c>
      <c r="E226" s="2" t="s">
        <v>186</v>
      </c>
      <c r="F226" s="24" t="s">
        <v>299</v>
      </c>
      <c r="G226" s="2" t="s">
        <v>313</v>
      </c>
      <c r="H226" s="37" t="s">
        <v>379</v>
      </c>
    </row>
    <row r="227" spans="1:8" ht="18" x14ac:dyDescent="0.25">
      <c r="A227" s="4" t="s">
        <v>38</v>
      </c>
      <c r="B227" s="2">
        <v>82</v>
      </c>
      <c r="C227" s="3">
        <v>276</v>
      </c>
      <c r="D227" s="36">
        <f t="shared" si="3"/>
        <v>1420</v>
      </c>
      <c r="E227" s="29" t="s">
        <v>187</v>
      </c>
      <c r="F227" s="30" t="s">
        <v>299</v>
      </c>
      <c r="G227" s="2" t="s">
        <v>313</v>
      </c>
      <c r="H227" s="37" t="s">
        <v>379</v>
      </c>
    </row>
    <row r="228" spans="1:8" ht="18" x14ac:dyDescent="0.25">
      <c r="A228" s="4" t="s">
        <v>38</v>
      </c>
      <c r="B228" s="2">
        <v>82</v>
      </c>
      <c r="C228" s="3">
        <v>276</v>
      </c>
      <c r="D228" s="36">
        <f t="shared" si="3"/>
        <v>1421</v>
      </c>
      <c r="E228" s="29" t="s">
        <v>187</v>
      </c>
      <c r="F228" s="30" t="s">
        <v>298</v>
      </c>
      <c r="G228" s="2" t="s">
        <v>313</v>
      </c>
      <c r="H228" s="37" t="s">
        <v>381</v>
      </c>
    </row>
    <row r="229" spans="1:8" ht="18" x14ac:dyDescent="0.25">
      <c r="A229" s="4" t="s">
        <v>38</v>
      </c>
      <c r="B229" s="2">
        <v>82</v>
      </c>
      <c r="C229" s="3">
        <v>276</v>
      </c>
      <c r="D229" s="36">
        <f t="shared" si="3"/>
        <v>1422</v>
      </c>
      <c r="E229" s="29" t="s">
        <v>187</v>
      </c>
      <c r="F229" s="30" t="s">
        <v>299</v>
      </c>
      <c r="G229" s="2" t="s">
        <v>313</v>
      </c>
      <c r="H229" s="37" t="s">
        <v>381</v>
      </c>
    </row>
    <row r="230" spans="1:8" ht="18" x14ac:dyDescent="0.25">
      <c r="A230" s="4" t="s">
        <v>37</v>
      </c>
      <c r="B230" s="2">
        <v>82</v>
      </c>
      <c r="C230" s="3">
        <v>947</v>
      </c>
      <c r="D230" s="36">
        <f t="shared" si="3"/>
        <v>1430</v>
      </c>
      <c r="E230" s="29" t="s">
        <v>188</v>
      </c>
      <c r="F230" s="30" t="s">
        <v>299</v>
      </c>
      <c r="G230" s="2" t="s">
        <v>313</v>
      </c>
      <c r="H230" s="37" t="s">
        <v>379</v>
      </c>
    </row>
    <row r="231" spans="1:8" ht="18" x14ac:dyDescent="0.25">
      <c r="A231" s="4" t="s">
        <v>37</v>
      </c>
      <c r="B231" s="2">
        <v>82</v>
      </c>
      <c r="C231" s="3">
        <v>947</v>
      </c>
      <c r="D231" s="36">
        <f t="shared" si="3"/>
        <v>1431</v>
      </c>
      <c r="E231" s="29" t="s">
        <v>188</v>
      </c>
      <c r="F231" s="30" t="s">
        <v>299</v>
      </c>
      <c r="G231" s="2" t="s">
        <v>313</v>
      </c>
      <c r="H231" s="37" t="s">
        <v>381</v>
      </c>
    </row>
    <row r="232" spans="1:8" ht="18" x14ac:dyDescent="0.25">
      <c r="A232" s="4" t="s">
        <v>44</v>
      </c>
      <c r="B232" s="2">
        <v>82</v>
      </c>
      <c r="C232" s="3">
        <v>2225</v>
      </c>
      <c r="D232" s="36">
        <f t="shared" si="3"/>
        <v>1440</v>
      </c>
      <c r="E232" s="2" t="s">
        <v>189</v>
      </c>
      <c r="F232" s="24" t="s">
        <v>299</v>
      </c>
      <c r="G232" s="2" t="s">
        <v>313</v>
      </c>
      <c r="H232" s="37" t="s">
        <v>379</v>
      </c>
    </row>
    <row r="233" spans="1:8" ht="18" x14ac:dyDescent="0.25">
      <c r="A233" s="4" t="s">
        <v>44</v>
      </c>
      <c r="B233" s="2">
        <v>82</v>
      </c>
      <c r="C233" s="3">
        <v>82</v>
      </c>
      <c r="D233" s="36">
        <f t="shared" si="3"/>
        <v>1450</v>
      </c>
      <c r="E233" s="2" t="s">
        <v>190</v>
      </c>
      <c r="F233" s="24" t="s">
        <v>298</v>
      </c>
      <c r="G233" s="2" t="s">
        <v>313</v>
      </c>
      <c r="H233" s="37" t="s">
        <v>381</v>
      </c>
    </row>
    <row r="234" spans="1:8" ht="18" x14ac:dyDescent="0.25">
      <c r="A234" s="4" t="s">
        <v>44</v>
      </c>
      <c r="B234" s="2">
        <v>82</v>
      </c>
      <c r="C234" s="3">
        <v>82</v>
      </c>
      <c r="D234" s="36">
        <f t="shared" si="3"/>
        <v>1451</v>
      </c>
      <c r="E234" s="2" t="s">
        <v>190</v>
      </c>
      <c r="F234" s="24" t="s">
        <v>299</v>
      </c>
      <c r="G234" s="2" t="s">
        <v>313</v>
      </c>
      <c r="H234" s="37" t="s">
        <v>381</v>
      </c>
    </row>
    <row r="235" spans="1:8" ht="18" x14ac:dyDescent="0.25">
      <c r="A235" s="4" t="s">
        <v>44</v>
      </c>
      <c r="B235" s="2">
        <v>82</v>
      </c>
      <c r="C235" s="3">
        <v>82</v>
      </c>
      <c r="D235" s="36">
        <f t="shared" si="3"/>
        <v>1452</v>
      </c>
      <c r="E235" s="2" t="s">
        <v>190</v>
      </c>
      <c r="F235" s="24" t="s">
        <v>299</v>
      </c>
      <c r="G235" s="2" t="s">
        <v>314</v>
      </c>
      <c r="H235" s="37" t="s">
        <v>382</v>
      </c>
    </row>
    <row r="236" spans="1:8" ht="18" x14ac:dyDescent="0.25">
      <c r="A236" s="4" t="s">
        <v>19</v>
      </c>
      <c r="B236" s="2">
        <v>163</v>
      </c>
      <c r="C236" s="3">
        <v>2228</v>
      </c>
      <c r="D236" s="36">
        <f t="shared" si="3"/>
        <v>1460</v>
      </c>
      <c r="E236" s="2" t="s">
        <v>191</v>
      </c>
      <c r="F236" s="24" t="s">
        <v>299</v>
      </c>
      <c r="G236" s="2" t="s">
        <v>313</v>
      </c>
      <c r="H236" s="37" t="s">
        <v>379</v>
      </c>
    </row>
    <row r="237" spans="1:8" ht="18" x14ac:dyDescent="0.25">
      <c r="A237" s="4" t="s">
        <v>19</v>
      </c>
      <c r="B237" s="2">
        <v>163</v>
      </c>
      <c r="C237" s="3">
        <v>163</v>
      </c>
      <c r="D237" s="36">
        <f t="shared" si="3"/>
        <v>1470</v>
      </c>
      <c r="E237" s="2" t="s">
        <v>192</v>
      </c>
      <c r="F237" s="24" t="s">
        <v>298</v>
      </c>
      <c r="G237" s="2" t="s">
        <v>313</v>
      </c>
      <c r="H237" s="37" t="s">
        <v>381</v>
      </c>
    </row>
    <row r="238" spans="1:8" ht="18" x14ac:dyDescent="0.25">
      <c r="A238" s="4" t="s">
        <v>19</v>
      </c>
      <c r="B238" s="2">
        <v>163</v>
      </c>
      <c r="C238" s="3">
        <v>163</v>
      </c>
      <c r="D238" s="36">
        <f t="shared" si="3"/>
        <v>1471</v>
      </c>
      <c r="E238" s="2" t="s">
        <v>192</v>
      </c>
      <c r="F238" s="24" t="s">
        <v>299</v>
      </c>
      <c r="G238" s="2" t="s">
        <v>313</v>
      </c>
      <c r="H238" s="37" t="s">
        <v>381</v>
      </c>
    </row>
    <row r="239" spans="1:8" ht="18" x14ac:dyDescent="0.25">
      <c r="A239" s="4" t="s">
        <v>19</v>
      </c>
      <c r="B239" s="2">
        <v>163</v>
      </c>
      <c r="C239" s="3">
        <v>163</v>
      </c>
      <c r="D239" s="36">
        <f t="shared" si="3"/>
        <v>1472</v>
      </c>
      <c r="E239" s="2" t="s">
        <v>192</v>
      </c>
      <c r="F239" s="24" t="s">
        <v>299</v>
      </c>
      <c r="G239" s="2" t="s">
        <v>314</v>
      </c>
      <c r="H239" s="37" t="s">
        <v>382</v>
      </c>
    </row>
    <row r="240" spans="1:8" ht="18" x14ac:dyDescent="0.25">
      <c r="A240" s="4" t="s">
        <v>44</v>
      </c>
      <c r="B240" s="2">
        <v>235</v>
      </c>
      <c r="C240" s="3">
        <v>235</v>
      </c>
      <c r="D240" s="36">
        <f t="shared" si="3"/>
        <v>1480</v>
      </c>
      <c r="E240" s="2" t="s">
        <v>193</v>
      </c>
      <c r="F240" s="24" t="s">
        <v>299</v>
      </c>
      <c r="G240" s="2" t="s">
        <v>313</v>
      </c>
      <c r="H240" s="37" t="s">
        <v>379</v>
      </c>
    </row>
    <row r="241" spans="1:8" ht="18" x14ac:dyDescent="0.25">
      <c r="A241" s="4" t="s">
        <v>44</v>
      </c>
      <c r="B241" s="2">
        <v>235</v>
      </c>
      <c r="C241" s="3">
        <v>235</v>
      </c>
      <c r="D241" s="36">
        <f t="shared" si="3"/>
        <v>1481</v>
      </c>
      <c r="E241" s="2" t="s">
        <v>193</v>
      </c>
      <c r="F241" s="24" t="s">
        <v>298</v>
      </c>
      <c r="G241" s="2" t="s">
        <v>313</v>
      </c>
      <c r="H241" s="37" t="s">
        <v>381</v>
      </c>
    </row>
    <row r="242" spans="1:8" ht="18" x14ac:dyDescent="0.25">
      <c r="A242" s="4" t="s">
        <v>44</v>
      </c>
      <c r="B242" s="2">
        <v>235</v>
      </c>
      <c r="C242" s="3">
        <v>235</v>
      </c>
      <c r="D242" s="36">
        <f t="shared" si="3"/>
        <v>1482</v>
      </c>
      <c r="E242" s="2" t="s">
        <v>193</v>
      </c>
      <c r="F242" s="24" t="s">
        <v>299</v>
      </c>
      <c r="G242" s="2" t="s">
        <v>313</v>
      </c>
      <c r="H242" s="37" t="s">
        <v>381</v>
      </c>
    </row>
    <row r="243" spans="1:8" ht="18" x14ac:dyDescent="0.25">
      <c r="A243" s="4" t="s">
        <v>44</v>
      </c>
      <c r="B243" s="2">
        <v>235</v>
      </c>
      <c r="C243" s="3">
        <v>235</v>
      </c>
      <c r="D243" s="36">
        <f t="shared" si="3"/>
        <v>1483</v>
      </c>
      <c r="E243" s="2" t="s">
        <v>193</v>
      </c>
      <c r="F243" s="24" t="s">
        <v>299</v>
      </c>
      <c r="G243" s="2" t="s">
        <v>314</v>
      </c>
      <c r="H243" s="37" t="s">
        <v>382</v>
      </c>
    </row>
    <row r="244" spans="1:8" ht="18" x14ac:dyDescent="0.25">
      <c r="A244" s="4" t="s">
        <v>44</v>
      </c>
      <c r="B244" s="2">
        <v>929</v>
      </c>
      <c r="C244" s="3">
        <v>929</v>
      </c>
      <c r="D244" s="36">
        <f t="shared" si="3"/>
        <v>1490</v>
      </c>
      <c r="E244" s="2" t="s">
        <v>194</v>
      </c>
      <c r="F244" s="24" t="s">
        <v>299</v>
      </c>
      <c r="G244" s="2" t="s">
        <v>313</v>
      </c>
      <c r="H244" s="37" t="s">
        <v>379</v>
      </c>
    </row>
    <row r="245" spans="1:8" ht="18" x14ac:dyDescent="0.25">
      <c r="A245" s="4" t="s">
        <v>44</v>
      </c>
      <c r="B245" s="2">
        <v>929</v>
      </c>
      <c r="C245" s="3">
        <v>929</v>
      </c>
      <c r="D245" s="36">
        <f t="shared" si="3"/>
        <v>1491</v>
      </c>
      <c r="E245" s="2" t="s">
        <v>194</v>
      </c>
      <c r="F245" s="24" t="s">
        <v>299</v>
      </c>
      <c r="G245" s="2" t="s">
        <v>313</v>
      </c>
      <c r="H245" s="37" t="s">
        <v>381</v>
      </c>
    </row>
    <row r="246" spans="1:8" ht="18" x14ac:dyDescent="0.25">
      <c r="A246" s="4" t="s">
        <v>44</v>
      </c>
      <c r="B246" s="2">
        <v>929</v>
      </c>
      <c r="C246" s="3">
        <v>929</v>
      </c>
      <c r="D246" s="36">
        <f t="shared" si="3"/>
        <v>1492</v>
      </c>
      <c r="E246" s="2" t="s">
        <v>194</v>
      </c>
      <c r="F246" s="24" t="s">
        <v>299</v>
      </c>
      <c r="G246" s="2" t="s">
        <v>314</v>
      </c>
      <c r="H246" s="37" t="s">
        <v>382</v>
      </c>
    </row>
    <row r="247" spans="1:8" x14ac:dyDescent="0.25">
      <c r="A247" s="4" t="s">
        <v>1</v>
      </c>
      <c r="B247" s="2">
        <v>831</v>
      </c>
      <c r="C247" s="3">
        <v>831</v>
      </c>
      <c r="D247" s="36">
        <f t="shared" si="3"/>
        <v>1500</v>
      </c>
      <c r="E247" s="2" t="s">
        <v>195</v>
      </c>
      <c r="F247" s="24" t="s">
        <v>299</v>
      </c>
      <c r="G247" s="2" t="s">
        <v>313</v>
      </c>
      <c r="H247" s="37" t="s">
        <v>379</v>
      </c>
    </row>
    <row r="248" spans="1:8" ht="18" x14ac:dyDescent="0.25">
      <c r="A248" s="4" t="s">
        <v>1</v>
      </c>
      <c r="B248" s="2">
        <v>831</v>
      </c>
      <c r="C248" s="3">
        <v>831</v>
      </c>
      <c r="D248" s="36">
        <f t="shared" si="3"/>
        <v>1501</v>
      </c>
      <c r="E248" s="2" t="s">
        <v>195</v>
      </c>
      <c r="F248" s="24" t="s">
        <v>298</v>
      </c>
      <c r="G248" s="2" t="s">
        <v>313</v>
      </c>
      <c r="H248" s="37" t="s">
        <v>381</v>
      </c>
    </row>
    <row r="249" spans="1:8" ht="18" x14ac:dyDescent="0.25">
      <c r="A249" s="4" t="s">
        <v>1</v>
      </c>
      <c r="B249" s="2">
        <v>831</v>
      </c>
      <c r="C249" s="3">
        <v>831</v>
      </c>
      <c r="D249" s="36">
        <f t="shared" si="3"/>
        <v>1502</v>
      </c>
      <c r="E249" s="2" t="s">
        <v>195</v>
      </c>
      <c r="F249" s="24" t="s">
        <v>299</v>
      </c>
      <c r="G249" s="2" t="s">
        <v>313</v>
      </c>
      <c r="H249" s="37" t="s">
        <v>381</v>
      </c>
    </row>
    <row r="250" spans="1:8" ht="18" x14ac:dyDescent="0.25">
      <c r="A250" s="4" t="s">
        <v>1</v>
      </c>
      <c r="B250" s="2">
        <v>831</v>
      </c>
      <c r="C250" s="3">
        <v>831</v>
      </c>
      <c r="D250" s="36">
        <f t="shared" si="3"/>
        <v>1503</v>
      </c>
      <c r="E250" s="2" t="s">
        <v>195</v>
      </c>
      <c r="F250" s="24" t="s">
        <v>299</v>
      </c>
      <c r="G250" s="2" t="s">
        <v>314</v>
      </c>
      <c r="H250" s="37" t="s">
        <v>382</v>
      </c>
    </row>
    <row r="251" spans="1:8" ht="18" x14ac:dyDescent="0.25">
      <c r="A251" s="4" t="s">
        <v>19</v>
      </c>
      <c r="B251" s="2">
        <v>164</v>
      </c>
      <c r="C251" s="3">
        <v>164</v>
      </c>
      <c r="D251" s="36">
        <f t="shared" si="3"/>
        <v>1510</v>
      </c>
      <c r="E251" s="2" t="s">
        <v>196</v>
      </c>
      <c r="F251" s="24" t="s">
        <v>298</v>
      </c>
      <c r="G251" s="2" t="s">
        <v>313</v>
      </c>
      <c r="H251" s="37" t="s">
        <v>381</v>
      </c>
    </row>
    <row r="252" spans="1:8" ht="18" x14ac:dyDescent="0.25">
      <c r="A252" s="4" t="s">
        <v>19</v>
      </c>
      <c r="B252" s="2">
        <v>164</v>
      </c>
      <c r="C252" s="3">
        <v>164</v>
      </c>
      <c r="D252" s="36">
        <f t="shared" si="3"/>
        <v>1511</v>
      </c>
      <c r="E252" s="2" t="s">
        <v>196</v>
      </c>
      <c r="F252" s="24" t="s">
        <v>299</v>
      </c>
      <c r="G252" s="2" t="s">
        <v>313</v>
      </c>
      <c r="H252" s="37" t="s">
        <v>381</v>
      </c>
    </row>
    <row r="253" spans="1:8" ht="18" x14ac:dyDescent="0.25">
      <c r="A253" s="4" t="s">
        <v>19</v>
      </c>
      <c r="B253" s="2">
        <v>164</v>
      </c>
      <c r="C253" s="3">
        <v>164</v>
      </c>
      <c r="D253" s="36">
        <f t="shared" si="3"/>
        <v>1512</v>
      </c>
      <c r="E253" s="2" t="s">
        <v>196</v>
      </c>
      <c r="F253" s="24" t="s">
        <v>299</v>
      </c>
      <c r="G253" s="2" t="s">
        <v>314</v>
      </c>
      <c r="H253" s="37" t="s">
        <v>382</v>
      </c>
    </row>
    <row r="254" spans="1:8" ht="18" x14ac:dyDescent="0.25">
      <c r="A254" s="4" t="s">
        <v>19</v>
      </c>
      <c r="B254" s="2">
        <v>164</v>
      </c>
      <c r="C254" s="3">
        <v>2273</v>
      </c>
      <c r="D254" s="36">
        <f t="shared" si="3"/>
        <v>1520</v>
      </c>
      <c r="E254" s="2" t="s">
        <v>197</v>
      </c>
      <c r="F254" s="24" t="s">
        <v>299</v>
      </c>
      <c r="G254" s="2" t="s">
        <v>313</v>
      </c>
      <c r="H254" s="37" t="s">
        <v>379</v>
      </c>
    </row>
    <row r="255" spans="1:8" x14ac:dyDescent="0.25">
      <c r="A255" s="4" t="s">
        <v>36</v>
      </c>
      <c r="B255" s="2">
        <v>164</v>
      </c>
      <c r="C255" s="3">
        <v>272</v>
      </c>
      <c r="D255" s="36">
        <f t="shared" si="3"/>
        <v>1530</v>
      </c>
      <c r="E255" s="29" t="s">
        <v>201</v>
      </c>
      <c r="F255" s="30" t="s">
        <v>299</v>
      </c>
      <c r="G255" s="2" t="s">
        <v>313</v>
      </c>
      <c r="H255" s="37" t="s">
        <v>379</v>
      </c>
    </row>
    <row r="256" spans="1:8" ht="18" x14ac:dyDescent="0.25">
      <c r="A256" s="4" t="s">
        <v>36</v>
      </c>
      <c r="B256" s="2">
        <v>164</v>
      </c>
      <c r="C256" s="3">
        <v>272</v>
      </c>
      <c r="D256" s="36">
        <f t="shared" si="3"/>
        <v>1531</v>
      </c>
      <c r="E256" s="29" t="s">
        <v>201</v>
      </c>
      <c r="F256" s="30" t="s">
        <v>298</v>
      </c>
      <c r="G256" s="2" t="s">
        <v>313</v>
      </c>
      <c r="H256" s="37" t="s">
        <v>381</v>
      </c>
    </row>
    <row r="257" spans="1:8" ht="18" x14ac:dyDescent="0.25">
      <c r="A257" s="4" t="s">
        <v>36</v>
      </c>
      <c r="B257" s="2">
        <v>164</v>
      </c>
      <c r="C257" s="3">
        <v>272</v>
      </c>
      <c r="D257" s="36">
        <f t="shared" si="3"/>
        <v>1532</v>
      </c>
      <c r="E257" s="29" t="s">
        <v>201</v>
      </c>
      <c r="F257" s="30" t="s">
        <v>299</v>
      </c>
      <c r="G257" s="2" t="s">
        <v>313</v>
      </c>
      <c r="H257" s="37" t="s">
        <v>381</v>
      </c>
    </row>
    <row r="258" spans="1:8" ht="18" x14ac:dyDescent="0.25">
      <c r="A258" s="4" t="s">
        <v>45</v>
      </c>
      <c r="B258" s="2">
        <v>164</v>
      </c>
      <c r="C258" s="3">
        <v>949</v>
      </c>
      <c r="D258" s="36">
        <f t="shared" si="3"/>
        <v>1540</v>
      </c>
      <c r="E258" s="29" t="s">
        <v>198</v>
      </c>
      <c r="F258" s="30" t="s">
        <v>298</v>
      </c>
      <c r="G258" s="2" t="s">
        <v>313</v>
      </c>
      <c r="H258" s="37" t="s">
        <v>381</v>
      </c>
    </row>
    <row r="259" spans="1:8" ht="18" x14ac:dyDescent="0.25">
      <c r="A259" s="4" t="s">
        <v>37</v>
      </c>
      <c r="B259" s="2">
        <v>164</v>
      </c>
      <c r="C259" s="3">
        <v>945</v>
      </c>
      <c r="D259" s="36">
        <f t="shared" si="3"/>
        <v>1550</v>
      </c>
      <c r="E259" s="29" t="s">
        <v>199</v>
      </c>
      <c r="F259" s="30" t="s">
        <v>299</v>
      </c>
      <c r="G259" s="2" t="s">
        <v>313</v>
      </c>
      <c r="H259" s="37" t="s">
        <v>379</v>
      </c>
    </row>
    <row r="260" spans="1:8" ht="18" x14ac:dyDescent="0.25">
      <c r="A260" s="4" t="s">
        <v>37</v>
      </c>
      <c r="B260" s="2">
        <v>164</v>
      </c>
      <c r="C260" s="3">
        <v>945</v>
      </c>
      <c r="D260" s="36">
        <f t="shared" ref="D260:D323" si="4">IF(C260=C259,D259+1,MROUND(D259,10)+10)</f>
        <v>1551</v>
      </c>
      <c r="E260" s="29" t="s">
        <v>199</v>
      </c>
      <c r="F260" s="30" t="s">
        <v>299</v>
      </c>
      <c r="G260" s="2" t="s">
        <v>313</v>
      </c>
      <c r="H260" s="37" t="s">
        <v>381</v>
      </c>
    </row>
    <row r="261" spans="1:8" x14ac:dyDescent="0.25">
      <c r="A261" s="4" t="s">
        <v>363</v>
      </c>
      <c r="B261" s="2">
        <v>164</v>
      </c>
      <c r="C261" s="3">
        <v>624</v>
      </c>
      <c r="D261" s="36">
        <f t="shared" si="4"/>
        <v>1560</v>
      </c>
      <c r="E261" s="32" t="s">
        <v>365</v>
      </c>
      <c r="F261" s="30" t="s">
        <v>299</v>
      </c>
      <c r="G261" s="2" t="s">
        <v>313</v>
      </c>
      <c r="H261" s="37" t="s">
        <v>379</v>
      </c>
    </row>
    <row r="262" spans="1:8" ht="18" x14ac:dyDescent="0.25">
      <c r="A262" s="4" t="s">
        <v>363</v>
      </c>
      <c r="B262" s="2">
        <v>164</v>
      </c>
      <c r="C262" s="3">
        <v>624</v>
      </c>
      <c r="D262" s="36">
        <f t="shared" si="4"/>
        <v>1561</v>
      </c>
      <c r="E262" s="32" t="s">
        <v>365</v>
      </c>
      <c r="F262" s="30" t="s">
        <v>298</v>
      </c>
      <c r="G262" s="2" t="s">
        <v>313</v>
      </c>
      <c r="H262" s="37" t="s">
        <v>381</v>
      </c>
    </row>
    <row r="263" spans="1:8" ht="18" x14ac:dyDescent="0.25">
      <c r="A263" s="4" t="s">
        <v>363</v>
      </c>
      <c r="B263" s="2">
        <v>164</v>
      </c>
      <c r="C263" s="3">
        <v>624</v>
      </c>
      <c r="D263" s="36">
        <f t="shared" si="4"/>
        <v>1562</v>
      </c>
      <c r="E263" s="32" t="s">
        <v>365</v>
      </c>
      <c r="F263" s="30" t="s">
        <v>299</v>
      </c>
      <c r="G263" s="2" t="s">
        <v>313</v>
      </c>
      <c r="H263" s="37" t="s">
        <v>381</v>
      </c>
    </row>
    <row r="264" spans="1:8" x14ac:dyDescent="0.25">
      <c r="A264" s="4" t="s">
        <v>35</v>
      </c>
      <c r="B264" s="2">
        <v>164</v>
      </c>
      <c r="C264" s="3">
        <v>836</v>
      </c>
      <c r="D264" s="36">
        <f t="shared" si="4"/>
        <v>1570</v>
      </c>
      <c r="E264" s="29" t="s">
        <v>200</v>
      </c>
      <c r="F264" s="30" t="s">
        <v>299</v>
      </c>
      <c r="G264" s="2" t="s">
        <v>313</v>
      </c>
      <c r="H264" s="37" t="s">
        <v>379</v>
      </c>
    </row>
    <row r="265" spans="1:8" ht="18" x14ac:dyDescent="0.25">
      <c r="A265" s="4" t="s">
        <v>35</v>
      </c>
      <c r="B265" s="2">
        <v>164</v>
      </c>
      <c r="C265" s="3">
        <v>836</v>
      </c>
      <c r="D265" s="36">
        <f t="shared" si="4"/>
        <v>1571</v>
      </c>
      <c r="E265" s="29" t="s">
        <v>200</v>
      </c>
      <c r="F265" s="30" t="s">
        <v>299</v>
      </c>
      <c r="G265" s="2" t="s">
        <v>313</v>
      </c>
      <c r="H265" s="37" t="s">
        <v>381</v>
      </c>
    </row>
    <row r="266" spans="1:8" ht="18" x14ac:dyDescent="0.25">
      <c r="A266" s="4" t="s">
        <v>19</v>
      </c>
      <c r="B266" s="2">
        <v>1216</v>
      </c>
      <c r="C266" s="3">
        <v>1216</v>
      </c>
      <c r="D266" s="36">
        <f t="shared" si="4"/>
        <v>1580</v>
      </c>
      <c r="E266" s="2" t="s">
        <v>202</v>
      </c>
      <c r="F266" s="24" t="s">
        <v>299</v>
      </c>
      <c r="G266" s="2" t="s">
        <v>313</v>
      </c>
      <c r="H266" s="37" t="s">
        <v>379</v>
      </c>
    </row>
    <row r="267" spans="1:8" ht="18" x14ac:dyDescent="0.25">
      <c r="A267" s="4" t="s">
        <v>19</v>
      </c>
      <c r="B267" s="2">
        <v>1216</v>
      </c>
      <c r="C267" s="3">
        <v>1216</v>
      </c>
      <c r="D267" s="36">
        <f t="shared" si="4"/>
        <v>1581</v>
      </c>
      <c r="E267" s="2" t="s">
        <v>202</v>
      </c>
      <c r="F267" s="24" t="s">
        <v>298</v>
      </c>
      <c r="G267" s="2" t="s">
        <v>313</v>
      </c>
      <c r="H267" s="37" t="s">
        <v>381</v>
      </c>
    </row>
    <row r="268" spans="1:8" ht="18" x14ac:dyDescent="0.25">
      <c r="A268" s="4" t="s">
        <v>19</v>
      </c>
      <c r="B268" s="2">
        <v>1216</v>
      </c>
      <c r="C268" s="3">
        <v>1216</v>
      </c>
      <c r="D268" s="36">
        <f t="shared" si="4"/>
        <v>1582</v>
      </c>
      <c r="E268" s="2" t="s">
        <v>202</v>
      </c>
      <c r="F268" s="24" t="s">
        <v>299</v>
      </c>
      <c r="G268" s="2" t="s">
        <v>313</v>
      </c>
      <c r="H268" s="37" t="s">
        <v>381</v>
      </c>
    </row>
    <row r="269" spans="1:8" ht="18" x14ac:dyDescent="0.25">
      <c r="A269" s="4" t="s">
        <v>19</v>
      </c>
      <c r="B269" s="2">
        <v>1216</v>
      </c>
      <c r="C269" s="3">
        <v>1216</v>
      </c>
      <c r="D269" s="36">
        <f t="shared" si="4"/>
        <v>1583</v>
      </c>
      <c r="E269" s="2" t="s">
        <v>202</v>
      </c>
      <c r="F269" s="24" t="s">
        <v>299</v>
      </c>
      <c r="G269" s="2" t="s">
        <v>314</v>
      </c>
      <c r="H269" s="37" t="s">
        <v>382</v>
      </c>
    </row>
    <row r="270" spans="1:8" ht="18" x14ac:dyDescent="0.25">
      <c r="A270" s="4" t="s">
        <v>19</v>
      </c>
      <c r="B270" s="2">
        <v>162</v>
      </c>
      <c r="C270" s="3">
        <v>162</v>
      </c>
      <c r="D270" s="36">
        <f t="shared" si="4"/>
        <v>1590</v>
      </c>
      <c r="E270" s="2" t="s">
        <v>203</v>
      </c>
      <c r="F270" s="24" t="s">
        <v>298</v>
      </c>
      <c r="G270" s="2" t="s">
        <v>313</v>
      </c>
      <c r="H270" s="37" t="s">
        <v>381</v>
      </c>
    </row>
    <row r="271" spans="1:8" ht="18" x14ac:dyDescent="0.25">
      <c r="A271" s="4" t="s">
        <v>19</v>
      </c>
      <c r="B271" s="2">
        <v>162</v>
      </c>
      <c r="C271" s="3">
        <v>162</v>
      </c>
      <c r="D271" s="36">
        <f t="shared" si="4"/>
        <v>1591</v>
      </c>
      <c r="E271" s="2" t="s">
        <v>203</v>
      </c>
      <c r="F271" s="24" t="s">
        <v>299</v>
      </c>
      <c r="G271" s="2" t="s">
        <v>313</v>
      </c>
      <c r="H271" s="37" t="s">
        <v>381</v>
      </c>
    </row>
    <row r="272" spans="1:8" ht="18" x14ac:dyDescent="0.25">
      <c r="A272" s="4" t="s">
        <v>19</v>
      </c>
      <c r="B272" s="2">
        <v>162</v>
      </c>
      <c r="C272" s="3">
        <v>162</v>
      </c>
      <c r="D272" s="36">
        <f t="shared" si="4"/>
        <v>1592</v>
      </c>
      <c r="E272" s="2" t="s">
        <v>203</v>
      </c>
      <c r="F272" s="24" t="s">
        <v>299</v>
      </c>
      <c r="G272" s="2" t="s">
        <v>314</v>
      </c>
      <c r="H272" s="37" t="s">
        <v>382</v>
      </c>
    </row>
    <row r="273" spans="1:8" ht="18" x14ac:dyDescent="0.25">
      <c r="A273" s="4" t="s">
        <v>19</v>
      </c>
      <c r="B273" s="2">
        <v>162</v>
      </c>
      <c r="C273" s="3">
        <v>2251</v>
      </c>
      <c r="D273" s="36">
        <f t="shared" si="4"/>
        <v>1600</v>
      </c>
      <c r="E273" s="2" t="s">
        <v>204</v>
      </c>
      <c r="F273" s="24" t="s">
        <v>299</v>
      </c>
      <c r="G273" s="2" t="s">
        <v>313</v>
      </c>
      <c r="H273" s="37" t="s">
        <v>379</v>
      </c>
    </row>
    <row r="274" spans="1:8" x14ac:dyDescent="0.25">
      <c r="A274" s="4" t="s">
        <v>36</v>
      </c>
      <c r="B274" s="2">
        <v>162</v>
      </c>
      <c r="C274" s="3">
        <v>275</v>
      </c>
      <c r="D274" s="36">
        <f t="shared" si="4"/>
        <v>1610</v>
      </c>
      <c r="E274" s="29" t="s">
        <v>205</v>
      </c>
      <c r="F274" s="30" t="s">
        <v>299</v>
      </c>
      <c r="G274" s="2" t="s">
        <v>313</v>
      </c>
      <c r="H274" s="37" t="s">
        <v>379</v>
      </c>
    </row>
    <row r="275" spans="1:8" ht="18" x14ac:dyDescent="0.25">
      <c r="A275" s="4" t="s">
        <v>36</v>
      </c>
      <c r="B275" s="2">
        <v>162</v>
      </c>
      <c r="C275" s="3">
        <v>275</v>
      </c>
      <c r="D275" s="36">
        <f t="shared" si="4"/>
        <v>1611</v>
      </c>
      <c r="E275" s="29" t="s">
        <v>205</v>
      </c>
      <c r="F275" s="30" t="s">
        <v>299</v>
      </c>
      <c r="G275" s="2" t="s">
        <v>313</v>
      </c>
      <c r="H275" s="37" t="s">
        <v>381</v>
      </c>
    </row>
    <row r="276" spans="1:8" ht="18" x14ac:dyDescent="0.25">
      <c r="A276" s="4" t="s">
        <v>44</v>
      </c>
      <c r="B276" s="2">
        <v>59</v>
      </c>
      <c r="C276" s="3">
        <v>59</v>
      </c>
      <c r="D276" s="36">
        <f t="shared" si="4"/>
        <v>1620</v>
      </c>
      <c r="E276" s="2" t="s">
        <v>206</v>
      </c>
      <c r="F276" s="24" t="s">
        <v>299</v>
      </c>
      <c r="G276" s="2" t="s">
        <v>313</v>
      </c>
      <c r="H276" s="37" t="s">
        <v>379</v>
      </c>
    </row>
    <row r="277" spans="1:8" ht="18" x14ac:dyDescent="0.25">
      <c r="A277" s="4" t="s">
        <v>44</v>
      </c>
      <c r="B277" s="2">
        <v>59</v>
      </c>
      <c r="C277" s="3">
        <v>59</v>
      </c>
      <c r="D277" s="36">
        <f t="shared" si="4"/>
        <v>1621</v>
      </c>
      <c r="E277" s="2" t="s">
        <v>206</v>
      </c>
      <c r="F277" s="24" t="s">
        <v>298</v>
      </c>
      <c r="G277" s="2" t="s">
        <v>313</v>
      </c>
      <c r="H277" s="37" t="s">
        <v>381</v>
      </c>
    </row>
    <row r="278" spans="1:8" ht="18" x14ac:dyDescent="0.25">
      <c r="A278" s="4" t="s">
        <v>44</v>
      </c>
      <c r="B278" s="2">
        <v>59</v>
      </c>
      <c r="C278" s="3">
        <v>59</v>
      </c>
      <c r="D278" s="36">
        <f t="shared" si="4"/>
        <v>1622</v>
      </c>
      <c r="E278" s="2" t="s">
        <v>206</v>
      </c>
      <c r="F278" s="24" t="s">
        <v>299</v>
      </c>
      <c r="G278" s="2" t="s">
        <v>313</v>
      </c>
      <c r="H278" s="37" t="s">
        <v>381</v>
      </c>
    </row>
    <row r="279" spans="1:8" ht="18" x14ac:dyDescent="0.25">
      <c r="A279" s="4" t="s">
        <v>44</v>
      </c>
      <c r="B279" s="2">
        <v>59</v>
      </c>
      <c r="C279" s="3">
        <v>59</v>
      </c>
      <c r="D279" s="36">
        <f t="shared" si="4"/>
        <v>1623</v>
      </c>
      <c r="E279" s="2" t="s">
        <v>206</v>
      </c>
      <c r="F279" s="24" t="s">
        <v>299</v>
      </c>
      <c r="G279" s="2" t="s">
        <v>314</v>
      </c>
      <c r="H279" s="37" t="s">
        <v>382</v>
      </c>
    </row>
    <row r="280" spans="1:8" ht="18" x14ac:dyDescent="0.25">
      <c r="A280" s="4" t="s">
        <v>19</v>
      </c>
      <c r="B280" s="2">
        <v>172</v>
      </c>
      <c r="C280" s="3">
        <v>172</v>
      </c>
      <c r="D280" s="36">
        <f t="shared" si="4"/>
        <v>1630</v>
      </c>
      <c r="E280" s="2" t="s">
        <v>207</v>
      </c>
      <c r="F280" s="24" t="s">
        <v>298</v>
      </c>
      <c r="G280" s="2" t="s">
        <v>313</v>
      </c>
      <c r="H280" s="37" t="s">
        <v>381</v>
      </c>
    </row>
    <row r="281" spans="1:8" ht="18" x14ac:dyDescent="0.25">
      <c r="A281" s="4" t="s">
        <v>19</v>
      </c>
      <c r="B281" s="2">
        <v>172</v>
      </c>
      <c r="C281" s="3">
        <v>172</v>
      </c>
      <c r="D281" s="36">
        <f t="shared" si="4"/>
        <v>1631</v>
      </c>
      <c r="E281" s="2" t="s">
        <v>207</v>
      </c>
      <c r="F281" s="24" t="s">
        <v>299</v>
      </c>
      <c r="G281" s="2" t="s">
        <v>313</v>
      </c>
      <c r="H281" s="37" t="s">
        <v>381</v>
      </c>
    </row>
    <row r="282" spans="1:8" ht="18" x14ac:dyDescent="0.25">
      <c r="A282" s="4" t="s">
        <v>19</v>
      </c>
      <c r="B282" s="2">
        <v>172</v>
      </c>
      <c r="C282" s="3">
        <v>172</v>
      </c>
      <c r="D282" s="36">
        <f t="shared" si="4"/>
        <v>1632</v>
      </c>
      <c r="E282" s="2" t="s">
        <v>207</v>
      </c>
      <c r="F282" s="24" t="s">
        <v>299</v>
      </c>
      <c r="G282" s="2" t="s">
        <v>314</v>
      </c>
      <c r="H282" s="37" t="s">
        <v>382</v>
      </c>
    </row>
    <row r="283" spans="1:8" ht="18" x14ac:dyDescent="0.25">
      <c r="A283" s="4" t="s">
        <v>19</v>
      </c>
      <c r="B283" s="2">
        <v>172</v>
      </c>
      <c r="C283" s="3">
        <v>2232</v>
      </c>
      <c r="D283" s="36">
        <f t="shared" si="4"/>
        <v>1640</v>
      </c>
      <c r="E283" s="2" t="s">
        <v>208</v>
      </c>
      <c r="F283" s="24" t="s">
        <v>299</v>
      </c>
      <c r="G283" s="2" t="s">
        <v>313</v>
      </c>
      <c r="H283" s="37" t="s">
        <v>379</v>
      </c>
    </row>
    <row r="284" spans="1:8" ht="18" x14ac:dyDescent="0.25">
      <c r="A284" s="4" t="s">
        <v>44</v>
      </c>
      <c r="B284" s="2">
        <v>343</v>
      </c>
      <c r="C284" s="3">
        <v>343</v>
      </c>
      <c r="D284" s="36">
        <f t="shared" si="4"/>
        <v>1650</v>
      </c>
      <c r="E284" s="2" t="s">
        <v>209</v>
      </c>
      <c r="F284" s="24" t="s">
        <v>299</v>
      </c>
      <c r="G284" s="2" t="s">
        <v>313</v>
      </c>
      <c r="H284" s="37" t="s">
        <v>379</v>
      </c>
    </row>
    <row r="285" spans="1:8" ht="18" x14ac:dyDescent="0.25">
      <c r="A285" s="4" t="s">
        <v>44</v>
      </c>
      <c r="B285" s="2">
        <v>343</v>
      </c>
      <c r="C285" s="3">
        <v>343</v>
      </c>
      <c r="D285" s="36">
        <f t="shared" si="4"/>
        <v>1651</v>
      </c>
      <c r="E285" s="2" t="s">
        <v>209</v>
      </c>
      <c r="F285" s="24" t="s">
        <v>298</v>
      </c>
      <c r="G285" s="2" t="s">
        <v>313</v>
      </c>
      <c r="H285" s="37" t="s">
        <v>381</v>
      </c>
    </row>
    <row r="286" spans="1:8" ht="18" x14ac:dyDescent="0.25">
      <c r="A286" s="4" t="s">
        <v>44</v>
      </c>
      <c r="B286" s="2">
        <v>343</v>
      </c>
      <c r="C286" s="3">
        <v>343</v>
      </c>
      <c r="D286" s="36">
        <f t="shared" si="4"/>
        <v>1652</v>
      </c>
      <c r="E286" s="2" t="s">
        <v>209</v>
      </c>
      <c r="F286" s="24" t="s">
        <v>299</v>
      </c>
      <c r="G286" s="2" t="s">
        <v>313</v>
      </c>
      <c r="H286" s="37" t="s">
        <v>381</v>
      </c>
    </row>
    <row r="287" spans="1:8" ht="18" x14ac:dyDescent="0.25">
      <c r="A287" s="4" t="s">
        <v>44</v>
      </c>
      <c r="B287" s="2">
        <v>343</v>
      </c>
      <c r="C287" s="3">
        <v>343</v>
      </c>
      <c r="D287" s="36">
        <f t="shared" si="4"/>
        <v>1653</v>
      </c>
      <c r="E287" s="2" t="s">
        <v>209</v>
      </c>
      <c r="F287" s="24" t="s">
        <v>299</v>
      </c>
      <c r="G287" s="2" t="s">
        <v>314</v>
      </c>
      <c r="H287" s="37" t="s">
        <v>382</v>
      </c>
    </row>
    <row r="288" spans="1:8" ht="18" x14ac:dyDescent="0.25">
      <c r="A288" s="4" t="s">
        <v>30</v>
      </c>
      <c r="B288" s="2">
        <v>137</v>
      </c>
      <c r="C288" s="3">
        <v>137</v>
      </c>
      <c r="D288" s="36">
        <f t="shared" si="4"/>
        <v>1660</v>
      </c>
      <c r="E288" s="2" t="s">
        <v>210</v>
      </c>
      <c r="F288" s="24" t="s">
        <v>308</v>
      </c>
      <c r="G288" s="2" t="s">
        <v>313</v>
      </c>
      <c r="H288" s="37" t="s">
        <v>379</v>
      </c>
    </row>
    <row r="289" spans="1:8" ht="18" x14ac:dyDescent="0.25">
      <c r="A289" s="4" t="s">
        <v>30</v>
      </c>
      <c r="B289" s="2">
        <v>137</v>
      </c>
      <c r="C289" s="3">
        <v>137</v>
      </c>
      <c r="D289" s="36">
        <f t="shared" si="4"/>
        <v>1661</v>
      </c>
      <c r="E289" s="2" t="s">
        <v>210</v>
      </c>
      <c r="F289" s="24" t="s">
        <v>298</v>
      </c>
      <c r="G289" s="2" t="s">
        <v>313</v>
      </c>
      <c r="H289" s="37" t="s">
        <v>381</v>
      </c>
    </row>
    <row r="290" spans="1:8" ht="18" x14ac:dyDescent="0.25">
      <c r="A290" s="4" t="s">
        <v>30</v>
      </c>
      <c r="B290" s="2">
        <v>137</v>
      </c>
      <c r="C290" s="3">
        <v>137</v>
      </c>
      <c r="D290" s="36">
        <f t="shared" si="4"/>
        <v>1662</v>
      </c>
      <c r="E290" s="2" t="s">
        <v>210</v>
      </c>
      <c r="F290" s="24" t="s">
        <v>308</v>
      </c>
      <c r="G290" s="2" t="s">
        <v>313</v>
      </c>
      <c r="H290" s="37" t="s">
        <v>381</v>
      </c>
    </row>
    <row r="291" spans="1:8" ht="18" x14ac:dyDescent="0.25">
      <c r="A291" s="4" t="s">
        <v>30</v>
      </c>
      <c r="B291" s="2">
        <v>137</v>
      </c>
      <c r="C291" s="3">
        <v>137</v>
      </c>
      <c r="D291" s="36">
        <f t="shared" si="4"/>
        <v>1663</v>
      </c>
      <c r="E291" s="2" t="s">
        <v>210</v>
      </c>
      <c r="F291" s="24" t="s">
        <v>308</v>
      </c>
      <c r="G291" s="2" t="s">
        <v>314</v>
      </c>
      <c r="H291" s="37" t="s">
        <v>382</v>
      </c>
    </row>
    <row r="292" spans="1:8" ht="18" x14ac:dyDescent="0.25">
      <c r="A292" s="4" t="s">
        <v>30</v>
      </c>
      <c r="B292" s="2">
        <v>120</v>
      </c>
      <c r="C292" s="3">
        <v>120</v>
      </c>
      <c r="D292" s="36">
        <f t="shared" si="4"/>
        <v>1670</v>
      </c>
      <c r="E292" s="2" t="s">
        <v>212</v>
      </c>
      <c r="F292" s="24" t="s">
        <v>298</v>
      </c>
      <c r="G292" s="2" t="s">
        <v>313</v>
      </c>
      <c r="H292" s="37" t="s">
        <v>381</v>
      </c>
    </row>
    <row r="293" spans="1:8" ht="18" x14ac:dyDescent="0.25">
      <c r="A293" s="4" t="s">
        <v>30</v>
      </c>
      <c r="B293" s="2">
        <v>120</v>
      </c>
      <c r="C293" s="3">
        <v>120</v>
      </c>
      <c r="D293" s="36">
        <f t="shared" si="4"/>
        <v>1671</v>
      </c>
      <c r="E293" s="2" t="s">
        <v>212</v>
      </c>
      <c r="F293" s="24" t="s">
        <v>308</v>
      </c>
      <c r="G293" s="2" t="s">
        <v>313</v>
      </c>
      <c r="H293" s="37" t="s">
        <v>381</v>
      </c>
    </row>
    <row r="294" spans="1:8" ht="18" x14ac:dyDescent="0.25">
      <c r="A294" s="4" t="s">
        <v>30</v>
      </c>
      <c r="B294" s="2">
        <v>120</v>
      </c>
      <c r="C294" s="3">
        <v>120</v>
      </c>
      <c r="D294" s="36">
        <f t="shared" si="4"/>
        <v>1672</v>
      </c>
      <c r="E294" s="2" t="s">
        <v>212</v>
      </c>
      <c r="F294" s="24" t="s">
        <v>308</v>
      </c>
      <c r="G294" s="2" t="s">
        <v>314</v>
      </c>
      <c r="H294" s="37" t="s">
        <v>382</v>
      </c>
    </row>
    <row r="295" spans="1:8" ht="18" x14ac:dyDescent="0.25">
      <c r="A295" s="4" t="s">
        <v>9</v>
      </c>
      <c r="B295" s="2">
        <v>120</v>
      </c>
      <c r="C295" s="3">
        <v>2315</v>
      </c>
      <c r="D295" s="36">
        <f t="shared" si="4"/>
        <v>1680</v>
      </c>
      <c r="E295" s="2" t="s">
        <v>213</v>
      </c>
      <c r="F295" s="24" t="s">
        <v>299</v>
      </c>
      <c r="G295" s="2" t="s">
        <v>313</v>
      </c>
      <c r="H295" s="37" t="s">
        <v>379</v>
      </c>
    </row>
    <row r="296" spans="1:8" ht="18" x14ac:dyDescent="0.25">
      <c r="A296" s="4" t="s">
        <v>30</v>
      </c>
      <c r="B296" s="2">
        <v>589</v>
      </c>
      <c r="C296" s="3">
        <v>589</v>
      </c>
      <c r="D296" s="36">
        <f t="shared" si="4"/>
        <v>1690</v>
      </c>
      <c r="E296" s="2" t="s">
        <v>211</v>
      </c>
      <c r="F296" s="24" t="s">
        <v>299</v>
      </c>
      <c r="G296" s="2" t="s">
        <v>313</v>
      </c>
      <c r="H296" s="37" t="s">
        <v>379</v>
      </c>
    </row>
    <row r="297" spans="1:8" ht="18" x14ac:dyDescent="0.25">
      <c r="A297" s="4" t="s">
        <v>30</v>
      </c>
      <c r="B297" s="2">
        <v>589</v>
      </c>
      <c r="C297" s="3">
        <v>589</v>
      </c>
      <c r="D297" s="36">
        <f t="shared" si="4"/>
        <v>1691</v>
      </c>
      <c r="E297" s="2" t="s">
        <v>211</v>
      </c>
      <c r="F297" s="24" t="s">
        <v>299</v>
      </c>
      <c r="G297" s="2" t="s">
        <v>313</v>
      </c>
      <c r="H297" s="37" t="s">
        <v>381</v>
      </c>
    </row>
    <row r="298" spans="1:8" ht="18" x14ac:dyDescent="0.25">
      <c r="A298" s="4" t="s">
        <v>30</v>
      </c>
      <c r="B298" s="2">
        <v>589</v>
      </c>
      <c r="C298" s="3">
        <v>589</v>
      </c>
      <c r="D298" s="36">
        <f t="shared" si="4"/>
        <v>1692</v>
      </c>
      <c r="E298" s="2" t="s">
        <v>211</v>
      </c>
      <c r="F298" s="24" t="s">
        <v>299</v>
      </c>
      <c r="G298" s="2" t="s">
        <v>314</v>
      </c>
      <c r="H298" s="37" t="s">
        <v>382</v>
      </c>
    </row>
    <row r="299" spans="1:8" ht="18" x14ac:dyDescent="0.25">
      <c r="A299" s="4" t="s">
        <v>46</v>
      </c>
      <c r="B299" s="2">
        <v>224</v>
      </c>
      <c r="C299" s="3">
        <v>224</v>
      </c>
      <c r="D299" s="36">
        <f t="shared" si="4"/>
        <v>1700</v>
      </c>
      <c r="E299" s="2" t="s">
        <v>214</v>
      </c>
      <c r="F299" s="24" t="s">
        <v>306</v>
      </c>
      <c r="G299" s="2" t="s">
        <v>313</v>
      </c>
      <c r="H299" s="37" t="s">
        <v>379</v>
      </c>
    </row>
    <row r="300" spans="1:8" ht="18" x14ac:dyDescent="0.25">
      <c r="A300" s="4" t="s">
        <v>46</v>
      </c>
      <c r="B300" s="2">
        <v>224</v>
      </c>
      <c r="C300" s="3">
        <v>224</v>
      </c>
      <c r="D300" s="36">
        <f t="shared" si="4"/>
        <v>1701</v>
      </c>
      <c r="E300" s="2" t="s">
        <v>214</v>
      </c>
      <c r="F300" s="24" t="s">
        <v>307</v>
      </c>
      <c r="G300" s="2" t="s">
        <v>313</v>
      </c>
      <c r="H300" s="37" t="s">
        <v>381</v>
      </c>
    </row>
    <row r="301" spans="1:8" ht="18" x14ac:dyDescent="0.25">
      <c r="A301" s="4" t="s">
        <v>46</v>
      </c>
      <c r="B301" s="2">
        <v>224</v>
      </c>
      <c r="C301" s="3">
        <v>224</v>
      </c>
      <c r="D301" s="36">
        <f t="shared" si="4"/>
        <v>1702</v>
      </c>
      <c r="E301" s="2" t="s">
        <v>214</v>
      </c>
      <c r="F301" s="24" t="s">
        <v>305</v>
      </c>
      <c r="G301" s="2" t="s">
        <v>313</v>
      </c>
      <c r="H301" s="37" t="s">
        <v>381</v>
      </c>
    </row>
    <row r="302" spans="1:8" ht="18" x14ac:dyDescent="0.25">
      <c r="A302" s="4" t="s">
        <v>46</v>
      </c>
      <c r="B302" s="2">
        <v>224</v>
      </c>
      <c r="C302" s="3">
        <v>224</v>
      </c>
      <c r="D302" s="36">
        <f t="shared" si="4"/>
        <v>1703</v>
      </c>
      <c r="E302" s="2" t="s">
        <v>214</v>
      </c>
      <c r="F302" s="24" t="s">
        <v>306</v>
      </c>
      <c r="G302" s="2" t="s">
        <v>313</v>
      </c>
      <c r="H302" s="37" t="s">
        <v>381</v>
      </c>
    </row>
    <row r="303" spans="1:8" ht="18" x14ac:dyDescent="0.25">
      <c r="A303" s="4" t="s">
        <v>47</v>
      </c>
      <c r="B303" s="2">
        <v>224</v>
      </c>
      <c r="C303" s="3">
        <v>220</v>
      </c>
      <c r="D303" s="36">
        <f t="shared" si="4"/>
        <v>1710</v>
      </c>
      <c r="E303" s="29" t="s">
        <v>215</v>
      </c>
      <c r="F303" s="30" t="s">
        <v>307</v>
      </c>
      <c r="G303" s="2" t="s">
        <v>313</v>
      </c>
      <c r="H303" s="37" t="s">
        <v>381</v>
      </c>
    </row>
    <row r="304" spans="1:8" ht="18" x14ac:dyDescent="0.25">
      <c r="A304" s="4" t="s">
        <v>46</v>
      </c>
      <c r="B304" s="2">
        <v>585</v>
      </c>
      <c r="C304" s="3">
        <v>585</v>
      </c>
      <c r="D304" s="36">
        <f t="shared" si="4"/>
        <v>1720</v>
      </c>
      <c r="E304" s="2" t="s">
        <v>216</v>
      </c>
      <c r="F304" s="24" t="s">
        <v>307</v>
      </c>
      <c r="G304" s="2" t="s">
        <v>313</v>
      </c>
      <c r="H304" s="37" t="s">
        <v>381</v>
      </c>
    </row>
    <row r="305" spans="1:8" ht="18" x14ac:dyDescent="0.25">
      <c r="A305" s="4" t="s">
        <v>46</v>
      </c>
      <c r="B305" s="2">
        <v>585</v>
      </c>
      <c r="C305" s="3">
        <v>585</v>
      </c>
      <c r="D305" s="36">
        <f t="shared" si="4"/>
        <v>1721</v>
      </c>
      <c r="E305" s="2" t="s">
        <v>216</v>
      </c>
      <c r="F305" s="24" t="s">
        <v>305</v>
      </c>
      <c r="G305" s="2" t="s">
        <v>313</v>
      </c>
      <c r="H305" s="37" t="s">
        <v>381</v>
      </c>
    </row>
    <row r="306" spans="1:8" ht="27" x14ac:dyDescent="0.25">
      <c r="A306" s="4" t="s">
        <v>48</v>
      </c>
      <c r="B306" s="2">
        <v>687</v>
      </c>
      <c r="C306" s="3">
        <v>687</v>
      </c>
      <c r="D306" s="36">
        <f t="shared" si="4"/>
        <v>1730</v>
      </c>
      <c r="E306" s="2" t="s">
        <v>217</v>
      </c>
      <c r="F306" s="24" t="s">
        <v>305</v>
      </c>
      <c r="G306" s="2" t="s">
        <v>313</v>
      </c>
      <c r="H306" s="37" t="s">
        <v>381</v>
      </c>
    </row>
    <row r="307" spans="1:8" ht="18" x14ac:dyDescent="0.25">
      <c r="A307" s="4" t="s">
        <v>7</v>
      </c>
      <c r="B307" s="2">
        <v>52</v>
      </c>
      <c r="C307" s="3">
        <v>52</v>
      </c>
      <c r="D307" s="36">
        <f t="shared" si="4"/>
        <v>1740</v>
      </c>
      <c r="E307" s="2" t="s">
        <v>218</v>
      </c>
      <c r="F307" s="24" t="s">
        <v>307</v>
      </c>
      <c r="G307" s="2" t="s">
        <v>313</v>
      </c>
      <c r="H307" s="37" t="s">
        <v>381</v>
      </c>
    </row>
    <row r="308" spans="1:8" ht="27" x14ac:dyDescent="0.25">
      <c r="A308" s="4" t="s">
        <v>48</v>
      </c>
      <c r="B308" s="2">
        <v>436</v>
      </c>
      <c r="C308" s="3">
        <v>436</v>
      </c>
      <c r="D308" s="36">
        <f t="shared" si="4"/>
        <v>1750</v>
      </c>
      <c r="E308" s="2" t="s">
        <v>219</v>
      </c>
      <c r="F308" s="24" t="s">
        <v>305</v>
      </c>
      <c r="G308" s="2" t="s">
        <v>313</v>
      </c>
      <c r="H308" s="37" t="s">
        <v>381</v>
      </c>
    </row>
    <row r="309" spans="1:8" ht="27" x14ac:dyDescent="0.25">
      <c r="A309" s="4" t="s">
        <v>18</v>
      </c>
      <c r="B309" s="2">
        <v>622</v>
      </c>
      <c r="C309" s="3">
        <v>622</v>
      </c>
      <c r="D309" s="36">
        <f t="shared" si="4"/>
        <v>1760</v>
      </c>
      <c r="E309" s="2" t="s">
        <v>220</v>
      </c>
      <c r="F309" s="24" t="s">
        <v>305</v>
      </c>
      <c r="G309" s="2" t="s">
        <v>313</v>
      </c>
      <c r="H309" s="37" t="s">
        <v>381</v>
      </c>
    </row>
    <row r="310" spans="1:8" ht="18" x14ac:dyDescent="0.25">
      <c r="A310" s="4" t="s">
        <v>49</v>
      </c>
      <c r="B310" s="2">
        <v>325</v>
      </c>
      <c r="C310" s="3">
        <v>325</v>
      </c>
      <c r="D310" s="36">
        <f t="shared" si="4"/>
        <v>1770</v>
      </c>
      <c r="E310" s="2" t="s">
        <v>221</v>
      </c>
      <c r="F310" s="24" t="s">
        <v>307</v>
      </c>
      <c r="G310" s="2" t="s">
        <v>313</v>
      </c>
      <c r="H310" s="37" t="s">
        <v>381</v>
      </c>
    </row>
    <row r="311" spans="1:8" ht="18" x14ac:dyDescent="0.25">
      <c r="A311" s="4" t="s">
        <v>50</v>
      </c>
      <c r="B311" s="2">
        <v>1233</v>
      </c>
      <c r="C311" s="3">
        <v>1233</v>
      </c>
      <c r="D311" s="36">
        <f t="shared" si="4"/>
        <v>1780</v>
      </c>
      <c r="E311" s="2" t="s">
        <v>258</v>
      </c>
      <c r="F311" s="24" t="s">
        <v>306</v>
      </c>
      <c r="G311" s="2" t="s">
        <v>313</v>
      </c>
      <c r="H311" s="37" t="s">
        <v>379</v>
      </c>
    </row>
    <row r="312" spans="1:8" ht="18" x14ac:dyDescent="0.25">
      <c r="A312" s="4" t="s">
        <v>50</v>
      </c>
      <c r="B312" s="2">
        <v>1233</v>
      </c>
      <c r="C312" s="3">
        <v>1233</v>
      </c>
      <c r="D312" s="36">
        <f t="shared" si="4"/>
        <v>1781</v>
      </c>
      <c r="E312" s="2" t="s">
        <v>258</v>
      </c>
      <c r="F312" s="24" t="s">
        <v>306</v>
      </c>
      <c r="G312" s="2" t="s">
        <v>313</v>
      </c>
      <c r="H312" s="37" t="s">
        <v>381</v>
      </c>
    </row>
    <row r="313" spans="1:8" ht="18" x14ac:dyDescent="0.25">
      <c r="A313" s="4" t="s">
        <v>50</v>
      </c>
      <c r="B313" s="2">
        <v>797</v>
      </c>
      <c r="C313" s="3">
        <v>797</v>
      </c>
      <c r="D313" s="36">
        <f t="shared" si="4"/>
        <v>1790</v>
      </c>
      <c r="E313" s="2" t="s">
        <v>222</v>
      </c>
      <c r="F313" s="24" t="s">
        <v>307</v>
      </c>
      <c r="G313" s="2" t="s">
        <v>313</v>
      </c>
      <c r="H313" s="37" t="s">
        <v>381</v>
      </c>
    </row>
    <row r="314" spans="1:8" ht="18" x14ac:dyDescent="0.25">
      <c r="A314" s="4" t="s">
        <v>50</v>
      </c>
      <c r="B314" s="2">
        <v>797</v>
      </c>
      <c r="C314" s="3">
        <v>797</v>
      </c>
      <c r="D314" s="36">
        <f t="shared" si="4"/>
        <v>1791</v>
      </c>
      <c r="E314" s="2" t="s">
        <v>222</v>
      </c>
      <c r="F314" s="24" t="s">
        <v>305</v>
      </c>
      <c r="G314" s="2" t="s">
        <v>313</v>
      </c>
      <c r="H314" s="37" t="s">
        <v>381</v>
      </c>
    </row>
    <row r="315" spans="1:8" ht="18" x14ac:dyDescent="0.25">
      <c r="A315" s="4" t="s">
        <v>50</v>
      </c>
      <c r="B315" s="2">
        <v>797</v>
      </c>
      <c r="C315" s="3">
        <v>797</v>
      </c>
      <c r="D315" s="36">
        <f t="shared" si="4"/>
        <v>1792</v>
      </c>
      <c r="E315" s="2" t="s">
        <v>222</v>
      </c>
      <c r="F315" s="24" t="s">
        <v>302</v>
      </c>
      <c r="G315" s="2" t="s">
        <v>313</v>
      </c>
      <c r="H315" s="37" t="s">
        <v>381</v>
      </c>
    </row>
    <row r="316" spans="1:8" ht="18" x14ac:dyDescent="0.25">
      <c r="A316" s="4" t="s">
        <v>30</v>
      </c>
      <c r="B316" s="2">
        <v>107</v>
      </c>
      <c r="C316" s="3">
        <v>107</v>
      </c>
      <c r="D316" s="36">
        <f t="shared" si="4"/>
        <v>1800</v>
      </c>
      <c r="E316" s="2" t="s">
        <v>223</v>
      </c>
      <c r="F316" s="24" t="s">
        <v>298</v>
      </c>
      <c r="G316" s="2" t="s">
        <v>313</v>
      </c>
      <c r="H316" s="37" t="s">
        <v>381</v>
      </c>
    </row>
    <row r="317" spans="1:8" ht="18" x14ac:dyDescent="0.25">
      <c r="A317" s="4" t="s">
        <v>30</v>
      </c>
      <c r="B317" s="2">
        <v>107</v>
      </c>
      <c r="C317" s="3">
        <v>107</v>
      </c>
      <c r="D317" s="36">
        <f t="shared" si="4"/>
        <v>1801</v>
      </c>
      <c r="E317" s="2" t="s">
        <v>223</v>
      </c>
      <c r="F317" s="24" t="s">
        <v>299</v>
      </c>
      <c r="G317" s="2" t="s">
        <v>313</v>
      </c>
      <c r="H317" s="37" t="s">
        <v>381</v>
      </c>
    </row>
    <row r="318" spans="1:8" ht="18" x14ac:dyDescent="0.25">
      <c r="A318" s="4" t="s">
        <v>30</v>
      </c>
      <c r="B318" s="2">
        <v>107</v>
      </c>
      <c r="C318" s="3">
        <v>107</v>
      </c>
      <c r="D318" s="36">
        <f t="shared" si="4"/>
        <v>1802</v>
      </c>
      <c r="E318" s="2" t="s">
        <v>223</v>
      </c>
      <c r="F318" s="24" t="s">
        <v>299</v>
      </c>
      <c r="G318" s="2" t="s">
        <v>314</v>
      </c>
      <c r="H318" s="37" t="s">
        <v>382</v>
      </c>
    </row>
    <row r="319" spans="1:8" x14ac:dyDescent="0.25">
      <c r="A319" s="4" t="s">
        <v>23</v>
      </c>
      <c r="B319" s="2">
        <v>754</v>
      </c>
      <c r="C319" s="3">
        <v>754</v>
      </c>
      <c r="D319" s="36">
        <f t="shared" si="4"/>
        <v>1810</v>
      </c>
      <c r="E319" s="2" t="s">
        <v>224</v>
      </c>
      <c r="F319" s="24" t="s">
        <v>308</v>
      </c>
      <c r="G319" s="2" t="s">
        <v>313</v>
      </c>
      <c r="H319" s="37" t="s">
        <v>379</v>
      </c>
    </row>
    <row r="320" spans="1:8" ht="18" x14ac:dyDescent="0.25">
      <c r="A320" s="4" t="s">
        <v>23</v>
      </c>
      <c r="B320" s="2">
        <v>754</v>
      </c>
      <c r="C320" s="3">
        <v>754</v>
      </c>
      <c r="D320" s="36">
        <f t="shared" si="4"/>
        <v>1811</v>
      </c>
      <c r="E320" s="2" t="s">
        <v>224</v>
      </c>
      <c r="F320" s="24" t="s">
        <v>298</v>
      </c>
      <c r="G320" s="2" t="s">
        <v>313</v>
      </c>
      <c r="H320" s="37" t="s">
        <v>381</v>
      </c>
    </row>
    <row r="321" spans="1:8" ht="18" x14ac:dyDescent="0.25">
      <c r="A321" s="4" t="s">
        <v>23</v>
      </c>
      <c r="B321" s="2">
        <v>754</v>
      </c>
      <c r="C321" s="3">
        <v>754</v>
      </c>
      <c r="D321" s="36">
        <f t="shared" si="4"/>
        <v>1812</v>
      </c>
      <c r="E321" s="2" t="s">
        <v>224</v>
      </c>
      <c r="F321" s="24" t="s">
        <v>308</v>
      </c>
      <c r="G321" s="2" t="s">
        <v>313</v>
      </c>
      <c r="H321" s="37" t="s">
        <v>381</v>
      </c>
    </row>
    <row r="322" spans="1:8" ht="18" x14ac:dyDescent="0.25">
      <c r="A322" s="4" t="s">
        <v>23</v>
      </c>
      <c r="B322" s="2">
        <v>754</v>
      </c>
      <c r="C322" s="3">
        <v>754</v>
      </c>
      <c r="D322" s="36">
        <f t="shared" si="4"/>
        <v>1813</v>
      </c>
      <c r="E322" s="2" t="s">
        <v>224</v>
      </c>
      <c r="F322" s="24" t="s">
        <v>308</v>
      </c>
      <c r="G322" s="2" t="s">
        <v>314</v>
      </c>
      <c r="H322" s="37" t="s">
        <v>382</v>
      </c>
    </row>
    <row r="323" spans="1:8" ht="18" x14ac:dyDescent="0.25">
      <c r="A323" s="4" t="s">
        <v>9</v>
      </c>
      <c r="B323" s="2">
        <v>107</v>
      </c>
      <c r="C323" s="3">
        <v>2312</v>
      </c>
      <c r="D323" s="36">
        <f t="shared" si="4"/>
        <v>1820</v>
      </c>
      <c r="E323" s="2" t="s">
        <v>225</v>
      </c>
      <c r="F323" s="24" t="s">
        <v>299</v>
      </c>
      <c r="G323" s="2" t="s">
        <v>313</v>
      </c>
      <c r="H323" s="37" t="s">
        <v>379</v>
      </c>
    </row>
    <row r="324" spans="1:8" ht="18" x14ac:dyDescent="0.25">
      <c r="A324" s="4" t="s">
        <v>40</v>
      </c>
      <c r="B324" s="2">
        <v>370</v>
      </c>
      <c r="C324" s="3">
        <v>2039</v>
      </c>
      <c r="D324" s="36">
        <f t="shared" ref="D324:D387" si="5">IF(C324=C323,D323+1,MROUND(D323,10)+10)</f>
        <v>1830</v>
      </c>
      <c r="E324" s="2" t="s">
        <v>227</v>
      </c>
      <c r="F324" s="24" t="s">
        <v>300</v>
      </c>
      <c r="G324" s="2" t="s">
        <v>313</v>
      </c>
      <c r="H324" s="37" t="s">
        <v>379</v>
      </c>
    </row>
    <row r="325" spans="1:8" ht="18" x14ac:dyDescent="0.25">
      <c r="A325" s="4" t="s">
        <v>50</v>
      </c>
      <c r="B325" s="2">
        <v>268</v>
      </c>
      <c r="C325" s="3">
        <v>2291</v>
      </c>
      <c r="D325" s="36">
        <f t="shared" si="5"/>
        <v>1840</v>
      </c>
      <c r="E325" s="2" t="s">
        <v>259</v>
      </c>
      <c r="F325" s="24" t="s">
        <v>297</v>
      </c>
      <c r="G325" s="2" t="s">
        <v>313</v>
      </c>
      <c r="H325" s="37" t="s">
        <v>379</v>
      </c>
    </row>
    <row r="326" spans="1:8" ht="18" x14ac:dyDescent="0.25">
      <c r="A326" s="4" t="s">
        <v>50</v>
      </c>
      <c r="B326" s="2">
        <v>268</v>
      </c>
      <c r="C326" s="3">
        <v>268</v>
      </c>
      <c r="D326" s="36">
        <f t="shared" si="5"/>
        <v>1850</v>
      </c>
      <c r="E326" s="2" t="s">
        <v>260</v>
      </c>
      <c r="F326" s="24" t="s">
        <v>307</v>
      </c>
      <c r="G326" s="2" t="s">
        <v>313</v>
      </c>
      <c r="H326" s="37" t="s">
        <v>381</v>
      </c>
    </row>
    <row r="327" spans="1:8" ht="18" x14ac:dyDescent="0.25">
      <c r="A327" s="4" t="s">
        <v>50</v>
      </c>
      <c r="B327" s="2">
        <v>268</v>
      </c>
      <c r="C327" s="3">
        <v>268</v>
      </c>
      <c r="D327" s="36">
        <f t="shared" si="5"/>
        <v>1851</v>
      </c>
      <c r="E327" s="2" t="s">
        <v>260</v>
      </c>
      <c r="F327" s="24" t="s">
        <v>302</v>
      </c>
      <c r="G327" s="2" t="s">
        <v>313</v>
      </c>
      <c r="H327" s="37" t="s">
        <v>381</v>
      </c>
    </row>
    <row r="328" spans="1:8" ht="27" x14ac:dyDescent="0.25">
      <c r="A328" s="4" t="s">
        <v>56</v>
      </c>
      <c r="B328" s="2">
        <v>466</v>
      </c>
      <c r="C328" s="3">
        <v>2164</v>
      </c>
      <c r="D328" s="36">
        <f t="shared" si="5"/>
        <v>1860</v>
      </c>
      <c r="E328" s="2" t="s">
        <v>352</v>
      </c>
      <c r="F328" s="24" t="s">
        <v>306</v>
      </c>
      <c r="G328" s="2" t="s">
        <v>313</v>
      </c>
      <c r="H328" s="37" t="s">
        <v>379</v>
      </c>
    </row>
    <row r="329" spans="1:8" ht="27" x14ac:dyDescent="0.25">
      <c r="A329" s="4" t="s">
        <v>56</v>
      </c>
      <c r="B329" s="2">
        <v>466</v>
      </c>
      <c r="C329" s="3">
        <v>2164</v>
      </c>
      <c r="D329" s="36">
        <f t="shared" si="5"/>
        <v>1861</v>
      </c>
      <c r="E329" s="2" t="s">
        <v>352</v>
      </c>
      <c r="F329" s="24" t="s">
        <v>306</v>
      </c>
      <c r="G329" s="2" t="s">
        <v>313</v>
      </c>
      <c r="H329" s="37" t="s">
        <v>381</v>
      </c>
    </row>
    <row r="330" spans="1:8" x14ac:dyDescent="0.25">
      <c r="A330" s="4" t="s">
        <v>47</v>
      </c>
      <c r="B330" s="2">
        <v>895</v>
      </c>
      <c r="C330" s="3">
        <v>206</v>
      </c>
      <c r="D330" s="36">
        <f t="shared" si="5"/>
        <v>1870</v>
      </c>
      <c r="E330" s="29" t="s">
        <v>261</v>
      </c>
      <c r="F330" s="30" t="s">
        <v>306</v>
      </c>
      <c r="G330" s="2" t="s">
        <v>313</v>
      </c>
      <c r="H330" s="37" t="s">
        <v>379</v>
      </c>
    </row>
    <row r="331" spans="1:8" ht="18" x14ac:dyDescent="0.25">
      <c r="A331" s="4" t="s">
        <v>47</v>
      </c>
      <c r="B331" s="2">
        <v>895</v>
      </c>
      <c r="C331" s="3">
        <v>206</v>
      </c>
      <c r="D331" s="36">
        <f t="shared" si="5"/>
        <v>1871</v>
      </c>
      <c r="E331" s="29" t="s">
        <v>261</v>
      </c>
      <c r="F331" s="30" t="s">
        <v>307</v>
      </c>
      <c r="G331" s="2" t="s">
        <v>313</v>
      </c>
      <c r="H331" s="37" t="s">
        <v>381</v>
      </c>
    </row>
    <row r="332" spans="1:8" ht="18" x14ac:dyDescent="0.25">
      <c r="A332" s="4" t="s">
        <v>47</v>
      </c>
      <c r="B332" s="2">
        <v>895</v>
      </c>
      <c r="C332" s="3">
        <v>206</v>
      </c>
      <c r="D332" s="36">
        <f t="shared" si="5"/>
        <v>1872</v>
      </c>
      <c r="E332" s="29" t="s">
        <v>261</v>
      </c>
      <c r="F332" s="30" t="s">
        <v>306</v>
      </c>
      <c r="G332" s="2" t="s">
        <v>313</v>
      </c>
      <c r="H332" s="37" t="s">
        <v>381</v>
      </c>
    </row>
    <row r="333" spans="1:8" x14ac:dyDescent="0.25">
      <c r="A333" s="4" t="s">
        <v>47</v>
      </c>
      <c r="B333" s="2">
        <v>550</v>
      </c>
      <c r="C333" s="3">
        <v>2369</v>
      </c>
      <c r="D333" s="36">
        <f t="shared" si="5"/>
        <v>1880</v>
      </c>
      <c r="E333" s="32" t="s">
        <v>366</v>
      </c>
      <c r="F333" s="30" t="s">
        <v>301</v>
      </c>
      <c r="G333" s="2" t="s">
        <v>313</v>
      </c>
      <c r="H333" s="37" t="s">
        <v>379</v>
      </c>
    </row>
    <row r="334" spans="1:8" ht="27" x14ac:dyDescent="0.25">
      <c r="A334" s="4" t="s">
        <v>56</v>
      </c>
      <c r="B334" s="2">
        <v>226</v>
      </c>
      <c r="C334" s="3">
        <v>2163</v>
      </c>
      <c r="D334" s="36">
        <f t="shared" si="5"/>
        <v>1890</v>
      </c>
      <c r="E334" s="2" t="s">
        <v>262</v>
      </c>
      <c r="F334" s="24" t="s">
        <v>306</v>
      </c>
      <c r="G334" s="2" t="s">
        <v>313</v>
      </c>
      <c r="H334" s="37" t="s">
        <v>379</v>
      </c>
    </row>
    <row r="335" spans="1:8" ht="27" x14ac:dyDescent="0.25">
      <c r="A335" s="4" t="s">
        <v>56</v>
      </c>
      <c r="B335" s="2">
        <v>226</v>
      </c>
      <c r="C335" s="3">
        <v>2163</v>
      </c>
      <c r="D335" s="36">
        <f t="shared" si="5"/>
        <v>1891</v>
      </c>
      <c r="E335" s="2" t="s">
        <v>262</v>
      </c>
      <c r="F335" s="24" t="s">
        <v>306</v>
      </c>
      <c r="G335" s="2" t="s">
        <v>313</v>
      </c>
      <c r="H335" s="37" t="s">
        <v>381</v>
      </c>
    </row>
    <row r="336" spans="1:8" ht="18" x14ac:dyDescent="0.25">
      <c r="A336" s="4" t="s">
        <v>46</v>
      </c>
      <c r="B336" s="2">
        <v>559</v>
      </c>
      <c r="C336" s="3">
        <v>559</v>
      </c>
      <c r="D336" s="36">
        <f t="shared" si="5"/>
        <v>1900</v>
      </c>
      <c r="E336" s="2" t="s">
        <v>228</v>
      </c>
      <c r="F336" s="24" t="s">
        <v>307</v>
      </c>
      <c r="G336" s="2" t="s">
        <v>313</v>
      </c>
      <c r="H336" s="37" t="s">
        <v>381</v>
      </c>
    </row>
    <row r="337" spans="1:8" ht="27" x14ac:dyDescent="0.25">
      <c r="A337" s="4" t="s">
        <v>18</v>
      </c>
      <c r="B337" s="2">
        <v>1245</v>
      </c>
      <c r="C337" s="3">
        <v>1249</v>
      </c>
      <c r="D337" s="36">
        <f t="shared" si="5"/>
        <v>1910</v>
      </c>
      <c r="E337" s="2" t="s">
        <v>263</v>
      </c>
      <c r="F337" s="24" t="s">
        <v>307</v>
      </c>
      <c r="G337" s="2" t="s">
        <v>313</v>
      </c>
      <c r="H337" s="37" t="s">
        <v>381</v>
      </c>
    </row>
    <row r="338" spans="1:8" ht="27" x14ac:dyDescent="0.25">
      <c r="A338" s="4" t="s">
        <v>18</v>
      </c>
      <c r="B338" s="2">
        <v>466</v>
      </c>
      <c r="C338" s="3">
        <v>466</v>
      </c>
      <c r="D338" s="36">
        <f t="shared" si="5"/>
        <v>1920</v>
      </c>
      <c r="E338" s="2" t="s">
        <v>230</v>
      </c>
      <c r="F338" s="24" t="s">
        <v>307</v>
      </c>
      <c r="G338" s="2" t="s">
        <v>313</v>
      </c>
      <c r="H338" s="37" t="s">
        <v>381</v>
      </c>
    </row>
    <row r="339" spans="1:8" ht="27" x14ac:dyDescent="0.25">
      <c r="A339" s="4" t="s">
        <v>18</v>
      </c>
      <c r="B339" s="2">
        <v>466</v>
      </c>
      <c r="C339" s="3">
        <v>466</v>
      </c>
      <c r="D339" s="36">
        <f t="shared" si="5"/>
        <v>1921</v>
      </c>
      <c r="E339" s="2" t="s">
        <v>230</v>
      </c>
      <c r="F339" s="24" t="s">
        <v>305</v>
      </c>
      <c r="G339" s="2" t="s">
        <v>313</v>
      </c>
      <c r="H339" s="37" t="s">
        <v>381</v>
      </c>
    </row>
    <row r="340" spans="1:8" ht="18" x14ac:dyDescent="0.25">
      <c r="A340" s="4" t="s">
        <v>51</v>
      </c>
      <c r="B340" s="2">
        <v>299</v>
      </c>
      <c r="C340" s="3">
        <v>2033</v>
      </c>
      <c r="D340" s="36">
        <f t="shared" si="5"/>
        <v>1930</v>
      </c>
      <c r="E340" s="2" t="s">
        <v>254</v>
      </c>
      <c r="F340" s="24" t="s">
        <v>301</v>
      </c>
      <c r="G340" s="2" t="s">
        <v>313</v>
      </c>
      <c r="H340" s="37" t="s">
        <v>379</v>
      </c>
    </row>
    <row r="341" spans="1:8" ht="18" x14ac:dyDescent="0.25">
      <c r="A341" s="4" t="s">
        <v>51</v>
      </c>
      <c r="B341" s="2">
        <v>299</v>
      </c>
      <c r="C341" s="3">
        <v>2033</v>
      </c>
      <c r="D341" s="36">
        <f t="shared" si="5"/>
        <v>1931</v>
      </c>
      <c r="E341" s="2" t="s">
        <v>254</v>
      </c>
      <c r="F341" s="24" t="s">
        <v>301</v>
      </c>
      <c r="G341" s="2" t="s">
        <v>313</v>
      </c>
      <c r="H341" s="37" t="s">
        <v>381</v>
      </c>
    </row>
    <row r="342" spans="1:8" ht="18" x14ac:dyDescent="0.25">
      <c r="A342" s="4" t="s">
        <v>50</v>
      </c>
      <c r="B342" s="2">
        <v>874</v>
      </c>
      <c r="C342" s="3">
        <v>2306</v>
      </c>
      <c r="D342" s="36">
        <f t="shared" si="5"/>
        <v>1940</v>
      </c>
      <c r="E342" s="2" t="s">
        <v>270</v>
      </c>
      <c r="F342" s="24" t="s">
        <v>297</v>
      </c>
      <c r="G342" s="2" t="s">
        <v>313</v>
      </c>
      <c r="H342" s="37" t="s">
        <v>379</v>
      </c>
    </row>
    <row r="343" spans="1:8" ht="27" x14ac:dyDescent="0.25">
      <c r="A343" s="4" t="s">
        <v>18</v>
      </c>
      <c r="B343" s="2">
        <v>112</v>
      </c>
      <c r="C343" s="3">
        <v>112</v>
      </c>
      <c r="D343" s="36">
        <f t="shared" si="5"/>
        <v>1950</v>
      </c>
      <c r="E343" s="2" t="s">
        <v>231</v>
      </c>
      <c r="F343" s="24" t="s">
        <v>305</v>
      </c>
      <c r="G343" s="2" t="s">
        <v>313</v>
      </c>
      <c r="H343" s="37" t="s">
        <v>381</v>
      </c>
    </row>
    <row r="344" spans="1:8" ht="18" x14ac:dyDescent="0.25">
      <c r="A344" s="4" t="s">
        <v>50</v>
      </c>
      <c r="B344" s="2">
        <v>112</v>
      </c>
      <c r="C344" s="3">
        <v>721</v>
      </c>
      <c r="D344" s="36">
        <f t="shared" si="5"/>
        <v>1960</v>
      </c>
      <c r="E344" s="2" t="s">
        <v>232</v>
      </c>
      <c r="F344" s="24" t="s">
        <v>305</v>
      </c>
      <c r="G344" s="2" t="s">
        <v>313</v>
      </c>
      <c r="H344" s="37" t="s">
        <v>381</v>
      </c>
    </row>
    <row r="345" spans="1:8" ht="27" x14ac:dyDescent="0.25">
      <c r="A345" s="4" t="s">
        <v>48</v>
      </c>
      <c r="B345" s="2">
        <v>895</v>
      </c>
      <c r="C345" s="3">
        <v>895</v>
      </c>
      <c r="D345" s="36">
        <f t="shared" si="5"/>
        <v>1970</v>
      </c>
      <c r="E345" s="2" t="s">
        <v>235</v>
      </c>
      <c r="F345" s="24" t="s">
        <v>305</v>
      </c>
      <c r="G345" s="2" t="s">
        <v>313</v>
      </c>
      <c r="H345" s="37" t="s">
        <v>381</v>
      </c>
    </row>
    <row r="346" spans="1:8" ht="27" x14ac:dyDescent="0.25">
      <c r="A346" s="4" t="s">
        <v>18</v>
      </c>
      <c r="B346" s="2">
        <v>889</v>
      </c>
      <c r="C346" s="3">
        <v>889</v>
      </c>
      <c r="D346" s="36">
        <f t="shared" si="5"/>
        <v>1980</v>
      </c>
      <c r="E346" s="2" t="s">
        <v>233</v>
      </c>
      <c r="F346" s="24" t="s">
        <v>306</v>
      </c>
      <c r="G346" s="2" t="s">
        <v>313</v>
      </c>
      <c r="H346" s="37" t="s">
        <v>379</v>
      </c>
    </row>
    <row r="347" spans="1:8" ht="27" x14ac:dyDescent="0.25">
      <c r="A347" s="4" t="s">
        <v>18</v>
      </c>
      <c r="B347" s="2">
        <v>889</v>
      </c>
      <c r="C347" s="3">
        <v>889</v>
      </c>
      <c r="D347" s="36">
        <f t="shared" si="5"/>
        <v>1981</v>
      </c>
      <c r="E347" s="2" t="s">
        <v>233</v>
      </c>
      <c r="F347" s="24" t="s">
        <v>307</v>
      </c>
      <c r="G347" s="2" t="s">
        <v>313</v>
      </c>
      <c r="H347" s="37" t="s">
        <v>381</v>
      </c>
    </row>
    <row r="348" spans="1:8" ht="27" x14ac:dyDescent="0.25">
      <c r="A348" s="4" t="s">
        <v>18</v>
      </c>
      <c r="B348" s="2">
        <v>889</v>
      </c>
      <c r="C348" s="3">
        <v>889</v>
      </c>
      <c r="D348" s="36">
        <f t="shared" si="5"/>
        <v>1982</v>
      </c>
      <c r="E348" s="2" t="s">
        <v>233</v>
      </c>
      <c r="F348" s="24" t="s">
        <v>305</v>
      </c>
      <c r="G348" s="2" t="s">
        <v>313</v>
      </c>
      <c r="H348" s="37" t="s">
        <v>381</v>
      </c>
    </row>
    <row r="349" spans="1:8" ht="27" x14ac:dyDescent="0.25">
      <c r="A349" s="4" t="s">
        <v>18</v>
      </c>
      <c r="B349" s="2">
        <v>889</v>
      </c>
      <c r="C349" s="3">
        <v>889</v>
      </c>
      <c r="D349" s="36">
        <f t="shared" si="5"/>
        <v>1983</v>
      </c>
      <c r="E349" s="2" t="s">
        <v>233</v>
      </c>
      <c r="F349" s="24" t="s">
        <v>306</v>
      </c>
      <c r="G349" s="2" t="s">
        <v>313</v>
      </c>
      <c r="H349" s="37" t="s">
        <v>381</v>
      </c>
    </row>
    <row r="350" spans="1:8" ht="18" x14ac:dyDescent="0.25">
      <c r="A350" s="4" t="s">
        <v>52</v>
      </c>
      <c r="B350" s="2">
        <v>895</v>
      </c>
      <c r="C350" s="3">
        <v>1243</v>
      </c>
      <c r="D350" s="36">
        <f t="shared" si="5"/>
        <v>1990</v>
      </c>
      <c r="E350" s="29" t="s">
        <v>234</v>
      </c>
      <c r="F350" s="30" t="s">
        <v>301</v>
      </c>
      <c r="G350" s="2" t="s">
        <v>313</v>
      </c>
      <c r="H350" s="37" t="s">
        <v>379</v>
      </c>
    </row>
    <row r="351" spans="1:8" ht="18" x14ac:dyDescent="0.25">
      <c r="A351" s="4" t="s">
        <v>52</v>
      </c>
      <c r="B351" s="2">
        <v>895</v>
      </c>
      <c r="C351" s="3">
        <v>1243</v>
      </c>
      <c r="D351" s="36">
        <f t="shared" si="5"/>
        <v>1991</v>
      </c>
      <c r="E351" s="29" t="s">
        <v>234</v>
      </c>
      <c r="F351" s="30" t="s">
        <v>301</v>
      </c>
      <c r="G351" s="2" t="s">
        <v>313</v>
      </c>
      <c r="H351" s="37" t="s">
        <v>381</v>
      </c>
    </row>
    <row r="352" spans="1:8" ht="18" x14ac:dyDescent="0.25">
      <c r="A352" s="4" t="s">
        <v>53</v>
      </c>
      <c r="B352" s="2">
        <v>837</v>
      </c>
      <c r="C352" s="3">
        <v>837</v>
      </c>
      <c r="D352" s="36">
        <f t="shared" si="5"/>
        <v>2000</v>
      </c>
      <c r="E352" s="2" t="s">
        <v>236</v>
      </c>
      <c r="F352" s="24" t="s">
        <v>305</v>
      </c>
      <c r="G352" s="2" t="s">
        <v>313</v>
      </c>
      <c r="H352" s="37" t="s">
        <v>381</v>
      </c>
    </row>
    <row r="353" spans="1:8" ht="27" x14ac:dyDescent="0.25">
      <c r="A353" s="4" t="s">
        <v>18</v>
      </c>
      <c r="B353" s="2">
        <v>774</v>
      </c>
      <c r="C353" s="3">
        <v>774</v>
      </c>
      <c r="D353" s="36">
        <f t="shared" si="5"/>
        <v>2010</v>
      </c>
      <c r="E353" s="2" t="s">
        <v>237</v>
      </c>
      <c r="F353" s="24" t="s">
        <v>306</v>
      </c>
      <c r="G353" s="2" t="s">
        <v>313</v>
      </c>
      <c r="H353" s="37" t="s">
        <v>379</v>
      </c>
    </row>
    <row r="354" spans="1:8" ht="27" x14ac:dyDescent="0.25">
      <c r="A354" s="4" t="s">
        <v>18</v>
      </c>
      <c r="B354" s="2">
        <v>774</v>
      </c>
      <c r="C354" s="3">
        <v>774</v>
      </c>
      <c r="D354" s="36">
        <f t="shared" si="5"/>
        <v>2011</v>
      </c>
      <c r="E354" s="2" t="s">
        <v>237</v>
      </c>
      <c r="F354" s="24" t="s">
        <v>307</v>
      </c>
      <c r="G354" s="2" t="s">
        <v>313</v>
      </c>
      <c r="H354" s="37" t="s">
        <v>381</v>
      </c>
    </row>
    <row r="355" spans="1:8" ht="27" x14ac:dyDescent="0.25">
      <c r="A355" s="4" t="s">
        <v>18</v>
      </c>
      <c r="B355" s="2">
        <v>774</v>
      </c>
      <c r="C355" s="3">
        <v>774</v>
      </c>
      <c r="D355" s="36">
        <f t="shared" si="5"/>
        <v>2012</v>
      </c>
      <c r="E355" s="2" t="s">
        <v>237</v>
      </c>
      <c r="F355" s="24" t="s">
        <v>305</v>
      </c>
      <c r="G355" s="2" t="s">
        <v>313</v>
      </c>
      <c r="H355" s="37" t="s">
        <v>381</v>
      </c>
    </row>
    <row r="356" spans="1:8" ht="27" x14ac:dyDescent="0.25">
      <c r="A356" s="4" t="s">
        <v>18</v>
      </c>
      <c r="B356" s="2">
        <v>774</v>
      </c>
      <c r="C356" s="3">
        <v>774</v>
      </c>
      <c r="D356" s="36">
        <f t="shared" si="5"/>
        <v>2013</v>
      </c>
      <c r="E356" s="2" t="s">
        <v>237</v>
      </c>
      <c r="F356" s="24" t="s">
        <v>306</v>
      </c>
      <c r="G356" s="2" t="s">
        <v>313</v>
      </c>
      <c r="H356" s="37" t="s">
        <v>381</v>
      </c>
    </row>
    <row r="357" spans="1:8" ht="18" x14ac:dyDescent="0.25">
      <c r="A357" s="4" t="s">
        <v>57</v>
      </c>
      <c r="B357" s="2">
        <v>936</v>
      </c>
      <c r="C357" s="3">
        <v>936</v>
      </c>
      <c r="D357" s="36">
        <f t="shared" si="5"/>
        <v>2020</v>
      </c>
      <c r="E357" s="29" t="s">
        <v>264</v>
      </c>
      <c r="F357" s="30" t="s">
        <v>305</v>
      </c>
      <c r="G357" s="2" t="s">
        <v>313</v>
      </c>
      <c r="H357" s="37" t="s">
        <v>381</v>
      </c>
    </row>
    <row r="358" spans="1:8" ht="27" x14ac:dyDescent="0.25">
      <c r="A358" s="4" t="s">
        <v>54</v>
      </c>
      <c r="B358" s="2">
        <v>794</v>
      </c>
      <c r="C358" s="3">
        <v>794</v>
      </c>
      <c r="D358" s="36">
        <f t="shared" si="5"/>
        <v>2030</v>
      </c>
      <c r="E358" s="2" t="s">
        <v>238</v>
      </c>
      <c r="F358" s="24" t="s">
        <v>307</v>
      </c>
      <c r="G358" s="2" t="s">
        <v>313</v>
      </c>
      <c r="H358" s="37" t="s">
        <v>381</v>
      </c>
    </row>
    <row r="359" spans="1:8" ht="27" x14ac:dyDescent="0.25">
      <c r="A359" s="4" t="s">
        <v>54</v>
      </c>
      <c r="B359" s="2">
        <v>794</v>
      </c>
      <c r="C359" s="3">
        <v>794</v>
      </c>
      <c r="D359" s="36">
        <f t="shared" si="5"/>
        <v>2031</v>
      </c>
      <c r="E359" s="2" t="s">
        <v>238</v>
      </c>
      <c r="F359" s="24" t="s">
        <v>305</v>
      </c>
      <c r="G359" s="2" t="s">
        <v>313</v>
      </c>
      <c r="H359" s="37" t="s">
        <v>381</v>
      </c>
    </row>
    <row r="360" spans="1:8" ht="18" x14ac:dyDescent="0.25">
      <c r="A360" s="4" t="s">
        <v>57</v>
      </c>
      <c r="B360" s="2">
        <v>936</v>
      </c>
      <c r="C360" s="3">
        <v>2221</v>
      </c>
      <c r="D360" s="36">
        <f t="shared" si="5"/>
        <v>2040</v>
      </c>
      <c r="E360" s="29" t="s">
        <v>265</v>
      </c>
      <c r="F360" s="30" t="s">
        <v>301</v>
      </c>
      <c r="G360" s="2" t="s">
        <v>313</v>
      </c>
      <c r="H360" s="37" t="s">
        <v>379</v>
      </c>
    </row>
    <row r="361" spans="1:8" ht="18" x14ac:dyDescent="0.25">
      <c r="A361" s="4" t="s">
        <v>58</v>
      </c>
      <c r="B361" s="2">
        <v>1239</v>
      </c>
      <c r="C361" s="3">
        <v>2368</v>
      </c>
      <c r="D361" s="36">
        <f t="shared" si="5"/>
        <v>2050</v>
      </c>
      <c r="E361" s="29" t="s">
        <v>266</v>
      </c>
      <c r="F361" s="30" t="s">
        <v>301</v>
      </c>
      <c r="G361" s="2" t="s">
        <v>313</v>
      </c>
      <c r="H361" s="37" t="s">
        <v>379</v>
      </c>
    </row>
    <row r="362" spans="1:8" ht="27" x14ac:dyDescent="0.25">
      <c r="A362" s="4" t="s">
        <v>59</v>
      </c>
      <c r="B362" s="2">
        <v>794</v>
      </c>
      <c r="C362" s="3">
        <v>2157</v>
      </c>
      <c r="D362" s="36">
        <f t="shared" si="5"/>
        <v>2060</v>
      </c>
      <c r="E362" s="2" t="s">
        <v>267</v>
      </c>
      <c r="F362" s="24" t="s">
        <v>306</v>
      </c>
      <c r="G362" s="2" t="s">
        <v>313</v>
      </c>
      <c r="H362" s="37" t="s">
        <v>379</v>
      </c>
    </row>
    <row r="363" spans="1:8" ht="27" x14ac:dyDescent="0.25">
      <c r="A363" s="4" t="s">
        <v>59</v>
      </c>
      <c r="B363" s="2">
        <v>794</v>
      </c>
      <c r="C363" s="3">
        <v>2157</v>
      </c>
      <c r="D363" s="36">
        <f t="shared" si="5"/>
        <v>2061</v>
      </c>
      <c r="E363" s="2" t="s">
        <v>267</v>
      </c>
      <c r="F363" s="24" t="s">
        <v>306</v>
      </c>
      <c r="G363" s="2" t="s">
        <v>313</v>
      </c>
      <c r="H363" s="37" t="s">
        <v>381</v>
      </c>
    </row>
    <row r="364" spans="1:8" ht="27" x14ac:dyDescent="0.25">
      <c r="A364" s="4" t="s">
        <v>56</v>
      </c>
      <c r="B364" s="2">
        <v>546</v>
      </c>
      <c r="C364" s="3">
        <v>2156</v>
      </c>
      <c r="D364" s="36">
        <f t="shared" si="5"/>
        <v>2070</v>
      </c>
      <c r="E364" s="2" t="s">
        <v>271</v>
      </c>
      <c r="F364" s="24" t="s">
        <v>306</v>
      </c>
      <c r="G364" s="2" t="s">
        <v>313</v>
      </c>
      <c r="H364" s="37" t="s">
        <v>379</v>
      </c>
    </row>
    <row r="365" spans="1:8" ht="27" x14ac:dyDescent="0.25">
      <c r="A365" s="4" t="s">
        <v>56</v>
      </c>
      <c r="B365" s="2">
        <v>546</v>
      </c>
      <c r="C365" s="3">
        <v>2156</v>
      </c>
      <c r="D365" s="36">
        <f t="shared" si="5"/>
        <v>2071</v>
      </c>
      <c r="E365" s="2" t="s">
        <v>271</v>
      </c>
      <c r="F365" s="24" t="s">
        <v>306</v>
      </c>
      <c r="G365" s="2" t="s">
        <v>313</v>
      </c>
      <c r="H365" s="37" t="s">
        <v>381</v>
      </c>
    </row>
    <row r="366" spans="1:8" ht="18" x14ac:dyDescent="0.25">
      <c r="A366" s="4" t="s">
        <v>51</v>
      </c>
      <c r="B366" s="2">
        <v>326</v>
      </c>
      <c r="C366" s="3">
        <v>2034</v>
      </c>
      <c r="D366" s="36">
        <f t="shared" si="5"/>
        <v>2080</v>
      </c>
      <c r="E366" s="2" t="s">
        <v>255</v>
      </c>
      <c r="F366" s="24" t="s">
        <v>301</v>
      </c>
      <c r="G366" s="2" t="s">
        <v>313</v>
      </c>
      <c r="H366" s="37" t="s">
        <v>379</v>
      </c>
    </row>
    <row r="367" spans="1:8" ht="18" x14ac:dyDescent="0.25">
      <c r="A367" s="4" t="s">
        <v>49</v>
      </c>
      <c r="B367" s="2">
        <v>326</v>
      </c>
      <c r="C367" s="3">
        <v>326</v>
      </c>
      <c r="D367" s="36">
        <f t="shared" si="5"/>
        <v>2090</v>
      </c>
      <c r="E367" s="2" t="s">
        <v>256</v>
      </c>
      <c r="F367" s="24" t="s">
        <v>307</v>
      </c>
      <c r="G367" s="2" t="s">
        <v>313</v>
      </c>
      <c r="H367" s="37" t="s">
        <v>381</v>
      </c>
    </row>
    <row r="368" spans="1:8" ht="27" x14ac:dyDescent="0.25">
      <c r="A368" s="4" t="s">
        <v>54</v>
      </c>
      <c r="B368" s="2">
        <v>61</v>
      </c>
      <c r="C368" s="3">
        <v>61</v>
      </c>
      <c r="D368" s="36">
        <f t="shared" si="5"/>
        <v>2100</v>
      </c>
      <c r="E368" s="2" t="s">
        <v>240</v>
      </c>
      <c r="F368" s="24" t="s">
        <v>305</v>
      </c>
      <c r="G368" s="34" t="s">
        <v>313</v>
      </c>
      <c r="H368" s="37" t="s">
        <v>381</v>
      </c>
    </row>
    <row r="369" spans="1:8" ht="18" x14ac:dyDescent="0.25">
      <c r="A369" s="4" t="s">
        <v>50</v>
      </c>
      <c r="B369" s="2">
        <v>873</v>
      </c>
      <c r="C369" s="3">
        <v>2305</v>
      </c>
      <c r="D369" s="36">
        <f t="shared" si="5"/>
        <v>2110</v>
      </c>
      <c r="E369" s="2" t="s">
        <v>272</v>
      </c>
      <c r="F369" s="24" t="s">
        <v>297</v>
      </c>
      <c r="G369" s="34" t="s">
        <v>313</v>
      </c>
      <c r="H369" s="37" t="s">
        <v>379</v>
      </c>
    </row>
    <row r="370" spans="1:8" ht="27" x14ac:dyDescent="0.25">
      <c r="A370" s="4" t="s">
        <v>59</v>
      </c>
      <c r="B370" s="2">
        <v>61</v>
      </c>
      <c r="C370" s="3">
        <v>2161</v>
      </c>
      <c r="D370" s="36">
        <f t="shared" si="5"/>
        <v>2120</v>
      </c>
      <c r="E370" s="2" t="s">
        <v>273</v>
      </c>
      <c r="F370" s="24" t="s">
        <v>306</v>
      </c>
      <c r="G370" s="34" t="s">
        <v>313</v>
      </c>
      <c r="H370" s="37" t="s">
        <v>379</v>
      </c>
    </row>
    <row r="371" spans="1:8" ht="27" x14ac:dyDescent="0.25">
      <c r="A371" s="4" t="s">
        <v>59</v>
      </c>
      <c r="B371" s="2">
        <v>61</v>
      </c>
      <c r="C371" s="3">
        <v>2161</v>
      </c>
      <c r="D371" s="36">
        <f t="shared" si="5"/>
        <v>2121</v>
      </c>
      <c r="E371" s="2" t="s">
        <v>273</v>
      </c>
      <c r="F371" s="24" t="s">
        <v>306</v>
      </c>
      <c r="G371" s="34" t="s">
        <v>313</v>
      </c>
      <c r="H371" s="37" t="s">
        <v>381</v>
      </c>
    </row>
    <row r="372" spans="1:8" ht="18" x14ac:dyDescent="0.25">
      <c r="A372" s="4" t="s">
        <v>50</v>
      </c>
      <c r="B372" s="2">
        <v>872</v>
      </c>
      <c r="C372" s="3">
        <v>2292</v>
      </c>
      <c r="D372" s="36">
        <f t="shared" si="5"/>
        <v>2130</v>
      </c>
      <c r="E372" s="2" t="s">
        <v>241</v>
      </c>
      <c r="F372" s="24" t="s">
        <v>297</v>
      </c>
      <c r="G372" s="34" t="s">
        <v>313</v>
      </c>
      <c r="H372" s="37" t="s">
        <v>379</v>
      </c>
    </row>
    <row r="373" spans="1:8" ht="18" x14ac:dyDescent="0.25">
      <c r="A373" s="4" t="s">
        <v>50</v>
      </c>
      <c r="B373" s="2">
        <v>251</v>
      </c>
      <c r="C373" s="3">
        <v>251</v>
      </c>
      <c r="D373" s="36">
        <f t="shared" si="5"/>
        <v>2140</v>
      </c>
      <c r="E373" s="2" t="s">
        <v>242</v>
      </c>
      <c r="F373" s="24" t="s">
        <v>301</v>
      </c>
      <c r="G373" s="34" t="s">
        <v>313</v>
      </c>
      <c r="H373" s="37" t="s">
        <v>379</v>
      </c>
    </row>
    <row r="374" spans="1:8" ht="18" x14ac:dyDescent="0.25">
      <c r="A374" s="4" t="s">
        <v>50</v>
      </c>
      <c r="B374" s="2">
        <v>251</v>
      </c>
      <c r="C374" s="3">
        <v>251</v>
      </c>
      <c r="D374" s="36">
        <f t="shared" si="5"/>
        <v>2141</v>
      </c>
      <c r="E374" s="2" t="s">
        <v>242</v>
      </c>
      <c r="F374" s="24" t="s">
        <v>307</v>
      </c>
      <c r="G374" s="34" t="s">
        <v>313</v>
      </c>
      <c r="H374" s="37" t="s">
        <v>381</v>
      </c>
    </row>
    <row r="375" spans="1:8" ht="18" x14ac:dyDescent="0.25">
      <c r="A375" s="4" t="s">
        <v>50</v>
      </c>
      <c r="B375" s="2">
        <v>251</v>
      </c>
      <c r="C375" s="3">
        <v>251</v>
      </c>
      <c r="D375" s="36">
        <f t="shared" si="5"/>
        <v>2142</v>
      </c>
      <c r="E375" s="2" t="s">
        <v>242</v>
      </c>
      <c r="F375" s="24" t="s">
        <v>301</v>
      </c>
      <c r="G375" s="34" t="s">
        <v>313</v>
      </c>
      <c r="H375" s="37" t="s">
        <v>381</v>
      </c>
    </row>
    <row r="376" spans="1:8" ht="18" x14ac:dyDescent="0.25">
      <c r="A376" s="4" t="s">
        <v>51</v>
      </c>
      <c r="B376" s="2">
        <v>682</v>
      </c>
      <c r="C376" s="3">
        <v>2282</v>
      </c>
      <c r="D376" s="36">
        <f t="shared" si="5"/>
        <v>2150</v>
      </c>
      <c r="E376" s="2" t="s">
        <v>229</v>
      </c>
      <c r="F376" s="24" t="s">
        <v>301</v>
      </c>
      <c r="G376" s="34" t="s">
        <v>313</v>
      </c>
      <c r="H376" s="37" t="s">
        <v>379</v>
      </c>
    </row>
    <row r="377" spans="1:8" ht="18" x14ac:dyDescent="0.25">
      <c r="A377" s="4" t="s">
        <v>51</v>
      </c>
      <c r="B377" s="2">
        <v>682</v>
      </c>
      <c r="C377" s="3">
        <v>2282</v>
      </c>
      <c r="D377" s="36">
        <f t="shared" si="5"/>
        <v>2151</v>
      </c>
      <c r="E377" s="2" t="s">
        <v>229</v>
      </c>
      <c r="F377" s="24" t="s">
        <v>301</v>
      </c>
      <c r="G377" s="34" t="s">
        <v>313</v>
      </c>
      <c r="H377" s="37" t="s">
        <v>381</v>
      </c>
    </row>
    <row r="378" spans="1:8" ht="27" x14ac:dyDescent="0.25">
      <c r="A378" s="4" t="s">
        <v>48</v>
      </c>
      <c r="B378" s="2">
        <v>683</v>
      </c>
      <c r="C378" s="3">
        <v>683</v>
      </c>
      <c r="D378" s="36">
        <f t="shared" si="5"/>
        <v>2160</v>
      </c>
      <c r="E378" s="10" t="s">
        <v>353</v>
      </c>
      <c r="F378" s="24" t="s">
        <v>305</v>
      </c>
      <c r="G378" s="34" t="s">
        <v>313</v>
      </c>
      <c r="H378" s="37" t="s">
        <v>381</v>
      </c>
    </row>
    <row r="379" spans="1:8" ht="27" x14ac:dyDescent="0.25">
      <c r="A379" s="4" t="s">
        <v>54</v>
      </c>
      <c r="B379" s="2">
        <v>1232</v>
      </c>
      <c r="C379" s="3">
        <v>1232</v>
      </c>
      <c r="D379" s="36">
        <f t="shared" si="5"/>
        <v>2170</v>
      </c>
      <c r="E379" s="2" t="s">
        <v>354</v>
      </c>
      <c r="F379" s="24" t="s">
        <v>307</v>
      </c>
      <c r="G379" s="34" t="s">
        <v>313</v>
      </c>
      <c r="H379" s="37" t="s">
        <v>381</v>
      </c>
    </row>
    <row r="380" spans="1:8" ht="27" x14ac:dyDescent="0.25">
      <c r="A380" s="4" t="s">
        <v>59</v>
      </c>
      <c r="B380" s="2">
        <v>1232</v>
      </c>
      <c r="C380" s="3">
        <v>2422</v>
      </c>
      <c r="D380" s="36">
        <f t="shared" si="5"/>
        <v>2180</v>
      </c>
      <c r="E380" s="2" t="s">
        <v>355</v>
      </c>
      <c r="F380" s="24" t="s">
        <v>306</v>
      </c>
      <c r="G380" s="34" t="s">
        <v>313</v>
      </c>
      <c r="H380" s="37" t="s">
        <v>379</v>
      </c>
    </row>
    <row r="381" spans="1:8" ht="27" x14ac:dyDescent="0.25">
      <c r="A381" s="4" t="s">
        <v>59</v>
      </c>
      <c r="B381" s="2">
        <v>1232</v>
      </c>
      <c r="C381" s="3">
        <v>2422</v>
      </c>
      <c r="D381" s="36">
        <f t="shared" si="5"/>
        <v>2181</v>
      </c>
      <c r="E381" s="2" t="s">
        <v>355</v>
      </c>
      <c r="F381" s="24" t="s">
        <v>306</v>
      </c>
      <c r="G381" s="34" t="s">
        <v>313</v>
      </c>
      <c r="H381" s="37" t="s">
        <v>381</v>
      </c>
    </row>
    <row r="382" spans="1:8" ht="18" x14ac:dyDescent="0.25">
      <c r="A382" s="4" t="s">
        <v>58</v>
      </c>
      <c r="B382" s="2">
        <v>58</v>
      </c>
      <c r="C382" s="3">
        <v>2189</v>
      </c>
      <c r="D382" s="36">
        <f t="shared" si="5"/>
        <v>2190</v>
      </c>
      <c r="E382" s="29" t="s">
        <v>274</v>
      </c>
      <c r="F382" s="30" t="s">
        <v>306</v>
      </c>
      <c r="G382" s="34" t="s">
        <v>313</v>
      </c>
      <c r="H382" s="37" t="s">
        <v>379</v>
      </c>
    </row>
    <row r="383" spans="1:8" ht="27" x14ac:dyDescent="0.25">
      <c r="A383" s="4" t="s">
        <v>54</v>
      </c>
      <c r="B383" s="2">
        <v>58</v>
      </c>
      <c r="C383" s="3">
        <v>58</v>
      </c>
      <c r="D383" s="36">
        <f t="shared" si="5"/>
        <v>2200</v>
      </c>
      <c r="E383" s="2" t="s">
        <v>244</v>
      </c>
      <c r="F383" s="24" t="s">
        <v>307</v>
      </c>
      <c r="G383" s="34" t="s">
        <v>313</v>
      </c>
      <c r="H383" s="37" t="s">
        <v>381</v>
      </c>
    </row>
    <row r="384" spans="1:8" ht="27" x14ac:dyDescent="0.25">
      <c r="A384" s="4" t="s">
        <v>54</v>
      </c>
      <c r="B384" s="2">
        <v>58</v>
      </c>
      <c r="C384" s="3">
        <v>58</v>
      </c>
      <c r="D384" s="36">
        <f t="shared" si="5"/>
        <v>2201</v>
      </c>
      <c r="E384" s="2" t="s">
        <v>244</v>
      </c>
      <c r="F384" s="24" t="s">
        <v>305</v>
      </c>
      <c r="G384" s="34" t="s">
        <v>313</v>
      </c>
      <c r="H384" s="37" t="s">
        <v>381</v>
      </c>
    </row>
    <row r="385" spans="1:8" ht="18" x14ac:dyDescent="0.25">
      <c r="A385" s="4" t="s">
        <v>55</v>
      </c>
      <c r="B385" s="2">
        <v>1242</v>
      </c>
      <c r="C385" s="3">
        <v>1244</v>
      </c>
      <c r="D385" s="36">
        <f t="shared" si="5"/>
        <v>2210</v>
      </c>
      <c r="E385" s="29" t="s">
        <v>245</v>
      </c>
      <c r="F385" s="30" t="s">
        <v>301</v>
      </c>
      <c r="G385" s="34" t="s">
        <v>313</v>
      </c>
      <c r="H385" s="37" t="s">
        <v>379</v>
      </c>
    </row>
    <row r="386" spans="1:8" ht="18" x14ac:dyDescent="0.25">
      <c r="A386" s="4" t="s">
        <v>55</v>
      </c>
      <c r="B386" s="2">
        <v>1242</v>
      </c>
      <c r="C386" s="3">
        <v>1242</v>
      </c>
      <c r="D386" s="36">
        <f t="shared" si="5"/>
        <v>2220</v>
      </c>
      <c r="E386" s="29" t="s">
        <v>246</v>
      </c>
      <c r="F386" s="30" t="s">
        <v>307</v>
      </c>
      <c r="G386" s="34" t="s">
        <v>313</v>
      </c>
      <c r="H386" s="37" t="s">
        <v>381</v>
      </c>
    </row>
    <row r="387" spans="1:8" ht="27" x14ac:dyDescent="0.25">
      <c r="A387" s="4" t="s">
        <v>18</v>
      </c>
      <c r="B387" s="2">
        <v>888</v>
      </c>
      <c r="C387" s="3">
        <v>888</v>
      </c>
      <c r="D387" s="36">
        <f t="shared" si="5"/>
        <v>2230</v>
      </c>
      <c r="E387" s="2" t="s">
        <v>247</v>
      </c>
      <c r="F387" s="24" t="s">
        <v>306</v>
      </c>
      <c r="G387" s="34" t="s">
        <v>313</v>
      </c>
      <c r="H387" s="37" t="s">
        <v>379</v>
      </c>
    </row>
    <row r="388" spans="1:8" ht="27" x14ac:dyDescent="0.25">
      <c r="A388" s="4" t="s">
        <v>18</v>
      </c>
      <c r="B388" s="2">
        <v>888</v>
      </c>
      <c r="C388" s="3">
        <v>888</v>
      </c>
      <c r="D388" s="36">
        <f t="shared" ref="D388:D438" si="6">IF(C388=C387,D387+1,MROUND(D387,10)+10)</f>
        <v>2231</v>
      </c>
      <c r="E388" s="2" t="s">
        <v>247</v>
      </c>
      <c r="F388" s="24" t="s">
        <v>307</v>
      </c>
      <c r="G388" s="34" t="s">
        <v>313</v>
      </c>
      <c r="H388" s="37" t="s">
        <v>381</v>
      </c>
    </row>
    <row r="389" spans="1:8" ht="27" x14ac:dyDescent="0.25">
      <c r="A389" s="4" t="s">
        <v>18</v>
      </c>
      <c r="B389" s="2">
        <v>888</v>
      </c>
      <c r="C389" s="3">
        <v>888</v>
      </c>
      <c r="D389" s="36">
        <f t="shared" si="6"/>
        <v>2232</v>
      </c>
      <c r="E389" s="2" t="s">
        <v>247</v>
      </c>
      <c r="F389" s="24" t="s">
        <v>305</v>
      </c>
      <c r="G389" s="34" t="s">
        <v>313</v>
      </c>
      <c r="H389" s="37" t="s">
        <v>381</v>
      </c>
    </row>
    <row r="390" spans="1:8" ht="27" x14ac:dyDescent="0.25">
      <c r="A390" s="4" t="s">
        <v>18</v>
      </c>
      <c r="B390" s="2">
        <v>888</v>
      </c>
      <c r="C390" s="3">
        <v>888</v>
      </c>
      <c r="D390" s="36">
        <f t="shared" si="6"/>
        <v>2233</v>
      </c>
      <c r="E390" s="2" t="s">
        <v>247</v>
      </c>
      <c r="F390" s="24" t="s">
        <v>306</v>
      </c>
      <c r="G390" s="34" t="s">
        <v>313</v>
      </c>
      <c r="H390" s="37" t="s">
        <v>381</v>
      </c>
    </row>
    <row r="391" spans="1:8" ht="18" x14ac:dyDescent="0.25">
      <c r="A391" s="4" t="s">
        <v>57</v>
      </c>
      <c r="B391" s="2">
        <v>58</v>
      </c>
      <c r="C391" s="3">
        <v>2222</v>
      </c>
      <c r="D391" s="36">
        <f t="shared" si="6"/>
        <v>2240</v>
      </c>
      <c r="E391" s="29" t="s">
        <v>275</v>
      </c>
      <c r="F391" s="30" t="s">
        <v>301</v>
      </c>
      <c r="G391" s="34" t="s">
        <v>313</v>
      </c>
      <c r="H391" s="37" t="s">
        <v>379</v>
      </c>
    </row>
    <row r="392" spans="1:8" ht="18" x14ac:dyDescent="0.25">
      <c r="A392" s="4" t="s">
        <v>53</v>
      </c>
      <c r="B392" s="2">
        <v>938</v>
      </c>
      <c r="C392" s="3">
        <v>938</v>
      </c>
      <c r="D392" s="36">
        <f t="shared" si="6"/>
        <v>2250</v>
      </c>
      <c r="E392" s="2" t="s">
        <v>248</v>
      </c>
      <c r="F392" s="24" t="s">
        <v>305</v>
      </c>
      <c r="G392" s="34" t="s">
        <v>313</v>
      </c>
      <c r="H392" s="37" t="s">
        <v>381</v>
      </c>
    </row>
    <row r="393" spans="1:8" ht="27" x14ac:dyDescent="0.25">
      <c r="A393" s="4" t="s">
        <v>59</v>
      </c>
      <c r="B393" s="2">
        <v>58</v>
      </c>
      <c r="C393" s="3">
        <v>2159</v>
      </c>
      <c r="D393" s="36">
        <f t="shared" si="6"/>
        <v>2260</v>
      </c>
      <c r="E393" s="2" t="s">
        <v>276</v>
      </c>
      <c r="F393" s="24" t="s">
        <v>306</v>
      </c>
      <c r="G393" s="34" t="s">
        <v>313</v>
      </c>
      <c r="H393" s="37" t="s">
        <v>379</v>
      </c>
    </row>
    <row r="394" spans="1:8" ht="27" x14ac:dyDescent="0.25">
      <c r="A394" s="4" t="s">
        <v>59</v>
      </c>
      <c r="B394" s="2">
        <v>58</v>
      </c>
      <c r="C394" s="3">
        <v>2159</v>
      </c>
      <c r="D394" s="36">
        <f t="shared" si="6"/>
        <v>2261</v>
      </c>
      <c r="E394" s="2" t="s">
        <v>276</v>
      </c>
      <c r="F394" s="24" t="s">
        <v>306</v>
      </c>
      <c r="G394" s="34" t="s">
        <v>313</v>
      </c>
      <c r="H394" s="37" t="s">
        <v>381</v>
      </c>
    </row>
    <row r="395" spans="1:8" ht="27" x14ac:dyDescent="0.25">
      <c r="A395" s="4" t="s">
        <v>48</v>
      </c>
      <c r="B395" s="2">
        <v>453</v>
      </c>
      <c r="C395" s="3">
        <v>453</v>
      </c>
      <c r="D395" s="36">
        <f t="shared" si="6"/>
        <v>2270</v>
      </c>
      <c r="E395" s="2" t="s">
        <v>249</v>
      </c>
      <c r="F395" s="24" t="s">
        <v>303</v>
      </c>
      <c r="G395" s="34" t="s">
        <v>313</v>
      </c>
      <c r="H395" s="37" t="s">
        <v>381</v>
      </c>
    </row>
    <row r="396" spans="1:8" ht="27" x14ac:dyDescent="0.25">
      <c r="A396" s="4" t="s">
        <v>48</v>
      </c>
      <c r="B396" s="2">
        <v>453</v>
      </c>
      <c r="C396" s="3">
        <v>453</v>
      </c>
      <c r="D396" s="36">
        <f t="shared" si="6"/>
        <v>2271</v>
      </c>
      <c r="E396" s="2" t="s">
        <v>249</v>
      </c>
      <c r="F396" s="24" t="s">
        <v>305</v>
      </c>
      <c r="G396" s="34" t="s">
        <v>313</v>
      </c>
      <c r="H396" s="37" t="s">
        <v>381</v>
      </c>
    </row>
    <row r="397" spans="1:8" ht="27" x14ac:dyDescent="0.25">
      <c r="A397" s="4" t="s">
        <v>48</v>
      </c>
      <c r="B397" s="2">
        <v>22</v>
      </c>
      <c r="C397" s="3">
        <v>22</v>
      </c>
      <c r="D397" s="36">
        <f t="shared" si="6"/>
        <v>2280</v>
      </c>
      <c r="E397" s="2" t="s">
        <v>250</v>
      </c>
      <c r="F397" s="24" t="s">
        <v>305</v>
      </c>
      <c r="G397" s="34" t="s">
        <v>313</v>
      </c>
      <c r="H397" s="37" t="s">
        <v>381</v>
      </c>
    </row>
    <row r="398" spans="1:8" ht="27" x14ac:dyDescent="0.25">
      <c r="A398" s="4" t="s">
        <v>56</v>
      </c>
      <c r="B398" s="2">
        <v>902</v>
      </c>
      <c r="C398" s="3">
        <v>2330</v>
      </c>
      <c r="D398" s="36">
        <f t="shared" si="6"/>
        <v>2290</v>
      </c>
      <c r="E398" s="2" t="s">
        <v>251</v>
      </c>
      <c r="F398" s="24" t="s">
        <v>306</v>
      </c>
      <c r="G398" s="34" t="s">
        <v>313</v>
      </c>
      <c r="H398" s="37" t="s">
        <v>379</v>
      </c>
    </row>
    <row r="399" spans="1:8" ht="27" x14ac:dyDescent="0.25">
      <c r="A399" s="4" t="s">
        <v>56</v>
      </c>
      <c r="B399" s="2">
        <v>902</v>
      </c>
      <c r="C399" s="3">
        <v>2330</v>
      </c>
      <c r="D399" s="36">
        <f t="shared" si="6"/>
        <v>2291</v>
      </c>
      <c r="E399" s="2" t="s">
        <v>251</v>
      </c>
      <c r="F399" s="24" t="s">
        <v>306</v>
      </c>
      <c r="G399" s="34" t="s">
        <v>313</v>
      </c>
      <c r="H399" s="37" t="s">
        <v>381</v>
      </c>
    </row>
    <row r="400" spans="1:8" ht="27" x14ac:dyDescent="0.25">
      <c r="A400" s="4" t="s">
        <v>59</v>
      </c>
      <c r="B400" s="2">
        <v>909</v>
      </c>
      <c r="C400" s="3">
        <v>2153</v>
      </c>
      <c r="D400" s="36">
        <f t="shared" si="6"/>
        <v>2300</v>
      </c>
      <c r="E400" s="2" t="s">
        <v>268</v>
      </c>
      <c r="F400" s="24" t="s">
        <v>306</v>
      </c>
      <c r="G400" s="34" t="s">
        <v>313</v>
      </c>
      <c r="H400" s="37" t="s">
        <v>379</v>
      </c>
    </row>
    <row r="401" spans="1:8" ht="27" x14ac:dyDescent="0.25">
      <c r="A401" s="4" t="s">
        <v>59</v>
      </c>
      <c r="B401" s="2">
        <v>909</v>
      </c>
      <c r="C401" s="3">
        <v>2153</v>
      </c>
      <c r="D401" s="36">
        <f t="shared" si="6"/>
        <v>2301</v>
      </c>
      <c r="E401" s="2" t="s">
        <v>268</v>
      </c>
      <c r="F401" s="24" t="s">
        <v>306</v>
      </c>
      <c r="G401" s="34" t="s">
        <v>313</v>
      </c>
      <c r="H401" s="37" t="s">
        <v>381</v>
      </c>
    </row>
    <row r="402" spans="1:8" ht="27" x14ac:dyDescent="0.25">
      <c r="A402" s="4" t="s">
        <v>59</v>
      </c>
      <c r="B402" s="2">
        <v>225</v>
      </c>
      <c r="C402" s="3">
        <v>2158</v>
      </c>
      <c r="D402" s="36">
        <f t="shared" si="6"/>
        <v>2310</v>
      </c>
      <c r="E402" s="2" t="s">
        <v>269</v>
      </c>
      <c r="F402" s="24" t="s">
        <v>306</v>
      </c>
      <c r="G402" s="34" t="s">
        <v>313</v>
      </c>
      <c r="H402" s="37" t="s">
        <v>379</v>
      </c>
    </row>
    <row r="403" spans="1:8" ht="27" x14ac:dyDescent="0.25">
      <c r="A403" s="4" t="s">
        <v>59</v>
      </c>
      <c r="B403" s="2">
        <v>225</v>
      </c>
      <c r="C403" s="3">
        <v>2158</v>
      </c>
      <c r="D403" s="36">
        <f t="shared" si="6"/>
        <v>2311</v>
      </c>
      <c r="E403" s="2" t="s">
        <v>269</v>
      </c>
      <c r="F403" s="24" t="s">
        <v>306</v>
      </c>
      <c r="G403" s="34" t="s">
        <v>313</v>
      </c>
      <c r="H403" s="37" t="s">
        <v>381</v>
      </c>
    </row>
    <row r="404" spans="1:8" ht="27" x14ac:dyDescent="0.25">
      <c r="A404" s="4" t="s">
        <v>54</v>
      </c>
      <c r="B404" s="2">
        <v>225</v>
      </c>
      <c r="C404" s="3">
        <v>225</v>
      </c>
      <c r="D404" s="36">
        <f t="shared" si="6"/>
        <v>2320</v>
      </c>
      <c r="E404" s="2" t="s">
        <v>253</v>
      </c>
      <c r="F404" s="24" t="s">
        <v>307</v>
      </c>
      <c r="G404" s="34" t="s">
        <v>313</v>
      </c>
      <c r="H404" s="37" t="s">
        <v>381</v>
      </c>
    </row>
    <row r="405" spans="1:8" ht="27" x14ac:dyDescent="0.25">
      <c r="A405" s="4" t="s">
        <v>54</v>
      </c>
      <c r="B405" s="2">
        <v>225</v>
      </c>
      <c r="C405" s="3">
        <v>225</v>
      </c>
      <c r="D405" s="36">
        <f t="shared" si="6"/>
        <v>2321</v>
      </c>
      <c r="E405" s="2" t="s">
        <v>253</v>
      </c>
      <c r="F405" s="24" t="s">
        <v>305</v>
      </c>
      <c r="G405" s="34" t="s">
        <v>313</v>
      </c>
      <c r="H405" s="37" t="s">
        <v>381</v>
      </c>
    </row>
    <row r="406" spans="1:8" ht="18" x14ac:dyDescent="0.25">
      <c r="A406" s="4" t="s">
        <v>40</v>
      </c>
      <c r="B406" s="2">
        <v>307</v>
      </c>
      <c r="C406" s="3">
        <v>307</v>
      </c>
      <c r="D406" s="36">
        <f t="shared" si="6"/>
        <v>2330</v>
      </c>
      <c r="E406" s="10" t="s">
        <v>373</v>
      </c>
      <c r="F406" s="24" t="s">
        <v>300</v>
      </c>
      <c r="G406" s="34" t="s">
        <v>313</v>
      </c>
      <c r="H406" s="37" t="s">
        <v>381</v>
      </c>
    </row>
    <row r="407" spans="1:8" ht="18" x14ac:dyDescent="0.25">
      <c r="A407" s="4" t="s">
        <v>12</v>
      </c>
      <c r="B407" s="2">
        <v>2</v>
      </c>
      <c r="C407" s="3">
        <v>2</v>
      </c>
      <c r="D407" s="36">
        <f t="shared" si="6"/>
        <v>2340</v>
      </c>
      <c r="E407" s="2" t="s">
        <v>277</v>
      </c>
      <c r="F407" s="24" t="s">
        <v>302</v>
      </c>
      <c r="G407" s="34" t="s">
        <v>313</v>
      </c>
      <c r="H407" s="37" t="s">
        <v>381</v>
      </c>
    </row>
    <row r="408" spans="1:8" ht="18" x14ac:dyDescent="0.25">
      <c r="A408" s="4" t="s">
        <v>12</v>
      </c>
      <c r="B408" s="2">
        <v>2</v>
      </c>
      <c r="C408" s="3">
        <v>2</v>
      </c>
      <c r="D408" s="36">
        <f t="shared" si="6"/>
        <v>2341</v>
      </c>
      <c r="E408" s="2" t="s">
        <v>368</v>
      </c>
      <c r="F408" s="24" t="s">
        <v>303</v>
      </c>
      <c r="G408" s="34" t="s">
        <v>313</v>
      </c>
      <c r="H408" s="37" t="s">
        <v>381</v>
      </c>
    </row>
    <row r="409" spans="1:8" ht="18" x14ac:dyDescent="0.25">
      <c r="A409" s="4" t="s">
        <v>12</v>
      </c>
      <c r="B409" s="2">
        <v>2</v>
      </c>
      <c r="C409" s="3">
        <v>2</v>
      </c>
      <c r="D409" s="36">
        <f t="shared" si="6"/>
        <v>2342</v>
      </c>
      <c r="E409" s="2" t="s">
        <v>368</v>
      </c>
      <c r="F409" s="24" t="s">
        <v>303</v>
      </c>
      <c r="G409" s="34" t="s">
        <v>314</v>
      </c>
      <c r="H409" s="37" t="s">
        <v>382</v>
      </c>
    </row>
    <row r="410" spans="1:8" ht="18" x14ac:dyDescent="0.25">
      <c r="A410" s="4" t="s">
        <v>30</v>
      </c>
      <c r="B410" s="2">
        <v>978</v>
      </c>
      <c r="C410" s="3">
        <v>978</v>
      </c>
      <c r="D410" s="36">
        <f t="shared" si="6"/>
        <v>2350</v>
      </c>
      <c r="E410" s="2" t="s">
        <v>278</v>
      </c>
      <c r="F410" s="24" t="s">
        <v>308</v>
      </c>
      <c r="G410" s="34" t="s">
        <v>313</v>
      </c>
      <c r="H410" s="37" t="s">
        <v>379</v>
      </c>
    </row>
    <row r="411" spans="1:8" ht="18" x14ac:dyDescent="0.25">
      <c r="A411" s="4" t="s">
        <v>30</v>
      </c>
      <c r="B411" s="2">
        <v>978</v>
      </c>
      <c r="C411" s="3">
        <v>978</v>
      </c>
      <c r="D411" s="36">
        <f t="shared" si="6"/>
        <v>2351</v>
      </c>
      <c r="E411" s="2" t="s">
        <v>278</v>
      </c>
      <c r="F411" s="24" t="s">
        <v>298</v>
      </c>
      <c r="G411" s="34" t="s">
        <v>313</v>
      </c>
      <c r="H411" s="37" t="s">
        <v>381</v>
      </c>
    </row>
    <row r="412" spans="1:8" ht="18" x14ac:dyDescent="0.25">
      <c r="A412" s="4" t="s">
        <v>30</v>
      </c>
      <c r="B412" s="2">
        <v>978</v>
      </c>
      <c r="C412" s="3">
        <v>978</v>
      </c>
      <c r="D412" s="36">
        <f t="shared" si="6"/>
        <v>2352</v>
      </c>
      <c r="E412" s="2" t="s">
        <v>278</v>
      </c>
      <c r="F412" s="24" t="s">
        <v>308</v>
      </c>
      <c r="G412" s="34" t="s">
        <v>313</v>
      </c>
      <c r="H412" s="37" t="s">
        <v>381</v>
      </c>
    </row>
    <row r="413" spans="1:8" ht="18" x14ac:dyDescent="0.25">
      <c r="A413" s="4" t="s">
        <v>30</v>
      </c>
      <c r="B413" s="2">
        <v>978</v>
      </c>
      <c r="C413" s="3">
        <v>978</v>
      </c>
      <c r="D413" s="36">
        <f t="shared" si="6"/>
        <v>2353</v>
      </c>
      <c r="E413" s="2" t="s">
        <v>278</v>
      </c>
      <c r="F413" s="24" t="s">
        <v>308</v>
      </c>
      <c r="G413" s="34" t="s">
        <v>314</v>
      </c>
      <c r="H413" s="37" t="s">
        <v>382</v>
      </c>
    </row>
    <row r="414" spans="1:8" x14ac:dyDescent="0.25">
      <c r="A414" s="4" t="s">
        <v>23</v>
      </c>
      <c r="B414" s="2">
        <v>903</v>
      </c>
      <c r="C414" s="3">
        <v>903</v>
      </c>
      <c r="D414" s="36">
        <f t="shared" si="6"/>
        <v>2360</v>
      </c>
      <c r="E414" s="2" t="s">
        <v>280</v>
      </c>
      <c r="F414" s="24" t="s">
        <v>299</v>
      </c>
      <c r="G414" s="34" t="s">
        <v>313</v>
      </c>
      <c r="H414" s="37" t="s">
        <v>379</v>
      </c>
    </row>
    <row r="415" spans="1:8" ht="18" x14ac:dyDescent="0.25">
      <c r="A415" s="4" t="s">
        <v>23</v>
      </c>
      <c r="B415" s="2">
        <v>903</v>
      </c>
      <c r="C415" s="3">
        <v>903</v>
      </c>
      <c r="D415" s="36">
        <f t="shared" si="6"/>
        <v>2361</v>
      </c>
      <c r="E415" s="2" t="s">
        <v>280</v>
      </c>
      <c r="F415" s="24" t="s">
        <v>298</v>
      </c>
      <c r="G415" s="34" t="s">
        <v>313</v>
      </c>
      <c r="H415" s="37" t="s">
        <v>381</v>
      </c>
    </row>
    <row r="416" spans="1:8" ht="18" x14ac:dyDescent="0.25">
      <c r="A416" s="4" t="s">
        <v>23</v>
      </c>
      <c r="B416" s="2">
        <v>903</v>
      </c>
      <c r="C416" s="3">
        <v>903</v>
      </c>
      <c r="D416" s="36">
        <f t="shared" si="6"/>
        <v>2362</v>
      </c>
      <c r="E416" s="2" t="s">
        <v>280</v>
      </c>
      <c r="F416" s="24" t="s">
        <v>299</v>
      </c>
      <c r="G416" s="34" t="s">
        <v>313</v>
      </c>
      <c r="H416" s="37" t="s">
        <v>381</v>
      </c>
    </row>
    <row r="417" spans="1:8" ht="18" x14ac:dyDescent="0.25">
      <c r="A417" s="4" t="s">
        <v>23</v>
      </c>
      <c r="B417" s="2">
        <v>903</v>
      </c>
      <c r="C417" s="3">
        <v>903</v>
      </c>
      <c r="D417" s="36">
        <f t="shared" si="6"/>
        <v>2363</v>
      </c>
      <c r="E417" s="2" t="s">
        <v>280</v>
      </c>
      <c r="F417" s="24" t="s">
        <v>299</v>
      </c>
      <c r="G417" s="34" t="s">
        <v>314</v>
      </c>
      <c r="H417" s="37" t="s">
        <v>382</v>
      </c>
    </row>
    <row r="418" spans="1:8" ht="18" x14ac:dyDescent="0.25">
      <c r="A418" s="4" t="s">
        <v>14</v>
      </c>
      <c r="B418" s="2">
        <v>578</v>
      </c>
      <c r="C418" s="3">
        <v>578</v>
      </c>
      <c r="D418" s="36">
        <f t="shared" si="6"/>
        <v>2370</v>
      </c>
      <c r="E418" s="2" t="s">
        <v>282</v>
      </c>
      <c r="F418" s="24" t="s">
        <v>303</v>
      </c>
      <c r="G418" s="34" t="s">
        <v>313</v>
      </c>
      <c r="H418" s="37" t="s">
        <v>381</v>
      </c>
    </row>
    <row r="419" spans="1:8" ht="18" x14ac:dyDescent="0.25">
      <c r="A419" s="4" t="s">
        <v>14</v>
      </c>
      <c r="B419" s="2">
        <v>578</v>
      </c>
      <c r="C419" s="3">
        <v>578</v>
      </c>
      <c r="D419" s="36">
        <f t="shared" si="6"/>
        <v>2371</v>
      </c>
      <c r="E419" s="2" t="s">
        <v>282</v>
      </c>
      <c r="F419" s="24" t="s">
        <v>305</v>
      </c>
      <c r="G419" s="34" t="s">
        <v>313</v>
      </c>
      <c r="H419" s="37" t="s">
        <v>381</v>
      </c>
    </row>
    <row r="420" spans="1:8" ht="18" x14ac:dyDescent="0.25">
      <c r="A420" s="4" t="s">
        <v>14</v>
      </c>
      <c r="B420" s="2">
        <v>578</v>
      </c>
      <c r="C420" s="3">
        <v>578</v>
      </c>
      <c r="D420" s="36">
        <f t="shared" si="6"/>
        <v>2372</v>
      </c>
      <c r="E420" s="2" t="s">
        <v>282</v>
      </c>
      <c r="F420" s="24" t="s">
        <v>303</v>
      </c>
      <c r="G420" s="34" t="s">
        <v>314</v>
      </c>
      <c r="H420" s="37" t="s">
        <v>382</v>
      </c>
    </row>
    <row r="421" spans="1:8" ht="18" x14ac:dyDescent="0.25">
      <c r="A421" s="4" t="s">
        <v>40</v>
      </c>
      <c r="B421" s="2">
        <v>575</v>
      </c>
      <c r="C421" s="3">
        <v>575</v>
      </c>
      <c r="D421" s="36">
        <f t="shared" si="6"/>
        <v>2380</v>
      </c>
      <c r="E421" s="2" t="s">
        <v>283</v>
      </c>
      <c r="F421" s="24" t="s">
        <v>303</v>
      </c>
      <c r="G421" s="34" t="s">
        <v>313</v>
      </c>
      <c r="H421" s="37" t="s">
        <v>381</v>
      </c>
    </row>
    <row r="422" spans="1:8" ht="18" x14ac:dyDescent="0.25">
      <c r="A422" s="4" t="s">
        <v>40</v>
      </c>
      <c r="B422" s="2">
        <v>575</v>
      </c>
      <c r="C422" s="3">
        <v>575</v>
      </c>
      <c r="D422" s="36">
        <f t="shared" si="6"/>
        <v>2381</v>
      </c>
      <c r="E422" s="2" t="s">
        <v>283</v>
      </c>
      <c r="F422" s="24" t="s">
        <v>302</v>
      </c>
      <c r="G422" s="34" t="s">
        <v>313</v>
      </c>
      <c r="H422" s="37" t="s">
        <v>381</v>
      </c>
    </row>
    <row r="423" spans="1:8" ht="18" x14ac:dyDescent="0.25">
      <c r="A423" s="4" t="s">
        <v>40</v>
      </c>
      <c r="B423" s="2">
        <v>575</v>
      </c>
      <c r="C423" s="3">
        <v>575</v>
      </c>
      <c r="D423" s="36">
        <f t="shared" si="6"/>
        <v>2382</v>
      </c>
      <c r="E423" s="2" t="s">
        <v>283</v>
      </c>
      <c r="F423" s="24" t="s">
        <v>303</v>
      </c>
      <c r="G423" s="34" t="s">
        <v>314</v>
      </c>
      <c r="H423" s="37" t="s">
        <v>382</v>
      </c>
    </row>
    <row r="424" spans="1:8" ht="18" x14ac:dyDescent="0.25">
      <c r="A424" s="4" t="s">
        <v>30</v>
      </c>
      <c r="B424" s="2">
        <v>330</v>
      </c>
      <c r="C424" s="3">
        <v>330</v>
      </c>
      <c r="D424" s="36">
        <f t="shared" si="6"/>
        <v>2390</v>
      </c>
      <c r="E424" s="2" t="s">
        <v>284</v>
      </c>
      <c r="F424" s="24" t="s">
        <v>299</v>
      </c>
      <c r="G424" s="34" t="s">
        <v>313</v>
      </c>
      <c r="H424" s="37" t="s">
        <v>379</v>
      </c>
    </row>
    <row r="425" spans="1:8" ht="18" x14ac:dyDescent="0.25">
      <c r="A425" s="4" t="s">
        <v>30</v>
      </c>
      <c r="B425" s="2">
        <v>330</v>
      </c>
      <c r="C425" s="3">
        <v>330</v>
      </c>
      <c r="D425" s="36">
        <f t="shared" si="6"/>
        <v>2391</v>
      </c>
      <c r="E425" s="2" t="s">
        <v>284</v>
      </c>
      <c r="F425" s="24" t="s">
        <v>299</v>
      </c>
      <c r="G425" s="34" t="s">
        <v>313</v>
      </c>
      <c r="H425" s="37" t="s">
        <v>381</v>
      </c>
    </row>
    <row r="426" spans="1:8" ht="18" x14ac:dyDescent="0.25">
      <c r="A426" s="4" t="s">
        <v>30</v>
      </c>
      <c r="B426" s="2">
        <v>330</v>
      </c>
      <c r="C426" s="3">
        <v>330</v>
      </c>
      <c r="D426" s="36">
        <f t="shared" si="6"/>
        <v>2392</v>
      </c>
      <c r="E426" s="2" t="s">
        <v>284</v>
      </c>
      <c r="F426" s="24" t="s">
        <v>299</v>
      </c>
      <c r="G426" s="34" t="s">
        <v>314</v>
      </c>
      <c r="H426" s="37" t="s">
        <v>382</v>
      </c>
    </row>
    <row r="427" spans="1:8" ht="18" x14ac:dyDescent="0.25">
      <c r="A427" s="4" t="s">
        <v>4</v>
      </c>
      <c r="B427" s="2">
        <v>1213</v>
      </c>
      <c r="C427" s="3">
        <v>1213</v>
      </c>
      <c r="D427" s="36">
        <f t="shared" si="6"/>
        <v>2400</v>
      </c>
      <c r="E427" s="2" t="s">
        <v>294</v>
      </c>
      <c r="F427" s="24" t="s">
        <v>302</v>
      </c>
      <c r="G427" s="34" t="s">
        <v>313</v>
      </c>
      <c r="H427" s="37" t="s">
        <v>381</v>
      </c>
    </row>
    <row r="428" spans="1:8" ht="18" x14ac:dyDescent="0.25">
      <c r="A428" s="4" t="s">
        <v>4</v>
      </c>
      <c r="B428" s="2">
        <v>1213</v>
      </c>
      <c r="C428" s="3">
        <v>1213</v>
      </c>
      <c r="D428" s="36">
        <f t="shared" si="6"/>
        <v>2401</v>
      </c>
      <c r="E428" s="2" t="s">
        <v>294</v>
      </c>
      <c r="F428" s="24" t="s">
        <v>303</v>
      </c>
      <c r="G428" s="34" t="s">
        <v>314</v>
      </c>
      <c r="H428" s="37" t="s">
        <v>382</v>
      </c>
    </row>
    <row r="429" spans="1:8" ht="18" x14ac:dyDescent="0.25">
      <c r="A429" s="4" t="s">
        <v>4</v>
      </c>
      <c r="B429" s="2">
        <v>779</v>
      </c>
      <c r="C429" s="3">
        <v>779</v>
      </c>
      <c r="D429" s="36">
        <f t="shared" si="6"/>
        <v>2410</v>
      </c>
      <c r="E429" s="2" t="s">
        <v>285</v>
      </c>
      <c r="F429" s="24" t="s">
        <v>303</v>
      </c>
      <c r="G429" s="34" t="s">
        <v>313</v>
      </c>
      <c r="H429" s="37" t="s">
        <v>381</v>
      </c>
    </row>
    <row r="430" spans="1:8" ht="18" x14ac:dyDescent="0.25">
      <c r="A430" s="4" t="s">
        <v>4</v>
      </c>
      <c r="B430" s="2">
        <v>779</v>
      </c>
      <c r="C430" s="3">
        <v>779</v>
      </c>
      <c r="D430" s="36">
        <f t="shared" si="6"/>
        <v>2411</v>
      </c>
      <c r="E430" s="2" t="s">
        <v>285</v>
      </c>
      <c r="F430" s="24" t="s">
        <v>302</v>
      </c>
      <c r="G430" s="34" t="s">
        <v>313</v>
      </c>
      <c r="H430" s="37" t="s">
        <v>381</v>
      </c>
    </row>
    <row r="431" spans="1:8" x14ac:dyDescent="0.25">
      <c r="A431" s="4" t="s">
        <v>62</v>
      </c>
      <c r="B431" s="2">
        <v>298</v>
      </c>
      <c r="C431" s="3">
        <v>2035</v>
      </c>
      <c r="D431" s="36">
        <f t="shared" si="6"/>
        <v>2420</v>
      </c>
      <c r="E431" s="2" t="s">
        <v>292</v>
      </c>
      <c r="F431" s="24" t="s">
        <v>300</v>
      </c>
      <c r="G431" s="34" t="s">
        <v>313</v>
      </c>
      <c r="H431" s="37" t="s">
        <v>379</v>
      </c>
    </row>
    <row r="432" spans="1:8" ht="27" x14ac:dyDescent="0.25">
      <c r="A432" s="4" t="s">
        <v>63</v>
      </c>
      <c r="B432" s="2">
        <v>13</v>
      </c>
      <c r="C432" s="3">
        <v>2106</v>
      </c>
      <c r="D432" s="36">
        <f t="shared" si="6"/>
        <v>2430</v>
      </c>
      <c r="E432" s="2" t="s">
        <v>295</v>
      </c>
      <c r="F432" s="24" t="s">
        <v>300</v>
      </c>
      <c r="G432" s="34" t="s">
        <v>313</v>
      </c>
      <c r="H432" s="37" t="s">
        <v>379</v>
      </c>
    </row>
    <row r="433" spans="1:8" ht="18" x14ac:dyDescent="0.25">
      <c r="A433" s="4" t="s">
        <v>60</v>
      </c>
      <c r="B433" s="2">
        <v>13</v>
      </c>
      <c r="C433" s="3">
        <v>13</v>
      </c>
      <c r="D433" s="36">
        <f t="shared" si="6"/>
        <v>2440</v>
      </c>
      <c r="E433" s="2" t="s">
        <v>370</v>
      </c>
      <c r="F433" s="24" t="s">
        <v>300</v>
      </c>
      <c r="G433" s="34" t="s">
        <v>313</v>
      </c>
      <c r="H433" s="37" t="s">
        <v>381</v>
      </c>
    </row>
    <row r="434" spans="1:8" ht="18" x14ac:dyDescent="0.25">
      <c r="A434" s="4" t="s">
        <v>4</v>
      </c>
      <c r="B434" s="2">
        <v>71</v>
      </c>
      <c r="C434" s="3">
        <v>71</v>
      </c>
      <c r="D434" s="36">
        <f t="shared" si="6"/>
        <v>2450</v>
      </c>
      <c r="E434" s="2" t="s">
        <v>287</v>
      </c>
      <c r="F434" s="24" t="s">
        <v>303</v>
      </c>
      <c r="G434" s="34" t="s">
        <v>314</v>
      </c>
      <c r="H434" s="37" t="s">
        <v>382</v>
      </c>
    </row>
    <row r="435" spans="1:8" ht="18" x14ac:dyDescent="0.25">
      <c r="A435" s="4" t="s">
        <v>19</v>
      </c>
      <c r="B435" s="2">
        <v>640</v>
      </c>
      <c r="C435" s="3">
        <v>640</v>
      </c>
      <c r="D435" s="36">
        <f t="shared" si="6"/>
        <v>2460</v>
      </c>
      <c r="E435" s="10" t="s">
        <v>375</v>
      </c>
      <c r="F435" s="24" t="s">
        <v>308</v>
      </c>
      <c r="G435" s="34" t="s">
        <v>313</v>
      </c>
      <c r="H435" s="37" t="s">
        <v>381</v>
      </c>
    </row>
    <row r="436" spans="1:8" ht="18" x14ac:dyDescent="0.25">
      <c r="A436" s="4" t="s">
        <v>60</v>
      </c>
      <c r="B436" s="2">
        <v>910</v>
      </c>
      <c r="C436" s="3">
        <v>910</v>
      </c>
      <c r="D436" s="36">
        <f t="shared" si="6"/>
        <v>2470</v>
      </c>
      <c r="E436" s="2" t="s">
        <v>290</v>
      </c>
      <c r="F436" s="24" t="s">
        <v>303</v>
      </c>
      <c r="G436" s="34" t="s">
        <v>313</v>
      </c>
      <c r="H436" s="37" t="s">
        <v>381</v>
      </c>
    </row>
    <row r="437" spans="1:8" ht="18" x14ac:dyDescent="0.25">
      <c r="A437" s="4" t="s">
        <v>60</v>
      </c>
      <c r="B437" s="2">
        <v>910</v>
      </c>
      <c r="C437" s="3">
        <v>910</v>
      </c>
      <c r="D437" s="36">
        <f t="shared" si="6"/>
        <v>2471</v>
      </c>
      <c r="E437" s="2" t="s">
        <v>290</v>
      </c>
      <c r="F437" s="24" t="s">
        <v>303</v>
      </c>
      <c r="G437" s="34" t="s">
        <v>314</v>
      </c>
      <c r="H437" s="37" t="s">
        <v>382</v>
      </c>
    </row>
    <row r="438" spans="1:8" ht="18" x14ac:dyDescent="0.25">
      <c r="A438" s="4" t="s">
        <v>61</v>
      </c>
      <c r="B438" s="2">
        <v>323</v>
      </c>
      <c r="C438" s="3">
        <v>323</v>
      </c>
      <c r="D438" s="36">
        <f t="shared" si="6"/>
        <v>2480</v>
      </c>
      <c r="E438" s="2" t="s">
        <v>291</v>
      </c>
      <c r="F438" s="24" t="s">
        <v>303</v>
      </c>
      <c r="G438" s="34" t="s">
        <v>314</v>
      </c>
      <c r="H438" s="37" t="s">
        <v>382</v>
      </c>
    </row>
  </sheetData>
  <autoFilter ref="A1:H1">
    <sortState ref="A2:H438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exporfile</vt:lpstr>
      <vt:lpstr>с реализ. окт+код пр-ва</vt:lpstr>
      <vt:lpstr>Справочник склад арт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Agro-7</dc:creator>
  <cp:lastModifiedBy>Anton Dovganin</cp:lastModifiedBy>
  <dcterms:created xsi:type="dcterms:W3CDTF">2018-07-31T08:43:14Z</dcterms:created>
  <dcterms:modified xsi:type="dcterms:W3CDTF">2018-11-16T12:25:07Z</dcterms:modified>
</cp:coreProperties>
</file>