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local\Desktop\"/>
    </mc:Choice>
  </mc:AlternateContent>
  <bookViews>
    <workbookView xWindow="-120" yWindow="-120" windowWidth="20730" windowHeight="11160" tabRatio="963" activeTab="3"/>
  </bookViews>
  <sheets>
    <sheet name="Saudação" sheetId="15" r:id="rId1"/>
    <sheet name="Calc-Benefícios" sheetId="10" r:id="rId2"/>
    <sheet name="Duplicatas0" sheetId="12" state="hidden" r:id="rId3"/>
    <sheet name="Duplicatas" sheetId="13" r:id="rId4"/>
    <sheet name="Campeonato" sheetId="16" r:id="rId5"/>
    <sheet name="Bonus" sheetId="17" r:id="rId6"/>
  </sheets>
  <definedNames>
    <definedName name="a" localSheetId="3" hidden="1">{"azul",#N/A,FALSE,"geral";"verde",#N/A,FALSE,"geral";"vermelho",#N/A,FALSE,"geral"}</definedName>
    <definedName name="a" localSheetId="2" hidden="1">{"azul",#N/A,FALSE,"geral";"verde",#N/A,FALSE,"geral";"vermelho",#N/A,FALSE,"geral"}</definedName>
    <definedName name="a" hidden="1">{"azul",#N/A,FALSE,"geral";"verde",#N/A,FALSE,"geral";"vermelho",#N/A,FALSE,"geral"}</definedName>
    <definedName name="anscount" hidden="1">5</definedName>
    <definedName name="b" localSheetId="3" hidden="1">{"azul",#N/A,FALSE,"geral";"verde",#N/A,FALSE,"geral";"vermelho",#N/A,FALSE,"geral"}</definedName>
    <definedName name="b" localSheetId="2" hidden="1">{"azul",#N/A,FALSE,"geral";"verde",#N/A,FALSE,"geral";"vermelho",#N/A,FALSE,"geral"}</definedName>
    <definedName name="b" hidden="1">{"azul",#N/A,FALSE,"geral";"verde",#N/A,FALSE,"geral";"vermelho",#N/A,FALSE,"geral"}</definedName>
    <definedName name="ba" localSheetId="2" hidden="1">{"azul",#N/A,FALSE,"geral";"verde",#N/A,FALSE,"geral";"vermelho",#N/A,FALSE,"geral"}</definedName>
    <definedName name="ba" hidden="1">{"azul",#N/A,FALSE,"geral";"verde",#N/A,FALSE,"geral";"vermelho",#N/A,FALSE,"geral"}</definedName>
    <definedName name="conf" localSheetId="3" hidden="1">{"azul",#N/A,FALSE,"geral";"verde",#N/A,FALSE,"geral";"vermelho",#N/A,FALSE,"geral"}</definedName>
    <definedName name="conf" localSheetId="2" hidden="1">{"azul",#N/A,FALSE,"geral";"verde",#N/A,FALSE,"geral";"vermelho",#N/A,FALSE,"geral"}</definedName>
    <definedName name="conf" hidden="1">{"azul",#N/A,FALSE,"geral";"verde",#N/A,FALSE,"geral";"vermelho",#N/A,FALSE,"geral"}</definedName>
    <definedName name="conf1" localSheetId="2" hidden="1">{"azul",#N/A,FALSE,"geral";"verde",#N/A,FALSE,"geral";"vermelho",#N/A,FALSE,"geral"}</definedName>
    <definedName name="conf1" hidden="1">{"azul",#N/A,FALSE,"geral";"verde",#N/A,FALSE,"geral";"vermelho",#N/A,FALSE,"geral"}</definedName>
    <definedName name="d" localSheetId="3" hidden="1">{"azul",#N/A,FALSE,"geral";"verde",#N/A,FALSE,"geral";"vermelho",#N/A,FALSE,"geral"}</definedName>
    <definedName name="d" localSheetId="2" hidden="1">{"azul",#N/A,FALSE,"geral";"verde",#N/A,FALSE,"geral";"vermelho",#N/A,FALSE,"geral"}</definedName>
    <definedName name="d" hidden="1">{"azul",#N/A,FALSE,"geral";"verde",#N/A,FALSE,"geral";"vermelho",#N/A,FALSE,"geral"}</definedName>
    <definedName name="da" localSheetId="2" hidden="1">{"azul",#N/A,FALSE,"geral";"verde",#N/A,FALSE,"geral";"vermelho",#N/A,FALSE,"geral"}</definedName>
    <definedName name="da" hidden="1">{"azul",#N/A,FALSE,"geral";"verde",#N/A,FALSE,"geral";"vermelho",#N/A,FALSE,"geral"}</definedName>
    <definedName name="DFDFD" hidden="1">{#N/A,"Médio",TRUE,"Plan30";"3º Trimestre Geral",#N/A,TRUE,"1º Trimestre"}</definedName>
    <definedName name="e" localSheetId="3" hidden="1">{"azul",#N/A,FALSE,"geral";"verde",#N/A,FALSE,"geral";"vermelho",#N/A,FALSE,"geral"}</definedName>
    <definedName name="e" localSheetId="2" hidden="1">{"azul",#N/A,FALSE,"geral";"verde",#N/A,FALSE,"geral";"vermelho",#N/A,FALSE,"geral"}</definedName>
    <definedName name="e" hidden="1">{"azul",#N/A,FALSE,"geral";"verde",#N/A,FALSE,"geral";"vermelho",#N/A,FALSE,"geral"}</definedName>
    <definedName name="ea" localSheetId="2" hidden="1">{"azul",#N/A,FALSE,"geral";"verde",#N/A,FALSE,"geral";"vermelho",#N/A,FALSE,"geral"}</definedName>
    <definedName name="ea" hidden="1">{"azul",#N/A,FALSE,"geral";"verde",#N/A,FALSE,"geral";"vermelho",#N/A,FALSE,"geral"}</definedName>
    <definedName name="EXER" hidden="1">{"azul",#N/A,FALSE,"geral";"verde",#N/A,FALSE,"geral";"vermelho",#N/A,FALSE,"geral"}</definedName>
    <definedName name="exercicio2" localSheetId="2" hidden="1">{"azul",#N/A,FALSE,"geral";"verde",#N/A,FALSE,"geral";"vermelho",#N/A,FALSE,"geral"}</definedName>
    <definedName name="exercicio2" hidden="1">{"azul",#N/A,FALSE,"geral";"verde",#N/A,FALSE,"geral";"vermelho",#N/A,FALSE,"geral"}</definedName>
    <definedName name="g" localSheetId="3" hidden="1">{"normal","argentina",FALSE,"cenários e solver";#N/A,#N/A,FALSE,"banco de dados"}</definedName>
    <definedName name="g" localSheetId="2" hidden="1">{"normal","argentina",FALSE,"cenários e solver";#N/A,#N/A,FALSE,"banco de dados"}</definedName>
    <definedName name="g" hidden="1">{"normal","argentina",FALSE,"cenários e solver";#N/A,#N/A,FALSE,"banco de dados"}</definedName>
    <definedName name="limcount" hidden="1">1</definedName>
    <definedName name="Resumo" localSheetId="3" hidden="1">{"azul",#N/A,FALSE,"geral";"verde",#N/A,FALSE,"geral";"vermelho",#N/A,FALSE,"geral"}</definedName>
    <definedName name="Resumo" localSheetId="2" hidden="1">{"azul",#N/A,FALSE,"geral";"verde",#N/A,FALSE,"geral";"vermelho",#N/A,FALSE,"geral"}</definedName>
    <definedName name="Resumo" hidden="1">{"azul",#N/A,FALSE,"geral";"verde",#N/A,FALSE,"geral";"vermelho",#N/A,FALSE,"geral"}</definedName>
    <definedName name="resumoa" localSheetId="2" hidden="1">{"azul",#N/A,FALSE,"geral";"verde",#N/A,FALSE,"geral";"vermelho",#N/A,FALSE,"geral"}</definedName>
    <definedName name="resumoa" hidden="1">{"azul",#N/A,FALSE,"geral";"verde",#N/A,FALSE,"geral";"vermelho",#N/A,FALSE,"geral"}</definedName>
    <definedName name="sencount" hidden="1">1</definedName>
    <definedName name="solver_lhs0" localSheetId="2" hidden="1">#REF!</definedName>
    <definedName name="solver_lhs0" hidden="1">#REF!</definedName>
    <definedName name="solver_lhs10" localSheetId="2" hidden="1">#REF!</definedName>
    <definedName name="solver_lhs10" hidden="1">#REF!</definedName>
    <definedName name="solver_lhs11" localSheetId="2" hidden="1">#REF!</definedName>
    <definedName name="solver_lhs11" hidden="1">#REF!</definedName>
    <definedName name="solver_lhs12" localSheetId="2" hidden="1">#REF!</definedName>
    <definedName name="solver_lhs12" hidden="1">#REF!</definedName>
    <definedName name="solver_lhs7" localSheetId="2" hidden="1">#REF!</definedName>
    <definedName name="solver_lhs7" hidden="1">#REF!</definedName>
    <definedName name="solver_lhs8" localSheetId="2" hidden="1">#REF!</definedName>
    <definedName name="solver_lhs8" hidden="1">#REF!</definedName>
    <definedName name="solver_lhs9" localSheetId="2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localSheetId="2" hidden="1">#REF!</definedName>
    <definedName name="solver_rhs10" hidden="1">#REF!</definedName>
    <definedName name="solver_rhs11" localSheetId="3" hidden="1">número</definedName>
    <definedName name="solver_rhs11" localSheetId="2" hidden="1">número</definedName>
    <definedName name="solver_rhs11" hidden="1">número</definedName>
    <definedName name="solver_rhs12" localSheetId="3" hidden="1">número</definedName>
    <definedName name="solver_rhs12" localSheetId="2" hidden="1">número</definedName>
    <definedName name="solver_rhs12" hidden="1">número</definedName>
    <definedName name="solver_rhs7" localSheetId="2" hidden="1">#REF!</definedName>
    <definedName name="solver_rhs7" hidden="1">#REF!</definedName>
    <definedName name="solver_rhs8" localSheetId="2" hidden="1">#REF!</definedName>
    <definedName name="solver_rhs8" hidden="1">#REF!</definedName>
    <definedName name="solver_rhs9" localSheetId="2" hidden="1">#REF!</definedName>
    <definedName name="solver_rhs9" hidden="1">#REF!</definedName>
    <definedName name="solver_tmp" hidden="1">0</definedName>
    <definedName name="teste" localSheetId="3" hidden="1">{"normal","argentina",FALSE,"cenários e solver";#N/A,#N/A,FALSE,"banco de dados"}</definedName>
    <definedName name="teste" localSheetId="2" hidden="1">{"normal","argentina",FALSE,"cenários e solver";#N/A,#N/A,FALSE,"banco de dados"}</definedName>
    <definedName name="teste" hidden="1">{"normal","argentina",FALSE,"cenários e solver";#N/A,#N/A,FALSE,"banco de dados"}</definedName>
    <definedName name="v" localSheetId="3" hidden="1">{"normal","argentina",FALSE,"cenários e solver";#N/A,#N/A,FALSE,"banco de dados"}</definedName>
    <definedName name="v" localSheetId="2" hidden="1">{"normal","argentina",FALSE,"cenários e solver";#N/A,#N/A,FALSE,"banco de dados"}</definedName>
    <definedName name="v" hidden="1">{"normal","argentina",FALSE,"cenários e solver";#N/A,#N/A,FALSE,"banco de dados"}</definedName>
    <definedName name="vandasa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localSheetId="2" hidden="1">{#N/A,"Médio",TRUE,"Plan30";"3º Trimestre Geral",#N/A,TRUE,"1º Trimestre"}</definedName>
    <definedName name="wrn.Alfa." hidden="1">{#N/A,"Médio",TRUE,"Plan30";"3º Trimestre Geral",#N/A,TRUE,"1º Trimestre"}</definedName>
    <definedName name="wrn.aula." localSheetId="3" hidden="1">{"azul",#N/A,FALSE,"geral";"verde",#N/A,FALSE,"geral";"vermelho",#N/A,FALSE,"geral"}</definedName>
    <definedName name="wrn.aula." localSheetId="2" hidden="1">{"azul",#N/A,FALSE,"geral";"verde",#N/A,FALSE,"geral";"vermelho",#N/A,FALSE,"geral"}</definedName>
    <definedName name="wrn.aula." hidden="1">{"azul",#N/A,FALSE,"geral";"verde",#N/A,FALSE,"geral";"vermelho",#N/A,FALSE,"geral"}</definedName>
    <definedName name="wrn.aulaa" localSheetId="2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Bom." hidden="1">{#N/A,"Bom",FALSE,"Cenario 34"}</definedName>
    <definedName name="wrn.Colar._.Especial." hidden="1">{#N/A,#N/A,FALSE,"Colar especial 11"}</definedName>
    <definedName name="wrn.fluxo._.de._.caixa." localSheetId="2" hidden="1">{"normal","argentina",FALSE,"cenários e solver";#N/A,#N/A,FALSE,"banco de dados"}</definedName>
    <definedName name="wrn.fluxo._.de._.caixa." hidden="1">{"normal","argentina",FALSE,"cenários e solver";#N/A,#N/A,FALSE,"banco de dados"}</definedName>
    <definedName name="wrn.Mensal." localSheetId="2" hidden="1">{"Integral",#N/A,FALSE,"Plan1"}</definedName>
    <definedName name="wrn.Mensal." hidden="1">{"Integral",#N/A,FALSE,"Plan1"}</definedName>
    <definedName name="wrn.Minas._.Gerais." hidden="1">{"Minas Gerais",#N/A,FALSE,"Exibição 41"}</definedName>
    <definedName name="wrn.Relat." localSheetId="3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localSheetId="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Mensal." localSheetId="2" hidden="1">{"Modo1","Otimista",FALSE,"Orçamento Pessoal"}</definedName>
    <definedName name="wrn.Relatório._.Mensal." hidden="1">{"Modo1","Otimista",FALSE,"Orçamento Pessoal"}</definedName>
    <definedName name="wrn.Ruim." hidden="1">{#N/A,"Ruim",FALSE,"Cenario 34"}</definedName>
    <definedName name="wrn.Santa._.Catarina." hidden="1">{"Santa Catarina",#N/A,FALSE,"Exibição 41"}</definedName>
    <definedName name="yu" localSheetId="3" hidden="1">{"normal","argentina",FALSE,"cenários e solver";#N/A,#N/A,FALSE,"banco de dados"}</definedName>
    <definedName name="yu" localSheetId="2" hidden="1">{"normal","argentina",FALSE,"cenários e solver";#N/A,#N/A,FALSE,"banco de dados"}</definedName>
    <definedName name="yu" hidden="1">{"normal","argentina",FALSE,"cenários e solver";#N/A,#N/A,FALSE,"banco de dados"}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3" l="1"/>
  <c r="H7" i="13"/>
  <c r="G10" i="13"/>
  <c r="G7" i="13"/>
  <c r="F7" i="13"/>
  <c r="F10" i="13"/>
  <c r="H9" i="16"/>
  <c r="H8" i="16"/>
  <c r="H7" i="16"/>
  <c r="H6" i="16"/>
  <c r="H5" i="16"/>
  <c r="D6" i="13"/>
  <c r="D7" i="13"/>
  <c r="D8" i="13"/>
  <c r="D9" i="13"/>
  <c r="D10" i="13"/>
  <c r="D5" i="13"/>
  <c r="J6" i="10"/>
  <c r="J7" i="10"/>
  <c r="J8" i="10"/>
  <c r="J9" i="10"/>
  <c r="J10" i="10"/>
  <c r="J11" i="10"/>
  <c r="J12" i="10"/>
  <c r="J5" i="10"/>
  <c r="I12" i="10"/>
  <c r="I8" i="10"/>
  <c r="I9" i="10"/>
  <c r="I7" i="10"/>
  <c r="I6" i="10"/>
  <c r="I10" i="10"/>
  <c r="I11" i="10"/>
  <c r="I5" i="10"/>
  <c r="F5" i="10"/>
  <c r="H6" i="10"/>
  <c r="H7" i="10"/>
  <c r="H8" i="10"/>
  <c r="H9" i="10"/>
  <c r="H10" i="10"/>
  <c r="H11" i="10"/>
  <c r="H12" i="10"/>
  <c r="H5" i="10"/>
  <c r="G6" i="10"/>
  <c r="G7" i="10"/>
  <c r="G8" i="10"/>
  <c r="G9" i="10"/>
  <c r="G10" i="10"/>
  <c r="G11" i="10"/>
  <c r="G12" i="10"/>
  <c r="G5" i="10"/>
  <c r="F6" i="10"/>
  <c r="F7" i="10"/>
  <c r="F8" i="10"/>
  <c r="F9" i="10"/>
  <c r="F10" i="10"/>
  <c r="F11" i="10"/>
  <c r="F12" i="10"/>
  <c r="E6" i="10"/>
  <c r="E7" i="10"/>
  <c r="E8" i="10"/>
  <c r="E9" i="10"/>
  <c r="E10" i="10"/>
  <c r="E11" i="10"/>
  <c r="E12" i="10"/>
  <c r="E5" i="10"/>
  <c r="D6" i="10"/>
  <c r="D7" i="10"/>
  <c r="D8" i="10"/>
  <c r="D9" i="10"/>
  <c r="D10" i="10"/>
  <c r="D11" i="10"/>
  <c r="D12" i="10"/>
  <c r="D5" i="10"/>
  <c r="E5" i="12" l="1"/>
  <c r="E4" i="12"/>
  <c r="B1" i="15" l="1"/>
  <c r="C6" i="15" s="1"/>
  <c r="D86" i="13" l="1"/>
  <c r="F86" i="13" s="1"/>
  <c r="G86" i="13" s="1"/>
  <c r="H86" i="13" s="1"/>
  <c r="D85" i="13"/>
  <c r="F85" i="13" s="1"/>
  <c r="G85" i="13" s="1"/>
  <c r="H85" i="13" s="1"/>
  <c r="D84" i="13"/>
  <c r="F84" i="13" s="1"/>
  <c r="G84" i="13" s="1"/>
  <c r="H84" i="13" s="1"/>
  <c r="D83" i="13"/>
  <c r="E83" i="13" s="1"/>
  <c r="D82" i="13"/>
  <c r="F82" i="13" s="1"/>
  <c r="G82" i="13" s="1"/>
  <c r="H82" i="13" s="1"/>
  <c r="D81" i="13"/>
  <c r="F81" i="13" s="1"/>
  <c r="G81" i="13" s="1"/>
  <c r="H81" i="13" s="1"/>
  <c r="F83" i="13" l="1"/>
  <c r="G83" i="13" s="1"/>
  <c r="H83" i="13" s="1"/>
  <c r="E84" i="13"/>
  <c r="E85" i="13"/>
  <c r="E81" i="13"/>
  <c r="E82" i="13"/>
  <c r="E86" i="13"/>
  <c r="E73" i="12" l="1"/>
  <c r="E71" i="12"/>
  <c r="E70" i="12"/>
  <c r="B66" i="12"/>
  <c r="B73" i="12" s="1"/>
  <c r="B3" i="12"/>
  <c r="B8" i="12" s="1"/>
  <c r="I8" i="12" s="1"/>
  <c r="B69" i="12" l="1"/>
  <c r="E69" i="12" s="1"/>
  <c r="B71" i="12"/>
  <c r="B68" i="12"/>
  <c r="E68" i="12" s="1"/>
  <c r="B70" i="12"/>
  <c r="B72" i="12"/>
  <c r="E72" i="12" s="1"/>
  <c r="B67" i="12"/>
  <c r="E67" i="12" s="1"/>
  <c r="B6" i="12"/>
  <c r="B10" i="12"/>
  <c r="I10" i="12" s="1"/>
  <c r="B7" i="12"/>
  <c r="I7" i="12" s="1"/>
  <c r="B9" i="12"/>
  <c r="I3" i="12"/>
  <c r="B5" i="12"/>
  <c r="B4" i="12"/>
  <c r="I9" i="12" l="1"/>
  <c r="I4" i="12"/>
  <c r="I5" i="12"/>
  <c r="I6" i="12"/>
  <c r="H44" i="10"/>
  <c r="G44" i="10"/>
  <c r="F44" i="10"/>
  <c r="E44" i="10"/>
  <c r="D44" i="10"/>
  <c r="H43" i="10"/>
  <c r="G43" i="10"/>
  <c r="F43" i="10"/>
  <c r="E43" i="10"/>
  <c r="D43" i="10"/>
  <c r="H42" i="10"/>
  <c r="G42" i="10"/>
  <c r="F42" i="10"/>
  <c r="E42" i="10"/>
  <c r="D42" i="10"/>
  <c r="H41" i="10"/>
  <c r="G41" i="10"/>
  <c r="F41" i="10"/>
  <c r="E41" i="10"/>
  <c r="D41" i="10"/>
  <c r="H40" i="10"/>
  <c r="G40" i="10"/>
  <c r="F40" i="10"/>
  <c r="E40" i="10"/>
  <c r="D40" i="10"/>
  <c r="H39" i="10"/>
  <c r="G39" i="10"/>
  <c r="F39" i="10"/>
  <c r="E39" i="10"/>
  <c r="D39" i="10"/>
  <c r="H38" i="10"/>
  <c r="G38" i="10"/>
  <c r="F38" i="10"/>
  <c r="E38" i="10"/>
  <c r="D38" i="10"/>
  <c r="H37" i="10"/>
  <c r="G37" i="10"/>
  <c r="F37" i="10"/>
  <c r="E37" i="10"/>
  <c r="D37" i="10"/>
  <c r="I38" i="10" l="1"/>
  <c r="J38" i="10" s="1"/>
  <c r="I39" i="10"/>
  <c r="J39" i="10" s="1"/>
  <c r="I42" i="10"/>
  <c r="J42" i="10" s="1"/>
  <c r="I43" i="10"/>
  <c r="J43" i="10" s="1"/>
  <c r="I40" i="10"/>
  <c r="J40" i="10" s="1"/>
  <c r="I44" i="10"/>
  <c r="J44" i="10" s="1"/>
  <c r="I37" i="10"/>
  <c r="J37" i="10" s="1"/>
  <c r="I41" i="10"/>
  <c r="J41" i="10" s="1"/>
</calcChain>
</file>

<file path=xl/sharedStrings.xml><?xml version="1.0" encoding="utf-8"?>
<sst xmlns="http://schemas.openxmlformats.org/spreadsheetml/2006/main" count="152" uniqueCount="90">
  <si>
    <t>VALOR</t>
  </si>
  <si>
    <t>Valor</t>
  </si>
  <si>
    <t>Não</t>
  </si>
  <si>
    <t>Sim</t>
  </si>
  <si>
    <t>Pagamento Benefícios dos Funcionários</t>
  </si>
  <si>
    <t>BENEFÍCIOS</t>
  </si>
  <si>
    <t>Funcionário</t>
  </si>
  <si>
    <t>Salário Bruto</t>
  </si>
  <si>
    <t>Dependentes</t>
  </si>
  <si>
    <t>Ticket Alimentação</t>
  </si>
  <si>
    <t>Assistência Médica</t>
  </si>
  <si>
    <t>Vale Transporte</t>
  </si>
  <si>
    <t>Ticket Restaurante</t>
  </si>
  <si>
    <t>Salário Família</t>
  </si>
  <si>
    <t>Total de Benefícios</t>
  </si>
  <si>
    <t>Salário Bruto + Benefícios</t>
  </si>
  <si>
    <t>José da Silva</t>
  </si>
  <si>
    <t>Antonio Pereira</t>
  </si>
  <si>
    <t>Maria das Graças</t>
  </si>
  <si>
    <t>Alessandra da Silva</t>
  </si>
  <si>
    <t>João de Paula</t>
  </si>
  <si>
    <t>Amélia de Oliveira</t>
  </si>
  <si>
    <t>Joana Lima</t>
  </si>
  <si>
    <t>Bernardete Soares</t>
  </si>
  <si>
    <t>Ticket Alimentação:</t>
  </si>
  <si>
    <t>Se Salário Bruto &lt;1.500 o valor do Ticket será de R$200, caso contrário, R$300</t>
  </si>
  <si>
    <t>Assistência Médica:</t>
  </si>
  <si>
    <t>Se Salário Bruto &gt;=2.000, o valor da Assistência é de R$ 15,00 por Dependentes, caso contrário não haverá Assistência</t>
  </si>
  <si>
    <t>Vale Transporte:</t>
  </si>
  <si>
    <t>6% do Salário Bruto</t>
  </si>
  <si>
    <t>Ticket Restaurante:</t>
  </si>
  <si>
    <t>Se o Salário Bruto for menor que 2.500 o valor do Ticket será de R$600, caso contrário R$400</t>
  </si>
  <si>
    <t>Salário Família:</t>
  </si>
  <si>
    <t>R$ 5,00 por Dependentes,</t>
  </si>
  <si>
    <t>Resposta:</t>
  </si>
  <si>
    <t>Duplicatas</t>
  </si>
  <si>
    <t>Número</t>
  </si>
  <si>
    <t>Dt. Vencimento</t>
  </si>
  <si>
    <t>Pago</t>
  </si>
  <si>
    <t>Vlr Corrigido</t>
  </si>
  <si>
    <t xml:space="preserve"> </t>
  </si>
  <si>
    <t>DATA BASE:</t>
  </si>
  <si>
    <t>EMISSÃO</t>
  </si>
  <si>
    <t>VENCIMENTO</t>
  </si>
  <si>
    <t>SITUAÇÃO</t>
  </si>
  <si>
    <t>ATRASO (DIAS)</t>
  </si>
  <si>
    <t>MULTA</t>
  </si>
  <si>
    <t>TOTAL</t>
  </si>
  <si>
    <t>Se VALOR for maior igual a 1600, o VENCIMENTO será a EMISSÃO acrescida de</t>
  </si>
  <si>
    <t>30 (dias), senão, será EMISSÃO acrescida de 15 (dias)</t>
  </si>
  <si>
    <r>
      <t xml:space="preserve">caso contrário, a mensagem </t>
    </r>
    <r>
      <rPr>
        <b/>
        <sz val="10"/>
        <rFont val="Arial"/>
        <family val="2"/>
      </rPr>
      <t>VENCIDA</t>
    </r>
  </si>
  <si>
    <t>Se DATA BASE for maior que VENCIMENTO, calcula-se DATA BASE - VENCIMENTO</t>
  </si>
  <si>
    <t>caso contrário não se calcula nada</t>
  </si>
  <si>
    <t>Se ATRASO (DIAS) for maior que zero, será calculado o valor a ser pago com multa,</t>
  </si>
  <si>
    <t>da seguinte maneira: ATRASO (DIAS) * 0,2% * VALOR.</t>
  </si>
  <si>
    <t>Caso contrário não se calcula nada</t>
  </si>
  <si>
    <t>VALOR + MULTA</t>
  </si>
  <si>
    <t xml:space="preserve"> Para as duplicatas pagas colocar zero em valor corrigido. Comparar a data de Vencimento com a data atual. Caso a Duplicata esteja Vencida e não esteja Paga, calcular o novo valor com 10% de multa. Para as duplicatas não pagas e não vencidas, manter o valor original.</t>
  </si>
  <si>
    <r>
      <t xml:space="preserve">Se VENCIMENTO for maior ou igual que DATA BASE, deve aparecer a mensagem </t>
    </r>
    <r>
      <rPr>
        <b/>
        <sz val="10"/>
        <rFont val="Arial"/>
        <family val="2"/>
      </rPr>
      <t>OK</t>
    </r>
    <r>
      <rPr>
        <sz val="10"/>
        <rFont val="Arial"/>
        <family val="2"/>
      </rPr>
      <t>,</t>
    </r>
  </si>
  <si>
    <t>Campeões Estaduais</t>
  </si>
  <si>
    <t>Time 1</t>
  </si>
  <si>
    <t>Placar</t>
  </si>
  <si>
    <t>Time 2</t>
  </si>
  <si>
    <t>Campeão</t>
  </si>
  <si>
    <t>Internacional</t>
  </si>
  <si>
    <t>X</t>
  </si>
  <si>
    <t>Grêmio</t>
  </si>
  <si>
    <t>Cruzeiro</t>
  </si>
  <si>
    <t>Atlético-MG</t>
  </si>
  <si>
    <t>Coritiba</t>
  </si>
  <si>
    <t>Atlético-PR</t>
  </si>
  <si>
    <t>Bahia</t>
  </si>
  <si>
    <t>Vitória</t>
  </si>
  <si>
    <t>Flamengo</t>
  </si>
  <si>
    <t>Vasco</t>
  </si>
  <si>
    <t>Utilizando as planilhas acima, queremos que seja exibido como campeão a equipe que tiver maior números de gols que seu adversário.</t>
  </si>
  <si>
    <t>Vendedor</t>
  </si>
  <si>
    <t>Cargo</t>
  </si>
  <si>
    <t>% Bonus</t>
  </si>
  <si>
    <t>Renata Targino</t>
  </si>
  <si>
    <t>Julyana Freitas</t>
  </si>
  <si>
    <t>Giulia Volpato</t>
  </si>
  <si>
    <t>Kleber Souza</t>
  </si>
  <si>
    <t>Thalita Medeiros</t>
  </si>
  <si>
    <t>Celso Santos</t>
  </si>
  <si>
    <t>Luis Volpi</t>
  </si>
  <si>
    <t>Gerente</t>
  </si>
  <si>
    <t>Analista</t>
  </si>
  <si>
    <t xml:space="preserve">Gerente 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</si>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</sst>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&quot;R$&quot;\ * #,##0.00_-;\-&quot;R$&quot;\ * #,##0.00_-;_-&quot;R$&quot;\ * &quot;-&quot;??_-;_-@_-"/>
    <numFmt numFmtId="165" formatCode="_(&quot;R$ &quot;* #,##0.00_);_(&quot;R$ &quot;* \(#,##0.00\);_(&quot;R$ &quot;* &quot;-&quot;??_);_(@_)"/>
    <numFmt numFmtId="166" formatCode="_(* #,##0.00_);_(* \(#,##0.00\);_(* &quot;-&quot;??_);_(@_)"/>
    <numFmt numFmtId="167" formatCode="_(* #,##0.0_);_(* \(#,##0.0\);_(* &quot;-&quot;??_);_(@_)"/>
    <numFmt numFmtId="168" formatCode="0000"/>
    <numFmt numFmtId="169" formatCode="&quot;$&quot;#,##0;[Red]\-&quot;$&quot;#,##0"/>
    <numFmt numFmtId="170" formatCode="&quot;$&quot;#,##0.00_);[Red]\(&quot;$&quot;#,##0.00\)"/>
    <numFmt numFmtId="171" formatCode="_([$€-2]* #,##0.00_);_([$€-2]* \(#,##0.00\);_([$€-2]* &quot;-&quot;??_)"/>
    <numFmt numFmtId="172" formatCode="[$-F400]h:mm:ss\ AM/PM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6"/>
      <name val="Wide Latin"/>
      <family val="1"/>
    </font>
    <font>
      <sz val="8"/>
      <name val="Helv"/>
    </font>
    <font>
      <b/>
      <sz val="10"/>
      <name val="MS Sans Serif"/>
      <family val="2"/>
    </font>
    <font>
      <b/>
      <sz val="10"/>
      <color indexed="12"/>
      <name val="Arial"/>
      <family val="2"/>
    </font>
    <font>
      <b/>
      <sz val="22"/>
      <name val="Arial"/>
      <family val="2"/>
    </font>
    <font>
      <sz val="10"/>
      <name val="Arial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7">
    <xf numFmtId="0" fontId="0" fillId="0" borderId="0"/>
    <xf numFmtId="166" fontId="6" fillId="0" borderId="0" applyFont="0" applyFill="0" applyBorder="0" applyAlignment="0" applyProtection="0"/>
    <xf numFmtId="0" fontId="6" fillId="0" borderId="0"/>
    <xf numFmtId="164" fontId="8" fillId="0" borderId="0" applyFont="0" applyFill="0" applyBorder="0" applyAlignment="0" applyProtection="0"/>
    <xf numFmtId="0" fontId="5" fillId="0" borderId="0"/>
    <xf numFmtId="167" fontId="6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3" fillId="0" borderId="0"/>
    <xf numFmtId="165" fontId="6" fillId="0" borderId="0" applyFont="0" applyFill="0" applyBorder="0" applyAlignment="0" applyProtection="0"/>
    <xf numFmtId="0" fontId="14" fillId="3" borderId="24">
      <alignment horizontal="left"/>
    </xf>
    <xf numFmtId="38" fontId="6" fillId="0" borderId="0" applyFont="0" applyFill="0" applyBorder="0" applyAlignment="0" applyProtection="0"/>
    <xf numFmtId="4" fontId="15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15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9" fillId="0" borderId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6" fillId="0" borderId="0"/>
    <xf numFmtId="0" fontId="1" fillId="0" borderId="0"/>
    <xf numFmtId="165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1" xfId="0" applyBorder="1"/>
    <xf numFmtId="0" fontId="6" fillId="0" borderId="0" xfId="0" applyFont="1"/>
    <xf numFmtId="0" fontId="6" fillId="0" borderId="0" xfId="2"/>
    <xf numFmtId="0" fontId="4" fillId="0" borderId="0" xfId="7"/>
    <xf numFmtId="0" fontId="12" fillId="0" borderId="0" xfId="7" applyFont="1"/>
    <xf numFmtId="0" fontId="11" fillId="0" borderId="1" xfId="7" applyFont="1" applyBorder="1" applyAlignment="1">
      <alignment horizontal="center" vertical="center" wrapText="1"/>
    </xf>
    <xf numFmtId="0" fontId="4" fillId="0" borderId="1" xfId="7" applyBorder="1"/>
    <xf numFmtId="166" fontId="0" fillId="0" borderId="1" xfId="8" applyFont="1" applyBorder="1"/>
    <xf numFmtId="0" fontId="4" fillId="0" borderId="1" xfId="7" applyBorder="1" applyAlignment="1">
      <alignment horizontal="center"/>
    </xf>
    <xf numFmtId="4" fontId="4" fillId="0" borderId="1" xfId="7" applyNumberFormat="1" applyBorder="1"/>
    <xf numFmtId="0" fontId="11" fillId="0" borderId="0" xfId="7" applyFont="1"/>
    <xf numFmtId="0" fontId="13" fillId="5" borderId="13" xfId="2" applyFont="1" applyFill="1" applyBorder="1" applyAlignment="1">
      <alignment horizontal="center" vertical="center"/>
    </xf>
    <xf numFmtId="0" fontId="13" fillId="5" borderId="14" xfId="2" applyFont="1" applyFill="1" applyBorder="1" applyAlignment="1">
      <alignment horizontal="center" vertical="center"/>
    </xf>
    <xf numFmtId="0" fontId="13" fillId="5" borderId="15" xfId="2" applyFont="1" applyFill="1" applyBorder="1" applyAlignment="1">
      <alignment horizontal="center" vertical="center"/>
    </xf>
    <xf numFmtId="0" fontId="13" fillId="5" borderId="4" xfId="2" applyFont="1" applyFill="1" applyBorder="1" applyAlignment="1">
      <alignment horizontal="center" vertical="center"/>
    </xf>
    <xf numFmtId="0" fontId="13" fillId="5" borderId="5" xfId="2" applyFont="1" applyFill="1" applyBorder="1" applyAlignment="1">
      <alignment horizontal="center" vertical="center"/>
    </xf>
    <xf numFmtId="168" fontId="7" fillId="4" borderId="7" xfId="2" applyNumberFormat="1" applyFont="1" applyFill="1" applyBorder="1" applyAlignment="1">
      <alignment horizontal="center"/>
    </xf>
    <xf numFmtId="14" fontId="6" fillId="0" borderId="1" xfId="2" applyNumberFormat="1" applyBorder="1" applyProtection="1">
      <protection hidden="1"/>
    </xf>
    <xf numFmtId="165" fontId="0" fillId="0" borderId="8" xfId="10" applyFont="1" applyBorder="1"/>
    <xf numFmtId="0" fontId="6" fillId="0" borderId="8" xfId="2" applyBorder="1" applyAlignment="1">
      <alignment horizontal="center"/>
    </xf>
    <xf numFmtId="165" fontId="0" fillId="0" borderId="9" xfId="10" applyFont="1" applyBorder="1" applyProtection="1">
      <protection locked="0"/>
    </xf>
    <xf numFmtId="168" fontId="7" fillId="4" borderId="10" xfId="2" applyNumberFormat="1" applyFont="1" applyFill="1" applyBorder="1" applyAlignment="1">
      <alignment horizontal="center"/>
    </xf>
    <xf numFmtId="165" fontId="0" fillId="0" borderId="1" xfId="10" applyFont="1" applyBorder="1"/>
    <xf numFmtId="0" fontId="6" fillId="0" borderId="1" xfId="2" applyBorder="1" applyAlignment="1">
      <alignment horizontal="center"/>
    </xf>
    <xf numFmtId="168" fontId="7" fillId="4" borderId="11" xfId="2" applyNumberFormat="1" applyFont="1" applyFill="1" applyBorder="1" applyAlignment="1">
      <alignment horizontal="center"/>
    </xf>
    <xf numFmtId="14" fontId="6" fillId="0" borderId="12" xfId="2" applyNumberFormat="1" applyBorder="1" applyProtection="1">
      <protection hidden="1"/>
    </xf>
    <xf numFmtId="165" fontId="0" fillId="0" borderId="12" xfId="10" applyFont="1" applyBorder="1"/>
    <xf numFmtId="0" fontId="6" fillId="0" borderId="12" xfId="2" applyBorder="1" applyAlignment="1">
      <alignment horizontal="center"/>
    </xf>
    <xf numFmtId="20" fontId="6" fillId="0" borderId="0" xfId="2" applyNumberFormat="1"/>
    <xf numFmtId="0" fontId="7" fillId="0" borderId="0" xfId="0" applyFont="1"/>
    <xf numFmtId="14" fontId="17" fillId="2" borderId="2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4" fontId="0" fillId="0" borderId="1" xfId="0" applyNumberFormat="1" applyBorder="1"/>
    <xf numFmtId="166" fontId="6" fillId="0" borderId="1" xfId="1" applyBorder="1"/>
    <xf numFmtId="166" fontId="0" fillId="0" borderId="1" xfId="0" applyNumberFormat="1" applyBorder="1"/>
    <xf numFmtId="172" fontId="10" fillId="6" borderId="0" xfId="0" applyNumberFormat="1" applyFont="1" applyFill="1"/>
    <xf numFmtId="0" fontId="7" fillId="0" borderId="0" xfId="0" applyFont="1" applyAlignment="1">
      <alignment horizontal="center"/>
    </xf>
    <xf numFmtId="164" fontId="6" fillId="0" borderId="1" xfId="3" applyFont="1" applyBorder="1"/>
    <xf numFmtId="164" fontId="0" fillId="0" borderId="1" xfId="3" applyFont="1" applyBorder="1"/>
    <xf numFmtId="14" fontId="0" fillId="0" borderId="0" xfId="0" applyNumberFormat="1"/>
    <xf numFmtId="164" fontId="6" fillId="0" borderId="0" xfId="3" applyFont="1" applyFill="1" applyBorder="1"/>
    <xf numFmtId="164" fontId="0" fillId="0" borderId="0" xfId="3" applyFont="1" applyFill="1" applyBorder="1"/>
    <xf numFmtId="0" fontId="0" fillId="8" borderId="0" xfId="0" applyFill="1"/>
    <xf numFmtId="0" fontId="11" fillId="9" borderId="2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0" fontId="11" fillId="9" borderId="25" xfId="0" applyFont="1" applyFill="1" applyBorder="1"/>
    <xf numFmtId="0" fontId="0" fillId="9" borderId="16" xfId="0" applyFill="1" applyBorder="1" applyAlignment="1">
      <alignment horizontal="left"/>
    </xf>
    <xf numFmtId="0" fontId="0" fillId="10" borderId="16" xfId="0" applyFill="1" applyBorder="1" applyAlignment="1">
      <alignment horizontal="center"/>
    </xf>
    <xf numFmtId="0" fontId="11" fillId="9" borderId="26" xfId="0" applyFont="1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9" borderId="18" xfId="0" applyFill="1" applyBorder="1" applyAlignment="1">
      <alignment horizontal="right"/>
    </xf>
    <xf numFmtId="0" fontId="20" fillId="10" borderId="26" xfId="0" applyFont="1" applyFill="1" applyBorder="1" applyAlignment="1">
      <alignment horizontal="center"/>
    </xf>
    <xf numFmtId="0" fontId="0" fillId="9" borderId="19" xfId="0" applyFill="1" applyBorder="1" applyAlignment="1">
      <alignment horizontal="left"/>
    </xf>
    <xf numFmtId="0" fontId="0" fillId="10" borderId="19" xfId="0" applyFill="1" applyBorder="1" applyAlignment="1">
      <alignment horizontal="center"/>
    </xf>
    <xf numFmtId="0" fontId="11" fillId="9" borderId="27" xfId="0" applyFont="1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9" borderId="20" xfId="0" applyFill="1" applyBorder="1" applyAlignment="1">
      <alignment horizontal="right"/>
    </xf>
    <xf numFmtId="0" fontId="0" fillId="9" borderId="21" xfId="0" applyFill="1" applyBorder="1" applyAlignment="1">
      <alignment horizontal="left"/>
    </xf>
    <xf numFmtId="0" fontId="0" fillId="10" borderId="21" xfId="0" applyFill="1" applyBorder="1" applyAlignment="1">
      <alignment horizontal="center"/>
    </xf>
    <xf numFmtId="0" fontId="11" fillId="9" borderId="28" xfId="0" applyFont="1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9" borderId="23" xfId="0" applyFill="1" applyBorder="1" applyAlignment="1">
      <alignment horizontal="right"/>
    </xf>
    <xf numFmtId="0" fontId="11" fillId="8" borderId="0" xfId="0" applyFont="1" applyFill="1"/>
    <xf numFmtId="165" fontId="0" fillId="0" borderId="9" xfId="10" applyFont="1" applyBorder="1" applyProtection="1"/>
    <xf numFmtId="0" fontId="22" fillId="0" borderId="1" xfId="0" applyFont="1" applyBorder="1" applyAlignment="1">
      <alignment horizontal="center"/>
    </xf>
    <xf numFmtId="0" fontId="22" fillId="11" borderId="1" xfId="0" applyFont="1" applyFill="1" applyBorder="1" applyAlignment="1">
      <alignment horizontal="center"/>
    </xf>
    <xf numFmtId="0" fontId="6" fillId="0" borderId="1" xfId="0" applyFont="1" applyBorder="1"/>
    <xf numFmtId="9" fontId="0" fillId="0" borderId="1" xfId="0" applyNumberFormat="1" applyBorder="1"/>
    <xf numFmtId="0" fontId="18" fillId="6" borderId="1" xfId="0" applyFont="1" applyFill="1" applyBorder="1" applyAlignment="1">
      <alignment horizontal="center" vertical="center"/>
    </xf>
    <xf numFmtId="0" fontId="11" fillId="0" borderId="0" xfId="7" applyFont="1" applyAlignment="1">
      <alignment horizontal="center"/>
    </xf>
    <xf numFmtId="0" fontId="12" fillId="7" borderId="1" xfId="7" applyFont="1" applyFill="1" applyBorder="1" applyAlignment="1">
      <alignment horizontal="center"/>
    </xf>
    <xf numFmtId="0" fontId="7" fillId="4" borderId="2" xfId="2" applyFont="1" applyFill="1" applyBorder="1" applyAlignment="1">
      <alignment horizontal="center"/>
    </xf>
    <xf numFmtId="0" fontId="7" fillId="4" borderId="6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/>
    </xf>
    <xf numFmtId="0" fontId="13" fillId="5" borderId="16" xfId="2" applyFont="1" applyFill="1" applyBorder="1" applyAlignment="1">
      <alignment horizontal="center" vertical="center" wrapText="1"/>
    </xf>
    <xf numFmtId="0" fontId="13" fillId="5" borderId="17" xfId="2" applyFont="1" applyFill="1" applyBorder="1" applyAlignment="1">
      <alignment horizontal="center" vertical="center" wrapText="1"/>
    </xf>
    <xf numFmtId="0" fontId="13" fillId="5" borderId="18" xfId="2" applyFont="1" applyFill="1" applyBorder="1" applyAlignment="1">
      <alignment horizontal="center" vertical="center" wrapText="1"/>
    </xf>
    <xf numFmtId="0" fontId="13" fillId="5" borderId="19" xfId="2" applyFont="1" applyFill="1" applyBorder="1" applyAlignment="1">
      <alignment horizontal="center" vertical="center" wrapText="1"/>
    </xf>
    <xf numFmtId="0" fontId="13" fillId="5" borderId="0" xfId="2" applyFont="1" applyFill="1" applyAlignment="1">
      <alignment horizontal="center" vertical="center" wrapText="1"/>
    </xf>
    <xf numFmtId="0" fontId="13" fillId="5" borderId="20" xfId="2" applyFont="1" applyFill="1" applyBorder="1" applyAlignment="1">
      <alignment horizontal="center" vertical="center" wrapText="1"/>
    </xf>
    <xf numFmtId="0" fontId="13" fillId="5" borderId="21" xfId="2" applyFont="1" applyFill="1" applyBorder="1" applyAlignment="1">
      <alignment horizontal="center" vertical="center" wrapText="1"/>
    </xf>
    <xf numFmtId="0" fontId="13" fillId="5" borderId="22" xfId="2" applyFont="1" applyFill="1" applyBorder="1" applyAlignment="1">
      <alignment horizontal="center" vertical="center" wrapText="1"/>
    </xf>
    <xf numFmtId="0" fontId="13" fillId="5" borderId="23" xfId="2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0" fontId="21" fillId="10" borderId="16" xfId="0" applyFont="1" applyFill="1" applyBorder="1" applyAlignment="1">
      <alignment horizontal="center" vertical="center" wrapText="1"/>
    </xf>
    <xf numFmtId="0" fontId="21" fillId="10" borderId="17" xfId="0" applyFont="1" applyFill="1" applyBorder="1" applyAlignment="1">
      <alignment horizontal="center" vertical="center" wrapText="1"/>
    </xf>
    <xf numFmtId="0" fontId="21" fillId="10" borderId="18" xfId="0" applyFont="1" applyFill="1" applyBorder="1" applyAlignment="1">
      <alignment horizontal="center" vertical="center" wrapText="1"/>
    </xf>
    <xf numFmtId="0" fontId="21" fillId="10" borderId="19" xfId="0" applyFont="1" applyFill="1" applyBorder="1" applyAlignment="1">
      <alignment horizontal="center" vertical="center" wrapText="1"/>
    </xf>
    <xf numFmtId="0" fontId="21" fillId="10" borderId="0" xfId="0" applyFont="1" applyFill="1" applyAlignment="1">
      <alignment horizontal="center" vertical="center" wrapText="1"/>
    </xf>
    <xf numFmtId="0" fontId="21" fillId="10" borderId="20" xfId="0" applyFont="1" applyFill="1" applyBorder="1" applyAlignment="1">
      <alignment horizontal="center" vertical="center" wrapText="1"/>
    </xf>
    <xf numFmtId="0" fontId="21" fillId="10" borderId="21" xfId="0" applyFont="1" applyFill="1" applyBorder="1" applyAlignment="1">
      <alignment horizontal="center" vertical="center" wrapText="1"/>
    </xf>
    <xf numFmtId="0" fontId="21" fillId="10" borderId="22" xfId="0" applyFont="1" applyFill="1" applyBorder="1" applyAlignment="1">
      <alignment horizontal="center" vertical="center" wrapText="1"/>
    </xf>
    <xf numFmtId="0" fontId="21" fillId="10" borderId="23" xfId="0" applyFont="1" applyFill="1" applyBorder="1" applyAlignment="1">
      <alignment horizontal="center" vertical="center" wrapText="1"/>
    </xf>
    <xf numFmtId="164" fontId="4" fillId="0" borderId="1" xfId="3" applyFont="1" applyBorder="1"/>
    <xf numFmtId="164" fontId="4" fillId="0" borderId="1" xfId="3" applyFon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9" fontId="2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7">
    <cellStyle name="beterraba" xfId="11"/>
    <cellStyle name="Comma [0]" xfId="12"/>
    <cellStyle name="Comma_SOLVER1" xfId="13"/>
    <cellStyle name="Currency [0]" xfId="14"/>
    <cellStyle name="Currency_SOLVER1" xfId="15"/>
    <cellStyle name="Euro" xfId="16"/>
    <cellStyle name="Heading" xfId="17"/>
    <cellStyle name="Moeda" xfId="3" builtinId="4"/>
    <cellStyle name="Moeda 2" xfId="10"/>
    <cellStyle name="Moeda 2 2" xfId="20"/>
    <cellStyle name="Moeda 3" xfId="6"/>
    <cellStyle name="Moeda 4" xfId="22"/>
    <cellStyle name="Moeda 5" xfId="23"/>
    <cellStyle name="Moeda 6" xfId="26"/>
    <cellStyle name="Normal" xfId="0" builtinId="0"/>
    <cellStyle name="Normal 2" xfId="2"/>
    <cellStyle name="Normal 2 2" xfId="24"/>
    <cellStyle name="Normal 3" xfId="4"/>
    <cellStyle name="Normal 3 2" xfId="21"/>
    <cellStyle name="Normal 4" xfId="7"/>
    <cellStyle name="Normal 5" xfId="9"/>
    <cellStyle name="Normal 6" xfId="25"/>
    <cellStyle name="Porcentagem 2" xfId="19"/>
    <cellStyle name="Separador de milhares 2" xfId="5"/>
    <cellStyle name="Separador de milhares 2 2" xfId="18"/>
    <cellStyle name="Vírgula" xfId="1" builtinId="3"/>
    <cellStyle name="Vírgula 2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323007</xdr:colOff>
      <xdr:row>0</xdr:row>
      <xdr:rowOff>0</xdr:rowOff>
    </xdr:from>
    <xdr:to>
      <xdr:col>12</xdr:col>
      <xdr:colOff>182202</xdr:colOff>
      <xdr:row>10</xdr:row>
      <xdr:rowOff>11732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955181" y="0"/>
          <a:ext cx="4928151" cy="1693102"/>
          <a:chOff x="6535234" y="12846325"/>
          <a:chExt cx="5665047" cy="1693103"/>
        </a:xfrm>
      </xdr:grpSpPr>
      <xdr:pic>
        <xdr:nvPicPr>
          <xdr:cNvPr id="3" name="Imagem 2" descr="imagem.bmp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6535234" y="12846325"/>
            <a:ext cx="1184413" cy="1693103"/>
          </a:xfrm>
          <a:prstGeom prst="rect">
            <a:avLst/>
          </a:prstGeom>
        </xdr:spPr>
      </xdr:pic>
      <xdr:pic>
        <xdr:nvPicPr>
          <xdr:cNvPr id="4" name="Imagem 3" descr="Cópia de imagem.bmp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7719391" y="12846326"/>
            <a:ext cx="4479234" cy="356151"/>
          </a:xfrm>
          <a:prstGeom prst="rect">
            <a:avLst/>
          </a:prstGeom>
        </xdr:spPr>
      </xdr:pic>
      <xdr:pic>
        <xdr:nvPicPr>
          <xdr:cNvPr id="5" name="Imagem 4" descr="Cópia de Cópia de imagem.bmp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8862390" y="13202479"/>
            <a:ext cx="3337891" cy="132521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G15" sqref="G15"/>
    </sheetView>
  </sheetViews>
  <sheetFormatPr defaultRowHeight="12.75" x14ac:dyDescent="0.2"/>
  <cols>
    <col min="2" max="2" width="10.7109375" bestFit="1" customWidth="1"/>
    <col min="3" max="3" width="10.140625" bestFit="1" customWidth="1"/>
  </cols>
  <sheetData>
    <row r="1" spans="2:9" ht="15.75" x14ac:dyDescent="0.25">
      <c r="B1" s="36">
        <f ca="1">NOW()</f>
        <v>45379.910630671293</v>
      </c>
    </row>
    <row r="2" spans="2:9" x14ac:dyDescent="0.2">
      <c r="B2" s="2"/>
    </row>
    <row r="6" spans="2:9" x14ac:dyDescent="0.2">
      <c r="C6" s="69" t="str">
        <f ca="1">IF(HOUR(B1)&gt;=18,"Boa Noite!",IF(HOUR(B1)&gt;=12,"Boa Tarde!","Bom Dia!"))</f>
        <v>Boa Noite!</v>
      </c>
      <c r="D6" s="69"/>
      <c r="E6" s="69"/>
      <c r="F6" s="69"/>
      <c r="G6" s="69"/>
      <c r="H6" s="69"/>
      <c r="I6" s="69"/>
    </row>
    <row r="7" spans="2:9" x14ac:dyDescent="0.2">
      <c r="C7" s="69"/>
      <c r="D7" s="69"/>
      <c r="E7" s="69"/>
      <c r="F7" s="69"/>
      <c r="G7" s="69"/>
      <c r="H7" s="69"/>
      <c r="I7" s="69"/>
    </row>
    <row r="8" spans="2:9" x14ac:dyDescent="0.2">
      <c r="C8" s="69"/>
      <c r="D8" s="69"/>
      <c r="E8" s="69"/>
      <c r="F8" s="69"/>
      <c r="G8" s="69"/>
      <c r="H8" s="69"/>
      <c r="I8" s="69"/>
    </row>
    <row r="10" spans="2:9" x14ac:dyDescent="0.2">
      <c r="G10" t="s">
        <v>89</v>
      </c>
    </row>
  </sheetData>
  <mergeCells count="1">
    <mergeCell ref="C6:I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zoomScale="110" zoomScaleNormal="110" workbookViewId="0">
      <selection activeCell="K7" sqref="K7"/>
    </sheetView>
  </sheetViews>
  <sheetFormatPr defaultColWidth="9.140625" defaultRowHeight="15" x14ac:dyDescent="0.25"/>
  <cols>
    <col min="1" max="1" width="18.7109375" style="4" bestFit="1" customWidth="1"/>
    <col min="2" max="2" width="11.7109375" style="4" customWidth="1"/>
    <col min="3" max="3" width="13.140625" style="4" bestFit="1" customWidth="1"/>
    <col min="4" max="4" width="12.140625" style="4" bestFit="1" customWidth="1"/>
    <col min="5" max="5" width="14.7109375" style="4" customWidth="1"/>
    <col min="6" max="6" width="10.5703125" style="4" bestFit="1" customWidth="1"/>
    <col min="7" max="7" width="11.7109375" style="4" bestFit="1" customWidth="1"/>
    <col min="8" max="8" width="9.5703125" style="4" bestFit="1" customWidth="1"/>
    <col min="9" max="9" width="13.140625" style="4" customWidth="1"/>
    <col min="10" max="10" width="12.28515625" style="4" bestFit="1" customWidth="1"/>
    <col min="11" max="16384" width="9.140625" style="4"/>
  </cols>
  <sheetData>
    <row r="1" spans="1:10" x14ac:dyDescent="0.25">
      <c r="A1" s="70" t="s">
        <v>4</v>
      </c>
      <c r="B1" s="70"/>
      <c r="C1" s="70"/>
      <c r="D1" s="70"/>
      <c r="E1" s="70"/>
      <c r="F1" s="70"/>
      <c r="G1" s="70"/>
      <c r="H1" s="70"/>
      <c r="I1" s="70"/>
      <c r="J1" s="70"/>
    </row>
    <row r="3" spans="1:10" x14ac:dyDescent="0.25">
      <c r="D3" s="71" t="s">
        <v>5</v>
      </c>
      <c r="E3" s="71"/>
      <c r="F3" s="71"/>
      <c r="G3" s="71"/>
      <c r="H3" s="71"/>
      <c r="I3" s="5"/>
    </row>
    <row r="4" spans="1:10" ht="35.25" customHeight="1" x14ac:dyDescent="0.25">
      <c r="A4" s="6" t="s">
        <v>6</v>
      </c>
      <c r="B4" s="6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</row>
    <row r="5" spans="1:10" x14ac:dyDescent="0.25">
      <c r="A5" s="7" t="s">
        <v>16</v>
      </c>
      <c r="B5" s="8">
        <v>2000</v>
      </c>
      <c r="C5" s="9">
        <v>1</v>
      </c>
      <c r="D5" s="97" t="str">
        <f>IF(B5&lt;1500,"R$200,00","R$300,00")</f>
        <v>R$300,00</v>
      </c>
      <c r="E5" s="97" t="str">
        <f>IF(B5&gt;=2000,"R$15,00","Sem Assistência")</f>
        <v>R$15,00</v>
      </c>
      <c r="F5" s="96">
        <f>B5/100*6</f>
        <v>120</v>
      </c>
      <c r="G5" s="97" t="str">
        <f>IF(B5&lt;2500,"R$600,00","R$400,00")</f>
        <v>R$600,00</v>
      </c>
      <c r="H5" s="96">
        <f>C5*5</f>
        <v>5</v>
      </c>
      <c r="I5" s="96">
        <f>SUM(D5+E5+F5+G5+H5)</f>
        <v>1040</v>
      </c>
      <c r="J5" s="96">
        <f>B5+I5</f>
        <v>3040</v>
      </c>
    </row>
    <row r="6" spans="1:10" x14ac:dyDescent="0.25">
      <c r="A6" s="7" t="s">
        <v>17</v>
      </c>
      <c r="B6" s="8">
        <v>3000</v>
      </c>
      <c r="C6" s="9">
        <v>3</v>
      </c>
      <c r="D6" s="97" t="str">
        <f t="shared" ref="D6:D12" si="0">IF(B6&lt;1500,"R$200,00","R$300,00")</f>
        <v>R$300,00</v>
      </c>
      <c r="E6" s="97" t="str">
        <f t="shared" ref="E6:E12" si="1">IF(B6&gt;=2000,"R$15,00","Sem Assistência")</f>
        <v>R$15,00</v>
      </c>
      <c r="F6" s="96">
        <f t="shared" ref="F6:F12" si="2">B6/100*6</f>
        <v>180</v>
      </c>
      <c r="G6" s="97" t="str">
        <f t="shared" ref="G6:G12" si="3">IF(B6&lt;2500,"R$600,00","R$400,00")</f>
        <v>R$400,00</v>
      </c>
      <c r="H6" s="96">
        <f t="shared" ref="H6:H12" si="4">C6*5</f>
        <v>15</v>
      </c>
      <c r="I6" s="96">
        <f t="shared" ref="I6:I12" si="5">SUM(D6+E6+F6+G6+H6)</f>
        <v>910</v>
      </c>
      <c r="J6" s="96">
        <f t="shared" ref="J6:J12" si="6">B6+I6</f>
        <v>3910</v>
      </c>
    </row>
    <row r="7" spans="1:10" x14ac:dyDescent="0.25">
      <c r="A7" s="7" t="s">
        <v>18</v>
      </c>
      <c r="B7" s="8">
        <v>1000</v>
      </c>
      <c r="C7" s="9">
        <v>4</v>
      </c>
      <c r="D7" s="97" t="str">
        <f t="shared" si="0"/>
        <v>R$200,00</v>
      </c>
      <c r="E7" s="97" t="str">
        <f t="shared" si="1"/>
        <v>Sem Assistência</v>
      </c>
      <c r="F7" s="96">
        <f t="shared" si="2"/>
        <v>60</v>
      </c>
      <c r="G7" s="97" t="str">
        <f t="shared" si="3"/>
        <v>R$600,00</v>
      </c>
      <c r="H7" s="96">
        <f t="shared" si="4"/>
        <v>20</v>
      </c>
      <c r="I7" s="96">
        <f>SUM(D7+F7+G7+H7)</f>
        <v>880</v>
      </c>
      <c r="J7" s="96">
        <f t="shared" si="6"/>
        <v>1880</v>
      </c>
    </row>
    <row r="8" spans="1:10" x14ac:dyDescent="0.25">
      <c r="A8" s="7" t="s">
        <v>19</v>
      </c>
      <c r="B8" s="8">
        <v>1540</v>
      </c>
      <c r="C8" s="9">
        <v>5</v>
      </c>
      <c r="D8" s="97" t="str">
        <f t="shared" si="0"/>
        <v>R$300,00</v>
      </c>
      <c r="E8" s="97" t="str">
        <f t="shared" si="1"/>
        <v>Sem Assistência</v>
      </c>
      <c r="F8" s="96">
        <f t="shared" si="2"/>
        <v>92.4</v>
      </c>
      <c r="G8" s="97" t="str">
        <f t="shared" si="3"/>
        <v>R$600,00</v>
      </c>
      <c r="H8" s="96">
        <f t="shared" si="4"/>
        <v>25</v>
      </c>
      <c r="I8" s="96">
        <f t="shared" ref="I8:I9" si="7">SUM(D8+F8+G8+H8)</f>
        <v>1017.4</v>
      </c>
      <c r="J8" s="96">
        <f t="shared" si="6"/>
        <v>2557.4</v>
      </c>
    </row>
    <row r="9" spans="1:10" x14ac:dyDescent="0.25">
      <c r="A9" s="7" t="s">
        <v>20</v>
      </c>
      <c r="B9" s="8">
        <v>1123</v>
      </c>
      <c r="C9" s="9">
        <v>2</v>
      </c>
      <c r="D9" s="97" t="str">
        <f t="shared" si="0"/>
        <v>R$200,00</v>
      </c>
      <c r="E9" s="97" t="str">
        <f t="shared" si="1"/>
        <v>Sem Assistência</v>
      </c>
      <c r="F9" s="96">
        <f t="shared" si="2"/>
        <v>67.38</v>
      </c>
      <c r="G9" s="97" t="str">
        <f t="shared" si="3"/>
        <v>R$600,00</v>
      </c>
      <c r="H9" s="96">
        <f t="shared" si="4"/>
        <v>10</v>
      </c>
      <c r="I9" s="96">
        <f t="shared" si="7"/>
        <v>877.38</v>
      </c>
      <c r="J9" s="96">
        <f t="shared" si="6"/>
        <v>2000.38</v>
      </c>
    </row>
    <row r="10" spans="1:10" x14ac:dyDescent="0.25">
      <c r="A10" s="7" t="s">
        <v>21</v>
      </c>
      <c r="B10" s="8">
        <v>4783</v>
      </c>
      <c r="C10" s="9">
        <v>0</v>
      </c>
      <c r="D10" s="97" t="str">
        <f t="shared" si="0"/>
        <v>R$300,00</v>
      </c>
      <c r="E10" s="97" t="str">
        <f t="shared" si="1"/>
        <v>R$15,00</v>
      </c>
      <c r="F10" s="96">
        <f t="shared" si="2"/>
        <v>286.98</v>
      </c>
      <c r="G10" s="97" t="str">
        <f t="shared" si="3"/>
        <v>R$400,00</v>
      </c>
      <c r="H10" s="96">
        <f t="shared" si="4"/>
        <v>0</v>
      </c>
      <c r="I10" s="96">
        <f t="shared" si="5"/>
        <v>1001.98</v>
      </c>
      <c r="J10" s="96">
        <f t="shared" si="6"/>
        <v>5784.98</v>
      </c>
    </row>
    <row r="11" spans="1:10" x14ac:dyDescent="0.25">
      <c r="A11" s="7" t="s">
        <v>22</v>
      </c>
      <c r="B11" s="8">
        <v>2452</v>
      </c>
      <c r="C11" s="9">
        <v>1</v>
      </c>
      <c r="D11" s="97" t="str">
        <f t="shared" si="0"/>
        <v>R$300,00</v>
      </c>
      <c r="E11" s="97" t="str">
        <f t="shared" si="1"/>
        <v>R$15,00</v>
      </c>
      <c r="F11" s="96">
        <f t="shared" si="2"/>
        <v>147.12</v>
      </c>
      <c r="G11" s="97" t="str">
        <f t="shared" si="3"/>
        <v>R$600,00</v>
      </c>
      <c r="H11" s="96">
        <f t="shared" si="4"/>
        <v>5</v>
      </c>
      <c r="I11" s="96">
        <f t="shared" si="5"/>
        <v>1067.1199999999999</v>
      </c>
      <c r="J11" s="96">
        <f t="shared" si="6"/>
        <v>3519.12</v>
      </c>
    </row>
    <row r="12" spans="1:10" x14ac:dyDescent="0.25">
      <c r="A12" s="7" t="s">
        <v>23</v>
      </c>
      <c r="B12" s="8">
        <v>1452</v>
      </c>
      <c r="C12" s="9">
        <v>2</v>
      </c>
      <c r="D12" s="97" t="str">
        <f t="shared" si="0"/>
        <v>R$200,00</v>
      </c>
      <c r="E12" s="97" t="str">
        <f t="shared" si="1"/>
        <v>Sem Assistência</v>
      </c>
      <c r="F12" s="96">
        <f t="shared" si="2"/>
        <v>87.12</v>
      </c>
      <c r="G12" s="97" t="str">
        <f t="shared" si="3"/>
        <v>R$600,00</v>
      </c>
      <c r="H12" s="96">
        <f t="shared" si="4"/>
        <v>10</v>
      </c>
      <c r="I12" s="96">
        <f>SUM(D12+F12+G12+H12)</f>
        <v>897.12</v>
      </c>
      <c r="J12" s="96">
        <f t="shared" si="6"/>
        <v>2349.12</v>
      </c>
    </row>
    <row r="14" spans="1:10" x14ac:dyDescent="0.25">
      <c r="A14" s="11" t="s">
        <v>24</v>
      </c>
      <c r="B14" s="4" t="s">
        <v>25</v>
      </c>
    </row>
    <row r="15" spans="1:10" x14ac:dyDescent="0.25">
      <c r="A15" s="11" t="s">
        <v>26</v>
      </c>
      <c r="B15" s="4" t="s">
        <v>27</v>
      </c>
    </row>
    <row r="16" spans="1:10" x14ac:dyDescent="0.25">
      <c r="A16" s="11" t="s">
        <v>28</v>
      </c>
      <c r="B16" s="4" t="s">
        <v>29</v>
      </c>
    </row>
    <row r="17" spans="1:2" x14ac:dyDescent="0.25">
      <c r="A17" s="11" t="s">
        <v>30</v>
      </c>
      <c r="B17" s="4" t="s">
        <v>31</v>
      </c>
    </row>
    <row r="18" spans="1:2" x14ac:dyDescent="0.25">
      <c r="A18" s="11" t="s">
        <v>32</v>
      </c>
      <c r="B18" s="4" t="s">
        <v>33</v>
      </c>
    </row>
    <row r="35" spans="1:10" x14ac:dyDescent="0.25">
      <c r="A35" s="11" t="s">
        <v>34</v>
      </c>
    </row>
    <row r="36" spans="1:10" ht="30" x14ac:dyDescent="0.25">
      <c r="A36" s="6" t="s">
        <v>6</v>
      </c>
      <c r="B36" s="6" t="s">
        <v>7</v>
      </c>
      <c r="C36" s="6" t="s">
        <v>8</v>
      </c>
      <c r="D36" s="6" t="s">
        <v>9</v>
      </c>
      <c r="E36" s="6" t="s">
        <v>10</v>
      </c>
      <c r="F36" s="6" t="s">
        <v>11</v>
      </c>
      <c r="G36" s="6" t="s">
        <v>12</v>
      </c>
      <c r="H36" s="6" t="s">
        <v>13</v>
      </c>
      <c r="I36" s="6" t="s">
        <v>14</v>
      </c>
      <c r="J36" s="6" t="s">
        <v>15</v>
      </c>
    </row>
    <row r="37" spans="1:10" x14ac:dyDescent="0.25">
      <c r="A37" s="7" t="s">
        <v>16</v>
      </c>
      <c r="B37" s="8">
        <v>2000</v>
      </c>
      <c r="C37" s="9">
        <v>1</v>
      </c>
      <c r="D37" s="10">
        <f>IF(B37&lt;1500,200,300)</f>
        <v>300</v>
      </c>
      <c r="E37" s="10">
        <f>IF(B37&gt;=2000,15*C37,0)</f>
        <v>15</v>
      </c>
      <c r="F37" s="10">
        <f>6%*B37</f>
        <v>120</v>
      </c>
      <c r="G37" s="10">
        <f>IF(B37&lt;2500,600,400)</f>
        <v>600</v>
      </c>
      <c r="H37" s="10">
        <f>5*C37</f>
        <v>5</v>
      </c>
      <c r="I37" s="10">
        <f>SUM(D37:H37)</f>
        <v>1040</v>
      </c>
      <c r="J37" s="10">
        <f>B37+I37</f>
        <v>3040</v>
      </c>
    </row>
    <row r="38" spans="1:10" x14ac:dyDescent="0.25">
      <c r="A38" s="7" t="s">
        <v>17</v>
      </c>
      <c r="B38" s="8">
        <v>3000</v>
      </c>
      <c r="C38" s="9">
        <v>3</v>
      </c>
      <c r="D38" s="10">
        <f t="shared" ref="D38:D44" si="8">IF(B38&lt;1500,200,300)</f>
        <v>300</v>
      </c>
      <c r="E38" s="10">
        <f t="shared" ref="E38:E44" si="9">IF(B38&gt;=2000,15*C38,0)</f>
        <v>45</v>
      </c>
      <c r="F38" s="10">
        <f t="shared" ref="F38:F44" si="10">6%*B38</f>
        <v>180</v>
      </c>
      <c r="G38" s="10">
        <f t="shared" ref="G38:G44" si="11">IF(B38&lt;2500,600,400)</f>
        <v>400</v>
      </c>
      <c r="H38" s="10">
        <f t="shared" ref="H38:H44" si="12">5*C38</f>
        <v>15</v>
      </c>
      <c r="I38" s="10">
        <f t="shared" ref="I38:I44" si="13">SUM(D38:H38)</f>
        <v>940</v>
      </c>
      <c r="J38" s="10">
        <f t="shared" ref="J38:J44" si="14">B38+I38</f>
        <v>3940</v>
      </c>
    </row>
    <row r="39" spans="1:10" x14ac:dyDescent="0.25">
      <c r="A39" s="7" t="s">
        <v>18</v>
      </c>
      <c r="B39" s="8">
        <v>1000</v>
      </c>
      <c r="C39" s="9">
        <v>4</v>
      </c>
      <c r="D39" s="10">
        <f t="shared" si="8"/>
        <v>200</v>
      </c>
      <c r="E39" s="10">
        <f t="shared" si="9"/>
        <v>0</v>
      </c>
      <c r="F39" s="10">
        <f t="shared" si="10"/>
        <v>60</v>
      </c>
      <c r="G39" s="10">
        <f t="shared" si="11"/>
        <v>600</v>
      </c>
      <c r="H39" s="10">
        <f t="shared" si="12"/>
        <v>20</v>
      </c>
      <c r="I39" s="10">
        <f t="shared" si="13"/>
        <v>880</v>
      </c>
      <c r="J39" s="10">
        <f t="shared" si="14"/>
        <v>1880</v>
      </c>
    </row>
    <row r="40" spans="1:10" x14ac:dyDescent="0.25">
      <c r="A40" s="7" t="s">
        <v>19</v>
      </c>
      <c r="B40" s="8">
        <v>1540</v>
      </c>
      <c r="C40" s="9">
        <v>5</v>
      </c>
      <c r="D40" s="10">
        <f t="shared" si="8"/>
        <v>300</v>
      </c>
      <c r="E40" s="10">
        <f t="shared" si="9"/>
        <v>0</v>
      </c>
      <c r="F40" s="10">
        <f t="shared" si="10"/>
        <v>92.399999999999991</v>
      </c>
      <c r="G40" s="10">
        <f t="shared" si="11"/>
        <v>600</v>
      </c>
      <c r="H40" s="10">
        <f t="shared" si="12"/>
        <v>25</v>
      </c>
      <c r="I40" s="10">
        <f t="shared" si="13"/>
        <v>1017.4</v>
      </c>
      <c r="J40" s="10">
        <f t="shared" si="14"/>
        <v>2557.4</v>
      </c>
    </row>
    <row r="41" spans="1:10" x14ac:dyDescent="0.25">
      <c r="A41" s="7" t="s">
        <v>20</v>
      </c>
      <c r="B41" s="8">
        <v>1123</v>
      </c>
      <c r="C41" s="9">
        <v>2</v>
      </c>
      <c r="D41" s="10">
        <f t="shared" si="8"/>
        <v>200</v>
      </c>
      <c r="E41" s="10">
        <f t="shared" si="9"/>
        <v>0</v>
      </c>
      <c r="F41" s="10">
        <f t="shared" si="10"/>
        <v>67.38</v>
      </c>
      <c r="G41" s="10">
        <f t="shared" si="11"/>
        <v>600</v>
      </c>
      <c r="H41" s="10">
        <f t="shared" si="12"/>
        <v>10</v>
      </c>
      <c r="I41" s="10">
        <f t="shared" si="13"/>
        <v>877.38</v>
      </c>
      <c r="J41" s="10">
        <f t="shared" si="14"/>
        <v>2000.38</v>
      </c>
    </row>
    <row r="42" spans="1:10" x14ac:dyDescent="0.25">
      <c r="A42" s="7" t="s">
        <v>21</v>
      </c>
      <c r="B42" s="8">
        <v>4783</v>
      </c>
      <c r="C42" s="9">
        <v>0</v>
      </c>
      <c r="D42" s="10">
        <f t="shared" si="8"/>
        <v>300</v>
      </c>
      <c r="E42" s="10">
        <f t="shared" si="9"/>
        <v>0</v>
      </c>
      <c r="F42" s="10">
        <f t="shared" si="10"/>
        <v>286.97999999999996</v>
      </c>
      <c r="G42" s="10">
        <f t="shared" si="11"/>
        <v>400</v>
      </c>
      <c r="H42" s="10">
        <f t="shared" si="12"/>
        <v>0</v>
      </c>
      <c r="I42" s="10">
        <f t="shared" si="13"/>
        <v>986.98</v>
      </c>
      <c r="J42" s="10">
        <f t="shared" si="14"/>
        <v>5769.98</v>
      </c>
    </row>
    <row r="43" spans="1:10" x14ac:dyDescent="0.25">
      <c r="A43" s="7" t="s">
        <v>22</v>
      </c>
      <c r="B43" s="8">
        <v>2452</v>
      </c>
      <c r="C43" s="9">
        <v>1</v>
      </c>
      <c r="D43" s="10">
        <f t="shared" si="8"/>
        <v>300</v>
      </c>
      <c r="E43" s="10">
        <f t="shared" si="9"/>
        <v>15</v>
      </c>
      <c r="F43" s="10">
        <f t="shared" si="10"/>
        <v>147.12</v>
      </c>
      <c r="G43" s="10">
        <f t="shared" si="11"/>
        <v>600</v>
      </c>
      <c r="H43" s="10">
        <f t="shared" si="12"/>
        <v>5</v>
      </c>
      <c r="I43" s="10">
        <f t="shared" si="13"/>
        <v>1067.1199999999999</v>
      </c>
      <c r="J43" s="10">
        <f t="shared" si="14"/>
        <v>3519.12</v>
      </c>
    </row>
    <row r="44" spans="1:10" x14ac:dyDescent="0.25">
      <c r="A44" s="7" t="s">
        <v>23</v>
      </c>
      <c r="B44" s="8">
        <v>1452</v>
      </c>
      <c r="C44" s="9">
        <v>2</v>
      </c>
      <c r="D44" s="10">
        <f t="shared" si="8"/>
        <v>200</v>
      </c>
      <c r="E44" s="10">
        <f t="shared" si="9"/>
        <v>0</v>
      </c>
      <c r="F44" s="10">
        <f t="shared" si="10"/>
        <v>87.11999999999999</v>
      </c>
      <c r="G44" s="10">
        <f t="shared" si="11"/>
        <v>600</v>
      </c>
      <c r="H44" s="10">
        <f t="shared" si="12"/>
        <v>10</v>
      </c>
      <c r="I44" s="10">
        <f t="shared" si="13"/>
        <v>897.12</v>
      </c>
      <c r="J44" s="10">
        <f t="shared" si="14"/>
        <v>2349.12</v>
      </c>
    </row>
  </sheetData>
  <mergeCells count="2">
    <mergeCell ref="A1:J1"/>
    <mergeCell ref="D3:H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I79"/>
  <sheetViews>
    <sheetView zoomScale="115" zoomScaleNormal="115" workbookViewId="0">
      <selection activeCell="D20" sqref="D20"/>
    </sheetView>
  </sheetViews>
  <sheetFormatPr defaultColWidth="9.140625" defaultRowHeight="12.75" x14ac:dyDescent="0.2"/>
  <cols>
    <col min="1" max="2" width="17.140625" style="3" bestFit="1" customWidth="1"/>
    <col min="3" max="3" width="16.85546875" style="3" bestFit="1" customWidth="1"/>
    <col min="4" max="4" width="15.85546875" style="3" customWidth="1"/>
    <col min="5" max="5" width="17.42578125" style="3" customWidth="1"/>
    <col min="6" max="6" width="13.42578125" style="3" bestFit="1" customWidth="1"/>
    <col min="7" max="7" width="9.140625" style="3"/>
    <col min="8" max="8" width="7.7109375" style="3" customWidth="1"/>
    <col min="9" max="9" width="18.140625" style="3" customWidth="1"/>
    <col min="10" max="16384" width="9.140625" style="3"/>
  </cols>
  <sheetData>
    <row r="1" spans="1:9" ht="13.5" thickBot="1" x14ac:dyDescent="0.25">
      <c r="A1" s="72" t="s">
        <v>35</v>
      </c>
      <c r="B1" s="73"/>
      <c r="C1" s="73"/>
      <c r="D1" s="73"/>
      <c r="E1" s="74"/>
    </row>
    <row r="2" spans="1:9" ht="13.5" thickBot="1" x14ac:dyDescent="0.25">
      <c r="A2" s="12" t="s">
        <v>36</v>
      </c>
      <c r="B2" s="13" t="s">
        <v>37</v>
      </c>
      <c r="C2" s="14" t="s">
        <v>1</v>
      </c>
      <c r="D2" s="15" t="s">
        <v>38</v>
      </c>
      <c r="E2" s="16" t="s">
        <v>39</v>
      </c>
    </row>
    <row r="3" spans="1:9" x14ac:dyDescent="0.2">
      <c r="A3" s="17">
        <v>1</v>
      </c>
      <c r="B3" s="18">
        <f ca="1">TODAY()</f>
        <v>45379</v>
      </c>
      <c r="C3" s="19">
        <v>150</v>
      </c>
      <c r="D3" s="20" t="s">
        <v>3</v>
      </c>
      <c r="E3" s="21"/>
      <c r="I3" s="18">
        <f ca="1">B3</f>
        <v>45379</v>
      </c>
    </row>
    <row r="4" spans="1:9" x14ac:dyDescent="0.2">
      <c r="A4" s="22">
        <v>2</v>
      </c>
      <c r="B4" s="18">
        <f ca="1">B3-5</f>
        <v>45374</v>
      </c>
      <c r="C4" s="23">
        <v>127.35</v>
      </c>
      <c r="D4" s="24" t="s">
        <v>2</v>
      </c>
      <c r="E4" s="64">
        <f>C4+(C4*10%)</f>
        <v>140.08499999999998</v>
      </c>
      <c r="I4" s="18">
        <f t="shared" ref="I4:I10" ca="1" si="0">B4</f>
        <v>45374</v>
      </c>
    </row>
    <row r="5" spans="1:9" x14ac:dyDescent="0.2">
      <c r="A5" s="22">
        <v>3</v>
      </c>
      <c r="B5" s="18">
        <f ca="1">B3+3</f>
        <v>45382</v>
      </c>
      <c r="C5" s="23">
        <v>186.52</v>
      </c>
      <c r="D5" s="24" t="s">
        <v>2</v>
      </c>
      <c r="E5" s="64">
        <f>C5+(C5*10%)</f>
        <v>205.17200000000003</v>
      </c>
      <c r="I5" s="18">
        <f t="shared" ca="1" si="0"/>
        <v>45382</v>
      </c>
    </row>
    <row r="6" spans="1:9" x14ac:dyDescent="0.2">
      <c r="A6" s="22">
        <v>4</v>
      </c>
      <c r="B6" s="18">
        <f ca="1">B3+1</f>
        <v>45380</v>
      </c>
      <c r="C6" s="23">
        <v>189.34</v>
      </c>
      <c r="D6" s="24" t="s">
        <v>2</v>
      </c>
      <c r="E6" s="21"/>
      <c r="I6" s="18">
        <f t="shared" ca="1" si="0"/>
        <v>45380</v>
      </c>
    </row>
    <row r="7" spans="1:9" x14ac:dyDescent="0.2">
      <c r="A7" s="22">
        <v>5</v>
      </c>
      <c r="B7" s="18">
        <f ca="1">B3+15</f>
        <v>45394</v>
      </c>
      <c r="C7" s="23">
        <v>142.86000000000001</v>
      </c>
      <c r="D7" s="24" t="s">
        <v>3</v>
      </c>
      <c r="E7" s="21"/>
      <c r="I7" s="18">
        <f t="shared" ca="1" si="0"/>
        <v>45394</v>
      </c>
    </row>
    <row r="8" spans="1:9" x14ac:dyDescent="0.2">
      <c r="A8" s="17">
        <v>6</v>
      </c>
      <c r="B8" s="18">
        <f ca="1">B3-7</f>
        <v>45372</v>
      </c>
      <c r="C8" s="23">
        <v>193</v>
      </c>
      <c r="D8" s="24" t="s">
        <v>3</v>
      </c>
      <c r="E8" s="21"/>
      <c r="I8" s="18">
        <f t="shared" ca="1" si="0"/>
        <v>45372</v>
      </c>
    </row>
    <row r="9" spans="1:9" x14ac:dyDescent="0.2">
      <c r="A9" s="22">
        <v>7</v>
      </c>
      <c r="B9" s="18">
        <f ca="1">B3-6</f>
        <v>45373</v>
      </c>
      <c r="C9" s="23">
        <v>205</v>
      </c>
      <c r="D9" s="24" t="s">
        <v>2</v>
      </c>
      <c r="E9" s="21"/>
      <c r="I9" s="18">
        <f t="shared" ca="1" si="0"/>
        <v>45373</v>
      </c>
    </row>
    <row r="10" spans="1:9" ht="13.5" thickBot="1" x14ac:dyDescent="0.25">
      <c r="A10" s="25">
        <v>8</v>
      </c>
      <c r="B10" s="26">
        <f ca="1">B3+4</f>
        <v>45383</v>
      </c>
      <c r="C10" s="27">
        <v>218</v>
      </c>
      <c r="D10" s="28" t="s">
        <v>3</v>
      </c>
      <c r="E10" s="21"/>
      <c r="I10" s="18">
        <f t="shared" ca="1" si="0"/>
        <v>45383</v>
      </c>
    </row>
    <row r="11" spans="1:9" ht="13.5" thickBot="1" x14ac:dyDescent="0.25"/>
    <row r="12" spans="1:9" ht="12.75" customHeight="1" x14ac:dyDescent="0.2">
      <c r="A12" s="75" t="s">
        <v>57</v>
      </c>
      <c r="B12" s="76"/>
      <c r="C12" s="76"/>
      <c r="D12" s="76"/>
      <c r="E12" s="77"/>
    </row>
    <row r="13" spans="1:9" x14ac:dyDescent="0.2">
      <c r="A13" s="78"/>
      <c r="B13" s="79"/>
      <c r="C13" s="79"/>
      <c r="D13" s="79"/>
      <c r="E13" s="80"/>
    </row>
    <row r="14" spans="1:9" ht="20.25" customHeight="1" x14ac:dyDescent="0.2">
      <c r="A14" s="78"/>
      <c r="B14" s="79"/>
      <c r="C14" s="79"/>
      <c r="D14" s="79"/>
      <c r="E14" s="80"/>
    </row>
    <row r="15" spans="1:9" x14ac:dyDescent="0.2">
      <c r="A15" s="78"/>
      <c r="B15" s="79"/>
      <c r="C15" s="79"/>
      <c r="D15" s="79"/>
      <c r="E15" s="80"/>
    </row>
    <row r="16" spans="1:9" ht="13.5" thickBot="1" x14ac:dyDescent="0.25">
      <c r="A16" s="81"/>
      <c r="B16" s="82"/>
      <c r="C16" s="82"/>
      <c r="D16" s="82"/>
      <c r="E16" s="83"/>
    </row>
    <row r="19" spans="1:5" x14ac:dyDescent="0.2">
      <c r="A19" s="29"/>
    </row>
    <row r="21" spans="1:5" x14ac:dyDescent="0.2">
      <c r="E21" s="29"/>
    </row>
    <row r="63" spans="1:5" ht="13.5" thickBot="1" x14ac:dyDescent="0.25"/>
    <row r="64" spans="1:5" ht="13.5" thickBot="1" x14ac:dyDescent="0.25">
      <c r="A64" s="72" t="s">
        <v>35</v>
      </c>
      <c r="B64" s="73"/>
      <c r="C64" s="73"/>
      <c r="D64" s="73"/>
      <c r="E64" s="74"/>
    </row>
    <row r="65" spans="1:5" ht="13.5" thickBot="1" x14ac:dyDescent="0.25">
      <c r="A65" s="12" t="s">
        <v>36</v>
      </c>
      <c r="B65" s="13" t="s">
        <v>37</v>
      </c>
      <c r="C65" s="14" t="s">
        <v>1</v>
      </c>
      <c r="D65" s="15" t="s">
        <v>38</v>
      </c>
      <c r="E65" s="16" t="s">
        <v>39</v>
      </c>
    </row>
    <row r="66" spans="1:5" x14ac:dyDescent="0.2">
      <c r="A66" s="17">
        <v>1</v>
      </c>
      <c r="B66" s="18">
        <f ca="1">TODAY()</f>
        <v>45379</v>
      </c>
      <c r="C66" s="19">
        <v>150</v>
      </c>
      <c r="D66" s="20" t="s">
        <v>3</v>
      </c>
      <c r="E66" s="21" t="s">
        <v>40</v>
      </c>
    </row>
    <row r="67" spans="1:5" x14ac:dyDescent="0.2">
      <c r="A67" s="22">
        <v>2</v>
      </c>
      <c r="B67" s="18">
        <f ca="1">B66-5</f>
        <v>45374</v>
      </c>
      <c r="C67" s="23">
        <v>127.35</v>
      </c>
      <c r="D67" s="24" t="s">
        <v>2</v>
      </c>
      <c r="E67" s="21">
        <f t="shared" ref="E67:E73" ca="1" si="1">IF(D67="Sim",0,IF(B67&lt;TODAY(),C67+C67*10%,C67))</f>
        <v>140.08499999999998</v>
      </c>
    </row>
    <row r="68" spans="1:5" x14ac:dyDescent="0.2">
      <c r="A68" s="22">
        <v>3</v>
      </c>
      <c r="B68" s="18">
        <f ca="1">B66+3</f>
        <v>45382</v>
      </c>
      <c r="C68" s="23">
        <v>186.52</v>
      </c>
      <c r="D68" s="24" t="s">
        <v>2</v>
      </c>
      <c r="E68" s="21">
        <f t="shared" ca="1" si="1"/>
        <v>186.52</v>
      </c>
    </row>
    <row r="69" spans="1:5" x14ac:dyDescent="0.2">
      <c r="A69" s="22">
        <v>4</v>
      </c>
      <c r="B69" s="18">
        <f ca="1">B66+1</f>
        <v>45380</v>
      </c>
      <c r="C69" s="23">
        <v>189.34</v>
      </c>
      <c r="D69" s="24" t="s">
        <v>2</v>
      </c>
      <c r="E69" s="21">
        <f t="shared" ca="1" si="1"/>
        <v>189.34</v>
      </c>
    </row>
    <row r="70" spans="1:5" x14ac:dyDescent="0.2">
      <c r="A70" s="22">
        <v>5</v>
      </c>
      <c r="B70" s="18">
        <f ca="1">B66+15</f>
        <v>45394</v>
      </c>
      <c r="C70" s="23">
        <v>142.86000000000001</v>
      </c>
      <c r="D70" s="24" t="s">
        <v>3</v>
      </c>
      <c r="E70" s="21">
        <f t="shared" ca="1" si="1"/>
        <v>0</v>
      </c>
    </row>
    <row r="71" spans="1:5" x14ac:dyDescent="0.2">
      <c r="A71" s="17">
        <v>6</v>
      </c>
      <c r="B71" s="18">
        <f ca="1">B66-7</f>
        <v>45372</v>
      </c>
      <c r="C71" s="23">
        <v>193</v>
      </c>
      <c r="D71" s="24" t="s">
        <v>3</v>
      </c>
      <c r="E71" s="21">
        <f t="shared" ca="1" si="1"/>
        <v>0</v>
      </c>
    </row>
    <row r="72" spans="1:5" x14ac:dyDescent="0.2">
      <c r="A72" s="22">
        <v>7</v>
      </c>
      <c r="B72" s="18">
        <f ca="1">B66-6</f>
        <v>45373</v>
      </c>
      <c r="C72" s="23">
        <v>205</v>
      </c>
      <c r="D72" s="24" t="s">
        <v>2</v>
      </c>
      <c r="E72" s="21">
        <f t="shared" ca="1" si="1"/>
        <v>225.5</v>
      </c>
    </row>
    <row r="73" spans="1:5" ht="13.5" thickBot="1" x14ac:dyDescent="0.25">
      <c r="A73" s="25">
        <v>8</v>
      </c>
      <c r="B73" s="26">
        <f ca="1">B66+4</f>
        <v>45383</v>
      </c>
      <c r="C73" s="27">
        <v>218</v>
      </c>
      <c r="D73" s="28" t="s">
        <v>3</v>
      </c>
      <c r="E73" s="21">
        <f t="shared" ca="1" si="1"/>
        <v>0</v>
      </c>
    </row>
    <row r="74" spans="1:5" ht="13.5" thickBot="1" x14ac:dyDescent="0.25"/>
    <row r="75" spans="1:5" x14ac:dyDescent="0.2">
      <c r="A75" s="75" t="s">
        <v>57</v>
      </c>
      <c r="B75" s="76"/>
      <c r="C75" s="76"/>
      <c r="D75" s="76"/>
      <c r="E75" s="77"/>
    </row>
    <row r="76" spans="1:5" x14ac:dyDescent="0.2">
      <c r="A76" s="78"/>
      <c r="B76" s="79"/>
      <c r="C76" s="79"/>
      <c r="D76" s="79"/>
      <c r="E76" s="80"/>
    </row>
    <row r="77" spans="1:5" x14ac:dyDescent="0.2">
      <c r="A77" s="78"/>
      <c r="B77" s="79"/>
      <c r="C77" s="79"/>
      <c r="D77" s="79"/>
      <c r="E77" s="80"/>
    </row>
    <row r="78" spans="1:5" x14ac:dyDescent="0.2">
      <c r="A78" s="78"/>
      <c r="B78" s="79"/>
      <c r="C78" s="79"/>
      <c r="D78" s="79"/>
      <c r="E78" s="80"/>
    </row>
    <row r="79" spans="1:5" ht="13.5" thickBot="1" x14ac:dyDescent="0.25">
      <c r="A79" s="81"/>
      <c r="B79" s="82"/>
      <c r="C79" s="82"/>
      <c r="D79" s="82"/>
      <c r="E79" s="83"/>
    </row>
  </sheetData>
  <sheetProtection formatCells="0"/>
  <mergeCells count="4">
    <mergeCell ref="A1:E1"/>
    <mergeCell ref="A12:E16"/>
    <mergeCell ref="A64:E64"/>
    <mergeCell ref="A75:E79"/>
  </mergeCells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showGridLines="0" tabSelected="1" workbookViewId="0">
      <selection activeCell="J24" sqref="J24"/>
    </sheetView>
  </sheetViews>
  <sheetFormatPr defaultColWidth="11.42578125" defaultRowHeight="12.75" x14ac:dyDescent="0.2"/>
  <cols>
    <col min="1" max="1" width="5.7109375" customWidth="1"/>
    <col min="2" max="2" width="14" customWidth="1"/>
    <col min="3" max="3" width="14.42578125" customWidth="1"/>
    <col min="4" max="4" width="13.140625" customWidth="1"/>
    <col min="5" max="5" width="14.140625" hidden="1" customWidth="1"/>
    <col min="6" max="6" width="17.28515625" customWidth="1"/>
    <col min="7" max="7" width="18" customWidth="1"/>
    <col min="8" max="8" width="16.85546875" customWidth="1"/>
    <col min="9" max="9" width="4.5703125" customWidth="1"/>
    <col min="10" max="10" width="13.28515625" bestFit="1" customWidth="1"/>
    <col min="11" max="11" width="10.5703125" bestFit="1" customWidth="1"/>
    <col min="12" max="12" width="15" bestFit="1" customWidth="1"/>
    <col min="13" max="13" width="7.7109375" bestFit="1" customWidth="1"/>
    <col min="14" max="14" width="9.28515625" bestFit="1" customWidth="1"/>
  </cols>
  <sheetData>
    <row r="1" spans="2:16" ht="13.5" thickBot="1" x14ac:dyDescent="0.25"/>
    <row r="2" spans="2:16" ht="13.5" thickBot="1" x14ac:dyDescent="0.25">
      <c r="B2" s="30" t="s">
        <v>41</v>
      </c>
      <c r="C2" s="31">
        <v>44992</v>
      </c>
    </row>
    <row r="3" spans="2:16" x14ac:dyDescent="0.2">
      <c r="J3" s="30"/>
    </row>
    <row r="4" spans="2:16" x14ac:dyDescent="0.2">
      <c r="B4" s="32" t="s">
        <v>42</v>
      </c>
      <c r="C4" s="32" t="s">
        <v>0</v>
      </c>
      <c r="D4" s="32" t="s">
        <v>43</v>
      </c>
      <c r="E4" s="32" t="s">
        <v>44</v>
      </c>
      <c r="F4" s="32" t="s">
        <v>45</v>
      </c>
      <c r="G4" s="32" t="s">
        <v>46</v>
      </c>
      <c r="H4" s="32" t="s">
        <v>47</v>
      </c>
      <c r="J4" s="37"/>
      <c r="K4" s="37"/>
      <c r="L4" s="37"/>
      <c r="M4" s="37"/>
      <c r="N4" s="37"/>
      <c r="O4" s="37"/>
      <c r="P4" s="37"/>
    </row>
    <row r="5" spans="2:16" x14ac:dyDescent="0.2">
      <c r="B5" s="33">
        <v>44967</v>
      </c>
      <c r="C5" s="38">
        <v>1800</v>
      </c>
      <c r="D5" s="98">
        <f>IF(C5&gt;=1600,B5+30,B5+15)</f>
        <v>44997</v>
      </c>
      <c r="E5" s="1"/>
      <c r="F5" s="100">
        <v>0</v>
      </c>
      <c r="G5" s="38"/>
      <c r="H5" s="39"/>
      <c r="J5" s="40"/>
      <c r="K5" s="41"/>
      <c r="L5" s="40"/>
      <c r="O5" s="41"/>
      <c r="P5" s="42"/>
    </row>
    <row r="6" spans="2:16" x14ac:dyDescent="0.2">
      <c r="B6" s="33">
        <v>45550</v>
      </c>
      <c r="C6" s="38">
        <v>1900</v>
      </c>
      <c r="D6" s="98">
        <f t="shared" ref="D6:D10" si="0">IF(C6&gt;=1600,B6+30,B6+15)</f>
        <v>45580</v>
      </c>
      <c r="E6" s="1"/>
      <c r="F6" s="100">
        <v>0</v>
      </c>
      <c r="G6" s="38"/>
      <c r="H6" s="39"/>
      <c r="J6" s="40"/>
      <c r="K6" s="41"/>
      <c r="L6" s="40"/>
      <c r="O6" s="41"/>
      <c r="P6" s="42"/>
    </row>
    <row r="7" spans="2:16" x14ac:dyDescent="0.2">
      <c r="B7" s="33">
        <v>44821</v>
      </c>
      <c r="C7" s="38">
        <v>3500</v>
      </c>
      <c r="D7" s="98">
        <f t="shared" si="0"/>
        <v>44851</v>
      </c>
      <c r="E7" s="1"/>
      <c r="F7" s="100">
        <f>IF(C2&gt;D7,C2-D7)</f>
        <v>141</v>
      </c>
      <c r="G7" s="38">
        <f>141*0.02*C7</f>
        <v>9870</v>
      </c>
      <c r="H7" s="39">
        <f>G7+C7</f>
        <v>13370</v>
      </c>
      <c r="J7" s="40"/>
      <c r="K7" s="41"/>
      <c r="L7" s="40"/>
      <c r="O7" s="41"/>
      <c r="P7" s="42"/>
    </row>
    <row r="8" spans="2:16" x14ac:dyDescent="0.2">
      <c r="B8" s="33">
        <v>45028</v>
      </c>
      <c r="C8" s="38">
        <v>2700</v>
      </c>
      <c r="D8" s="98">
        <f t="shared" si="0"/>
        <v>45058</v>
      </c>
      <c r="E8" s="1"/>
      <c r="F8" s="100">
        <v>0</v>
      </c>
      <c r="H8" s="39"/>
      <c r="J8" s="40"/>
      <c r="K8" s="41"/>
      <c r="L8" s="40"/>
      <c r="O8" s="41"/>
      <c r="P8" s="42"/>
    </row>
    <row r="9" spans="2:16" x14ac:dyDescent="0.2">
      <c r="B9" s="33">
        <v>45219</v>
      </c>
      <c r="C9" s="38">
        <v>1300</v>
      </c>
      <c r="D9" s="98">
        <f t="shared" si="0"/>
        <v>45234</v>
      </c>
      <c r="E9" s="1"/>
      <c r="F9" s="100">
        <v>0</v>
      </c>
      <c r="G9" s="38"/>
      <c r="H9" s="39"/>
      <c r="J9" s="40"/>
      <c r="K9" s="41"/>
      <c r="L9" s="40"/>
      <c r="O9" s="41"/>
      <c r="P9" s="42"/>
    </row>
    <row r="10" spans="2:16" x14ac:dyDescent="0.2">
      <c r="B10" s="33">
        <v>43690</v>
      </c>
      <c r="C10" s="38">
        <v>2100</v>
      </c>
      <c r="D10" s="98">
        <f t="shared" si="0"/>
        <v>43720</v>
      </c>
      <c r="E10" s="1"/>
      <c r="F10" s="100">
        <f>IF(C2&gt;D10,C2-D10)</f>
        <v>1272</v>
      </c>
      <c r="G10" s="38">
        <f>1272*0.02*C10</f>
        <v>53424</v>
      </c>
      <c r="H10" s="39">
        <f>G10+C10</f>
        <v>55524</v>
      </c>
      <c r="J10" s="40"/>
      <c r="K10" s="41"/>
      <c r="L10" s="40"/>
      <c r="O10" s="41"/>
      <c r="P10" s="42"/>
    </row>
    <row r="12" spans="2:16" x14ac:dyDescent="0.2">
      <c r="B12" s="30" t="s">
        <v>43</v>
      </c>
    </row>
    <row r="13" spans="2:16" x14ac:dyDescent="0.2">
      <c r="B13" t="s">
        <v>48</v>
      </c>
    </row>
    <row r="14" spans="2:16" x14ac:dyDescent="0.2">
      <c r="B14" t="s">
        <v>49</v>
      </c>
    </row>
    <row r="15" spans="2:16" ht="4.5" customHeight="1" x14ac:dyDescent="0.2"/>
    <row r="16" spans="2:16" hidden="1" x14ac:dyDescent="0.2">
      <c r="B16" s="30" t="s">
        <v>44</v>
      </c>
    </row>
    <row r="17" spans="2:2" hidden="1" x14ac:dyDescent="0.2">
      <c r="B17" t="s">
        <v>58</v>
      </c>
    </row>
    <row r="18" spans="2:2" hidden="1" x14ac:dyDescent="0.2">
      <c r="B18" t="s">
        <v>50</v>
      </c>
    </row>
    <row r="20" spans="2:2" x14ac:dyDescent="0.2">
      <c r="B20" s="30" t="s">
        <v>45</v>
      </c>
    </row>
    <row r="21" spans="2:2" x14ac:dyDescent="0.2">
      <c r="B21" t="s">
        <v>51</v>
      </c>
    </row>
    <row r="22" spans="2:2" x14ac:dyDescent="0.2">
      <c r="B22" t="s">
        <v>52</v>
      </c>
    </row>
    <row r="24" spans="2:2" x14ac:dyDescent="0.2">
      <c r="B24" s="30" t="s">
        <v>46</v>
      </c>
    </row>
    <row r="25" spans="2:2" x14ac:dyDescent="0.2">
      <c r="B25" t="s">
        <v>53</v>
      </c>
    </row>
    <row r="26" spans="2:2" x14ac:dyDescent="0.2">
      <c r="B26" t="s">
        <v>54</v>
      </c>
    </row>
    <row r="27" spans="2:2" x14ac:dyDescent="0.2">
      <c r="B27" t="s">
        <v>55</v>
      </c>
    </row>
    <row r="29" spans="2:2" x14ac:dyDescent="0.2">
      <c r="B29" s="30" t="s">
        <v>47</v>
      </c>
    </row>
    <row r="30" spans="2:2" x14ac:dyDescent="0.2">
      <c r="B30" t="s">
        <v>56</v>
      </c>
    </row>
    <row r="77" spans="2:8" ht="13.5" thickBot="1" x14ac:dyDescent="0.25"/>
    <row r="78" spans="2:8" ht="13.5" thickBot="1" x14ac:dyDescent="0.25">
      <c r="B78" s="30" t="s">
        <v>41</v>
      </c>
      <c r="C78" s="31">
        <v>42309</v>
      </c>
    </row>
    <row r="80" spans="2:8" x14ac:dyDescent="0.2">
      <c r="B80" s="32" t="s">
        <v>42</v>
      </c>
      <c r="C80" s="32" t="s">
        <v>0</v>
      </c>
      <c r="D80" s="32" t="s">
        <v>43</v>
      </c>
      <c r="E80" s="32" t="s">
        <v>44</v>
      </c>
      <c r="F80" s="32" t="s">
        <v>45</v>
      </c>
      <c r="G80" s="32" t="s">
        <v>46</v>
      </c>
      <c r="H80" s="32" t="s">
        <v>47</v>
      </c>
    </row>
    <row r="81" spans="2:8" x14ac:dyDescent="0.2">
      <c r="B81" s="33">
        <v>42287</v>
      </c>
      <c r="C81" s="34">
        <v>1800</v>
      </c>
      <c r="D81" s="33">
        <f>IF(C81&gt;=1600,B81+30,B81+15)</f>
        <v>42317</v>
      </c>
      <c r="E81" s="1" t="str">
        <f>IF(D81&gt;$C$2,"OK","Vencida")</f>
        <v>Vencida</v>
      </c>
      <c r="F81" s="1">
        <f>IF($C$2&gt;D81,$C$2-D81,0)</f>
        <v>2675</v>
      </c>
      <c r="G81" s="34">
        <f>IF(F81&gt;0,F81*0.2%*C81,0)</f>
        <v>9630.0000000000018</v>
      </c>
      <c r="H81" s="35">
        <f>C81+G81</f>
        <v>11430.000000000002</v>
      </c>
    </row>
    <row r="82" spans="2:8" x14ac:dyDescent="0.2">
      <c r="B82" s="33">
        <v>42262</v>
      </c>
      <c r="C82" s="34">
        <v>1900</v>
      </c>
      <c r="D82" s="33">
        <f t="shared" ref="D82:D86" si="1">IF(C82&gt;=1600,B82+30,B82+15)</f>
        <v>42292</v>
      </c>
      <c r="E82" s="1" t="str">
        <f t="shared" ref="E82:E86" si="2">IF(D82&gt;$C$2,"OK","Vencida")</f>
        <v>Vencida</v>
      </c>
      <c r="F82" s="1">
        <f t="shared" ref="F82:F86" si="3">IF($C$2&gt;D82,$C$2-D82,0)</f>
        <v>2700</v>
      </c>
      <c r="G82" s="34">
        <f t="shared" ref="G82:G86" si="4">IF(F82&gt;0,F82*0.2%*C82,0)</f>
        <v>10260</v>
      </c>
      <c r="H82" s="35">
        <f t="shared" ref="H82:H86" si="5">C82+G82</f>
        <v>12160</v>
      </c>
    </row>
    <row r="83" spans="2:8" x14ac:dyDescent="0.2">
      <c r="B83" s="33">
        <v>42264</v>
      </c>
      <c r="C83" s="34">
        <v>3500</v>
      </c>
      <c r="D83" s="33">
        <f t="shared" si="1"/>
        <v>42294</v>
      </c>
      <c r="E83" s="1" t="str">
        <f t="shared" si="2"/>
        <v>Vencida</v>
      </c>
      <c r="F83" s="1">
        <f t="shared" si="3"/>
        <v>2698</v>
      </c>
      <c r="G83" s="34">
        <f t="shared" si="4"/>
        <v>18886</v>
      </c>
      <c r="H83" s="35">
        <f t="shared" si="5"/>
        <v>22386</v>
      </c>
    </row>
    <row r="84" spans="2:8" x14ac:dyDescent="0.2">
      <c r="B84" s="33">
        <v>42289</v>
      </c>
      <c r="C84" s="34">
        <v>2700</v>
      </c>
      <c r="D84" s="33">
        <f t="shared" si="1"/>
        <v>42319</v>
      </c>
      <c r="E84" s="1" t="str">
        <f t="shared" si="2"/>
        <v>Vencida</v>
      </c>
      <c r="F84" s="1">
        <f t="shared" si="3"/>
        <v>2673</v>
      </c>
      <c r="G84" s="34">
        <f t="shared" si="4"/>
        <v>14434.2</v>
      </c>
      <c r="H84" s="35">
        <f t="shared" si="5"/>
        <v>17134.2</v>
      </c>
    </row>
    <row r="85" spans="2:8" x14ac:dyDescent="0.2">
      <c r="B85" s="33">
        <v>42297</v>
      </c>
      <c r="C85" s="34">
        <v>1300</v>
      </c>
      <c r="D85" s="33">
        <f t="shared" si="1"/>
        <v>42312</v>
      </c>
      <c r="E85" s="1" t="str">
        <f t="shared" si="2"/>
        <v>Vencida</v>
      </c>
      <c r="F85" s="1">
        <f t="shared" si="3"/>
        <v>2680</v>
      </c>
      <c r="G85" s="34">
        <f t="shared" si="4"/>
        <v>6968</v>
      </c>
      <c r="H85" s="35">
        <f t="shared" si="5"/>
        <v>8268</v>
      </c>
    </row>
    <row r="86" spans="2:8" x14ac:dyDescent="0.2">
      <c r="B86" s="33">
        <v>42229</v>
      </c>
      <c r="C86" s="34">
        <v>2100</v>
      </c>
      <c r="D86" s="33">
        <f t="shared" si="1"/>
        <v>42259</v>
      </c>
      <c r="E86" s="1" t="str">
        <f t="shared" si="2"/>
        <v>Vencida</v>
      </c>
      <c r="F86" s="1">
        <f t="shared" si="3"/>
        <v>2733</v>
      </c>
      <c r="G86" s="34">
        <f t="shared" si="4"/>
        <v>11478.6</v>
      </c>
      <c r="H86" s="35">
        <f t="shared" si="5"/>
        <v>13578.6</v>
      </c>
    </row>
  </sheetData>
  <printOptions gridLinesSet="0"/>
  <pageMargins left="0.78740157499999996" right="0.78740157499999996" top="0.984251969" bottom="0.984251969" header="0.49212598499999999" footer="0.49212598499999999"/>
  <pageSetup orientation="portrait" horizontalDpi="300" verticalDpi="30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10" sqref="H10"/>
    </sheetView>
  </sheetViews>
  <sheetFormatPr defaultColWidth="11.85546875" defaultRowHeight="12.75" x14ac:dyDescent="0.2"/>
  <cols>
    <col min="8" max="8" width="20.85546875" customWidth="1"/>
  </cols>
  <sheetData>
    <row r="1" spans="1:9" ht="13.5" thickBot="1" x14ac:dyDescent="0.25">
      <c r="A1" s="43"/>
      <c r="B1" s="43"/>
      <c r="C1" s="43"/>
      <c r="D1" s="43"/>
      <c r="E1" s="43"/>
      <c r="F1" s="43"/>
      <c r="G1" s="43"/>
      <c r="H1" s="43"/>
      <c r="I1" s="43"/>
    </row>
    <row r="2" spans="1:9" ht="15.75" thickBot="1" x14ac:dyDescent="0.3">
      <c r="A2" s="43"/>
      <c r="B2" s="84" t="s">
        <v>59</v>
      </c>
      <c r="C2" s="85"/>
      <c r="D2" s="85"/>
      <c r="E2" s="85"/>
      <c r="F2" s="85"/>
      <c r="G2" s="85"/>
      <c r="H2" s="86"/>
      <c r="I2" s="43"/>
    </row>
    <row r="3" spans="1:9" ht="13.5" thickBot="1" x14ac:dyDescent="0.25">
      <c r="A3" s="43"/>
      <c r="B3" s="43"/>
      <c r="C3" s="43"/>
      <c r="D3" s="43"/>
      <c r="E3" s="43"/>
      <c r="F3" s="43"/>
      <c r="G3" s="43"/>
      <c r="H3" s="43"/>
      <c r="I3" s="43"/>
    </row>
    <row r="4" spans="1:9" ht="15.75" thickBot="1" x14ac:dyDescent="0.3">
      <c r="A4" s="43"/>
      <c r="B4" s="44" t="s">
        <v>60</v>
      </c>
      <c r="C4" s="85" t="s">
        <v>61</v>
      </c>
      <c r="D4" s="85"/>
      <c r="E4" s="85"/>
      <c r="F4" s="45" t="s">
        <v>62</v>
      </c>
      <c r="G4" s="43"/>
      <c r="H4" s="46" t="s">
        <v>63</v>
      </c>
      <c r="I4" s="43"/>
    </row>
    <row r="5" spans="1:9" ht="15.75" thickBot="1" x14ac:dyDescent="0.3">
      <c r="A5" s="43"/>
      <c r="B5" s="47" t="s">
        <v>64</v>
      </c>
      <c r="C5" s="48">
        <v>2</v>
      </c>
      <c r="D5" s="49" t="s">
        <v>65</v>
      </c>
      <c r="E5" s="50">
        <v>1</v>
      </c>
      <c r="F5" s="51" t="s">
        <v>66</v>
      </c>
      <c r="G5" s="43"/>
      <c r="H5" s="52" t="str">
        <f>IF(C5&gt;E5,"Internacional","Grêmio")</f>
        <v>Internacional</v>
      </c>
      <c r="I5" s="43"/>
    </row>
    <row r="6" spans="1:9" ht="15.75" thickBot="1" x14ac:dyDescent="0.3">
      <c r="A6" s="43"/>
      <c r="B6" s="53" t="s">
        <v>67</v>
      </c>
      <c r="C6" s="54">
        <v>6</v>
      </c>
      <c r="D6" s="55" t="s">
        <v>65</v>
      </c>
      <c r="E6" s="56">
        <v>5</v>
      </c>
      <c r="F6" s="57" t="s">
        <v>68</v>
      </c>
      <c r="G6" s="43"/>
      <c r="H6" s="52" t="str">
        <f>IF(C6&gt;E6,"Cruzeiro","Atlético-MG")</f>
        <v>Cruzeiro</v>
      </c>
      <c r="I6" s="43"/>
    </row>
    <row r="7" spans="1:9" ht="15.75" thickBot="1" x14ac:dyDescent="0.3">
      <c r="A7" s="43"/>
      <c r="B7" s="53" t="s">
        <v>69</v>
      </c>
      <c r="C7" s="54">
        <v>1</v>
      </c>
      <c r="D7" s="55" t="s">
        <v>65</v>
      </c>
      <c r="E7" s="56">
        <v>0</v>
      </c>
      <c r="F7" s="57" t="s">
        <v>70</v>
      </c>
      <c r="G7" s="43"/>
      <c r="H7" s="52" t="str">
        <f>IF(C7&gt;E7,"Coritiba","Atlético-PR")</f>
        <v>Coritiba</v>
      </c>
      <c r="I7" s="43"/>
    </row>
    <row r="8" spans="1:9" ht="15.75" thickBot="1" x14ac:dyDescent="0.3">
      <c r="A8" s="43"/>
      <c r="B8" s="53" t="s">
        <v>71</v>
      </c>
      <c r="C8" s="54">
        <v>3</v>
      </c>
      <c r="D8" s="55" t="s">
        <v>65</v>
      </c>
      <c r="E8" s="56">
        <v>1</v>
      </c>
      <c r="F8" s="57" t="s">
        <v>72</v>
      </c>
      <c r="G8" s="43"/>
      <c r="H8" s="52" t="str">
        <f>IF(C8&gt;E8,"Bahia","Vitória")</f>
        <v>Bahia</v>
      </c>
      <c r="I8" s="43"/>
    </row>
    <row r="9" spans="1:9" ht="15.75" thickBot="1" x14ac:dyDescent="0.3">
      <c r="A9" s="43"/>
      <c r="B9" s="58" t="s">
        <v>73</v>
      </c>
      <c r="C9" s="59">
        <v>2</v>
      </c>
      <c r="D9" s="60" t="s">
        <v>65</v>
      </c>
      <c r="E9" s="61">
        <v>3</v>
      </c>
      <c r="F9" s="62" t="s">
        <v>74</v>
      </c>
      <c r="G9" s="43"/>
      <c r="H9" s="52" t="str">
        <f>IF(C9&gt;E9,"Flamengo","Vasco")</f>
        <v>Vasco</v>
      </c>
      <c r="I9" s="43"/>
    </row>
    <row r="10" spans="1:9" ht="15.75" thickBot="1" x14ac:dyDescent="0.3">
      <c r="A10" s="43"/>
      <c r="B10" s="43"/>
      <c r="C10" s="43"/>
      <c r="D10" s="63"/>
      <c r="E10" s="43"/>
      <c r="F10" s="43"/>
      <c r="G10" s="43"/>
      <c r="H10" s="43"/>
      <c r="I10" s="43"/>
    </row>
    <row r="11" spans="1:9" x14ac:dyDescent="0.2">
      <c r="A11" s="43"/>
      <c r="B11" s="87" t="s">
        <v>75</v>
      </c>
      <c r="C11" s="88"/>
      <c r="D11" s="88"/>
      <c r="E11" s="88"/>
      <c r="F11" s="88"/>
      <c r="G11" s="88"/>
      <c r="H11" s="89"/>
      <c r="I11" s="43"/>
    </row>
    <row r="12" spans="1:9" x14ac:dyDescent="0.2">
      <c r="A12" s="43"/>
      <c r="B12" s="90"/>
      <c r="C12" s="91"/>
      <c r="D12" s="91"/>
      <c r="E12" s="91"/>
      <c r="F12" s="91"/>
      <c r="G12" s="91"/>
      <c r="H12" s="92"/>
      <c r="I12" s="43"/>
    </row>
    <row r="13" spans="1:9" ht="13.5" thickBot="1" x14ac:dyDescent="0.25">
      <c r="A13" s="43"/>
      <c r="B13" s="93"/>
      <c r="C13" s="94"/>
      <c r="D13" s="94"/>
      <c r="E13" s="94"/>
      <c r="F13" s="94"/>
      <c r="G13" s="94"/>
      <c r="H13" s="95"/>
      <c r="I13" s="43"/>
    </row>
    <row r="14" spans="1:9" x14ac:dyDescent="0.2">
      <c r="A14" s="43"/>
      <c r="B14" s="43"/>
      <c r="C14" s="43"/>
      <c r="D14" s="43"/>
      <c r="E14" s="43"/>
      <c r="F14" s="43"/>
      <c r="G14" s="43"/>
      <c r="H14" s="43"/>
      <c r="I14" s="43"/>
    </row>
  </sheetData>
  <protectedRanges>
    <protectedRange sqref="C5:C9 E5:E9 H5:H9" name="Liberadas"/>
  </protectedRanges>
  <mergeCells count="3">
    <mergeCell ref="B2:H2"/>
    <mergeCell ref="C4:E4"/>
    <mergeCell ref="B11:H1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5" sqref="E5"/>
    </sheetView>
  </sheetViews>
  <sheetFormatPr defaultRowHeight="12.75" x14ac:dyDescent="0.2"/>
  <cols>
    <col min="1" max="1" width="18.5703125" customWidth="1"/>
    <col min="2" max="2" width="20.85546875" customWidth="1"/>
    <col min="3" max="3" width="32.140625" customWidth="1"/>
  </cols>
  <sheetData>
    <row r="1" spans="1:8" ht="15" x14ac:dyDescent="0.2">
      <c r="A1" s="66" t="s">
        <v>76</v>
      </c>
      <c r="B1" s="66" t="s">
        <v>77</v>
      </c>
      <c r="C1" s="66" t="s">
        <v>78</v>
      </c>
    </row>
    <row r="2" spans="1:8" ht="15" x14ac:dyDescent="0.2">
      <c r="A2" s="65" t="s">
        <v>79</v>
      </c>
      <c r="B2" s="65" t="s">
        <v>86</v>
      </c>
      <c r="C2" s="99">
        <v>0.05</v>
      </c>
      <c r="G2" s="67" t="s">
        <v>87</v>
      </c>
      <c r="H2" s="68">
        <v>0.03</v>
      </c>
    </row>
    <row r="3" spans="1:8" ht="15" x14ac:dyDescent="0.2">
      <c r="A3" s="65" t="s">
        <v>80</v>
      </c>
      <c r="B3" s="65" t="s">
        <v>87</v>
      </c>
      <c r="C3" s="99">
        <v>0.03</v>
      </c>
      <c r="G3" s="67" t="s">
        <v>88</v>
      </c>
      <c r="H3" s="68">
        <v>0.05</v>
      </c>
    </row>
    <row r="4" spans="1:8" ht="15" x14ac:dyDescent="0.2">
      <c r="A4" s="65" t="s">
        <v>81</v>
      </c>
      <c r="B4" s="65" t="s">
        <v>87</v>
      </c>
      <c r="C4" s="99">
        <v>0.03</v>
      </c>
    </row>
    <row r="5" spans="1:8" ht="15" x14ac:dyDescent="0.2">
      <c r="A5" s="65" t="s">
        <v>82</v>
      </c>
      <c r="B5" s="65" t="s">
        <v>86</v>
      </c>
      <c r="C5" s="99">
        <v>0.05</v>
      </c>
    </row>
    <row r="6" spans="1:8" ht="15" x14ac:dyDescent="0.2">
      <c r="A6" s="65" t="s">
        <v>83</v>
      </c>
      <c r="B6" s="65" t="s">
        <v>87</v>
      </c>
      <c r="C6" s="99">
        <v>0.03</v>
      </c>
    </row>
    <row r="7" spans="1:8" ht="15" x14ac:dyDescent="0.2">
      <c r="A7" s="65" t="s">
        <v>84</v>
      </c>
      <c r="B7" s="65" t="s">
        <v>86</v>
      </c>
      <c r="C7" s="99">
        <v>0.05</v>
      </c>
    </row>
    <row r="8" spans="1:8" ht="15" x14ac:dyDescent="0.2">
      <c r="A8" s="65" t="s">
        <v>85</v>
      </c>
      <c r="B8" s="65" t="s">
        <v>86</v>
      </c>
      <c r="C8" s="99">
        <v>0.05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Saudação</vt:lpstr>
      <vt:lpstr>Calc-Benefícios</vt:lpstr>
      <vt:lpstr>Duplicatas0</vt:lpstr>
      <vt:lpstr>Duplicatas</vt:lpstr>
      <vt:lpstr>Campeonato</vt:lpstr>
      <vt:lpstr>Bonus</vt:lpstr>
    </vt:vector>
  </TitlesOfParts>
  <Company>BS CONTINENTAL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vieirag</dc:creator>
  <cp:lastModifiedBy>userlocal</cp:lastModifiedBy>
  <dcterms:created xsi:type="dcterms:W3CDTF">2002-05-14T12:59:12Z</dcterms:created>
  <dcterms:modified xsi:type="dcterms:W3CDTF">2024-03-29T00:52:32Z</dcterms:modified>
</cp:coreProperties>
</file>