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customUI2010RelI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DE163A3-6C51-462A-AE18-5E6996CB0A3E}" xr6:coauthVersionLast="47" xr6:coauthVersionMax="47" xr10:uidLastSave="{00000000-0000-0000-0000-000000000000}"/>
  <bookViews>
    <workbookView xWindow="132" yWindow="3360" windowWidth="21492" windowHeight="8964" xr2:uid="{00000000-000D-0000-FFFF-FFFF00000000}"/>
  </bookViews>
  <sheets>
    <sheet name="ВВ" sheetId="22" r:id="rId1"/>
    <sheet name="Спека ВВ" sheetId="35" r:id="rId2"/>
    <sheet name="#Служ_" sheetId="32" state="hidden" r:id="rId3"/>
    <sheet name="ВК" sheetId="34" r:id="rId4"/>
    <sheet name="Спека ВК" sheetId="36" r:id="rId5"/>
    <sheet name="Металл" sheetId="3" r:id="rId6"/>
    <sheet name="Сэндвич" sheetId="24" state="hidden" r:id="rId7"/>
    <sheet name="Сэндвич (2)" sheetId="33" r:id="rId8"/>
    <sheet name="Расчет шины и кабеля" sheetId="23" r:id="rId9"/>
    <sheet name="template_A3h_view_2_#" sheetId="26" state="veryHidden" r:id="rId10"/>
    <sheet name="template_A3h_single_2_#" sheetId="31" state="veryHidden" r:id="rId11"/>
    <sheet name="template_A3h_spec_2_#" sheetId="30" state="very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6" l="1"/>
  <c r="D47" i="36"/>
  <c r="D35" i="36"/>
  <c r="F70" i="36"/>
  <c r="F69" i="36"/>
  <c r="F68" i="36"/>
  <c r="F67" i="36"/>
  <c r="F66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4" i="36"/>
  <c r="F32" i="36"/>
  <c r="F31" i="36"/>
  <c r="F30" i="36"/>
  <c r="F29" i="36"/>
  <c r="F28" i="36"/>
  <c r="J70" i="36"/>
  <c r="J69" i="36"/>
  <c r="J68" i="36"/>
  <c r="J67" i="36"/>
  <c r="J66" i="36"/>
  <c r="J64" i="36"/>
  <c r="J63" i="36"/>
  <c r="J62" i="36"/>
  <c r="J61" i="36"/>
  <c r="A61" i="36"/>
  <c r="J60" i="36"/>
  <c r="H59" i="36"/>
  <c r="I59" i="36" s="1"/>
  <c r="J59" i="36" s="1"/>
  <c r="H58" i="36"/>
  <c r="I58" i="36" s="1"/>
  <c r="J58" i="36" s="1"/>
  <c r="H57" i="36"/>
  <c r="I57" i="36" s="1"/>
  <c r="J57" i="36" s="1"/>
  <c r="H56" i="36"/>
  <c r="I56" i="36" s="1"/>
  <c r="J56" i="36" s="1"/>
  <c r="H55" i="36"/>
  <c r="I55" i="36" s="1"/>
  <c r="J55" i="36" s="1"/>
  <c r="H54" i="36"/>
  <c r="I54" i="36" s="1"/>
  <c r="J54" i="36" s="1"/>
  <c r="H53" i="36"/>
  <c r="I53" i="36" s="1"/>
  <c r="J53" i="36" s="1"/>
  <c r="J52" i="36"/>
  <c r="A52" i="36"/>
  <c r="J51" i="36"/>
  <c r="H50" i="36"/>
  <c r="I50" i="36" s="1"/>
  <c r="J50" i="36" s="1"/>
  <c r="H49" i="36"/>
  <c r="I49" i="36" s="1"/>
  <c r="J49" i="36" s="1"/>
  <c r="H48" i="36"/>
  <c r="I48" i="36" s="1"/>
  <c r="J48" i="36" s="1"/>
  <c r="J47" i="36"/>
  <c r="A47" i="36"/>
  <c r="H46" i="36"/>
  <c r="I46" i="36" s="1"/>
  <c r="J46" i="36" s="1"/>
  <c r="H45" i="36"/>
  <c r="I45" i="36" s="1"/>
  <c r="J45" i="36" s="1"/>
  <c r="H44" i="36"/>
  <c r="I44" i="36" s="1"/>
  <c r="J44" i="36" s="1"/>
  <c r="H43" i="36"/>
  <c r="I43" i="36" s="1"/>
  <c r="J43" i="36" s="1"/>
  <c r="H42" i="36"/>
  <c r="I42" i="36" s="1"/>
  <c r="J42" i="36" s="1"/>
  <c r="H41" i="36"/>
  <c r="I41" i="36" s="1"/>
  <c r="J41" i="36" s="1"/>
  <c r="H40" i="36"/>
  <c r="I40" i="36" s="1"/>
  <c r="J40" i="36" s="1"/>
  <c r="H39" i="36"/>
  <c r="I39" i="36" s="1"/>
  <c r="J39" i="36" s="1"/>
  <c r="H38" i="36"/>
  <c r="I38" i="36" s="1"/>
  <c r="J38" i="36" s="1"/>
  <c r="H37" i="36"/>
  <c r="I37" i="36" s="1"/>
  <c r="J37" i="36" s="1"/>
  <c r="H36" i="36"/>
  <c r="I36" i="36" s="1"/>
  <c r="J36" i="36" s="1"/>
  <c r="A35" i="36"/>
  <c r="J34" i="36"/>
  <c r="E33" i="36"/>
  <c r="H33" i="36" s="1"/>
  <c r="I33" i="36" s="1"/>
  <c r="H32" i="36"/>
  <c r="I32" i="36" s="1"/>
  <c r="J32" i="36" s="1"/>
  <c r="H31" i="36"/>
  <c r="I31" i="36" s="1"/>
  <c r="J31" i="36" s="1"/>
  <c r="H30" i="36"/>
  <c r="H29" i="36"/>
  <c r="I29" i="36" s="1"/>
  <c r="J29" i="36" s="1"/>
  <c r="J28" i="36"/>
  <c r="A28" i="36"/>
  <c r="E12" i="36"/>
  <c r="D46" i="35"/>
  <c r="D35" i="35"/>
  <c r="F71" i="35"/>
  <c r="F70" i="35"/>
  <c r="F69" i="35"/>
  <c r="F68" i="35"/>
  <c r="F67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4" i="35"/>
  <c r="F32" i="35"/>
  <c r="F31" i="35"/>
  <c r="F30" i="35"/>
  <c r="F29" i="35"/>
  <c r="F28" i="35"/>
  <c r="J71" i="35"/>
  <c r="J70" i="35"/>
  <c r="J69" i="35"/>
  <c r="J68" i="35"/>
  <c r="J67" i="35"/>
  <c r="J65" i="35"/>
  <c r="J64" i="35"/>
  <c r="J63" i="35"/>
  <c r="J62" i="35"/>
  <c r="A62" i="35"/>
  <c r="J61" i="35"/>
  <c r="H60" i="35"/>
  <c r="I60" i="35" s="1"/>
  <c r="J60" i="35" s="1"/>
  <c r="H59" i="35"/>
  <c r="I59" i="35" s="1"/>
  <c r="J59" i="35" s="1"/>
  <c r="H58" i="35"/>
  <c r="I58" i="35" s="1"/>
  <c r="J58" i="35" s="1"/>
  <c r="H57" i="35"/>
  <c r="I57" i="35" s="1"/>
  <c r="J57" i="35" s="1"/>
  <c r="H56" i="35"/>
  <c r="I56" i="35" s="1"/>
  <c r="J56" i="35" s="1"/>
  <c r="H55" i="35"/>
  <c r="I55" i="35" s="1"/>
  <c r="J55" i="35" s="1"/>
  <c r="H54" i="35"/>
  <c r="I54" i="35" s="1"/>
  <c r="J54" i="35" s="1"/>
  <c r="H53" i="35"/>
  <c r="I53" i="35" s="1"/>
  <c r="J53" i="35" s="1"/>
  <c r="H52" i="35"/>
  <c r="I52" i="35" s="1"/>
  <c r="J52" i="35" s="1"/>
  <c r="J51" i="35"/>
  <c r="A51" i="35"/>
  <c r="J50" i="35"/>
  <c r="H49" i="35"/>
  <c r="I49" i="35" s="1"/>
  <c r="J49" i="35" s="1"/>
  <c r="H48" i="35"/>
  <c r="I48" i="35" s="1"/>
  <c r="J48" i="35" s="1"/>
  <c r="H47" i="35"/>
  <c r="I47" i="35" s="1"/>
  <c r="J47" i="35" s="1"/>
  <c r="J46" i="35"/>
  <c r="A46" i="35"/>
  <c r="H45" i="35"/>
  <c r="I45" i="35" s="1"/>
  <c r="J45" i="35" s="1"/>
  <c r="H44" i="35"/>
  <c r="I44" i="35" s="1"/>
  <c r="J44" i="35" s="1"/>
  <c r="H43" i="35"/>
  <c r="I43" i="35" s="1"/>
  <c r="J43" i="35" s="1"/>
  <c r="H42" i="35"/>
  <c r="I42" i="35" s="1"/>
  <c r="J42" i="35" s="1"/>
  <c r="H41" i="35"/>
  <c r="I41" i="35" s="1"/>
  <c r="J41" i="35" s="1"/>
  <c r="H40" i="35"/>
  <c r="I40" i="35" s="1"/>
  <c r="J40" i="35" s="1"/>
  <c r="H39" i="35"/>
  <c r="I39" i="35" s="1"/>
  <c r="J39" i="35" s="1"/>
  <c r="H38" i="35"/>
  <c r="I38" i="35" s="1"/>
  <c r="J38" i="35" s="1"/>
  <c r="H37" i="35"/>
  <c r="I37" i="35" s="1"/>
  <c r="J37" i="35" s="1"/>
  <c r="H36" i="35"/>
  <c r="I36" i="35" s="1"/>
  <c r="J36" i="35" s="1"/>
  <c r="A35" i="35"/>
  <c r="J34" i="35"/>
  <c r="E33" i="35"/>
  <c r="H33" i="35" s="1"/>
  <c r="I33" i="35" s="1"/>
  <c r="H32" i="35"/>
  <c r="I32" i="35" s="1"/>
  <c r="J32" i="35" s="1"/>
  <c r="H31" i="35"/>
  <c r="I31" i="35" s="1"/>
  <c r="J31" i="35" s="1"/>
  <c r="H30" i="35"/>
  <c r="I30" i="35" s="1"/>
  <c r="J30" i="35" s="1"/>
  <c r="H29" i="35"/>
  <c r="J28" i="35"/>
  <c r="A28" i="35"/>
  <c r="E12" i="35"/>
  <c r="H66" i="36" l="1"/>
  <c r="H67" i="36"/>
  <c r="I30" i="36"/>
  <c r="J30" i="36" s="1"/>
  <c r="H68" i="35"/>
  <c r="H67" i="35"/>
  <c r="I29" i="35"/>
  <c r="J29" i="35" s="1"/>
  <c r="H70" i="34"/>
  <c r="H69" i="34"/>
  <c r="H68" i="34"/>
  <c r="H67" i="34"/>
  <c r="H66" i="34"/>
  <c r="H64" i="34"/>
  <c r="H63" i="34"/>
  <c r="H62" i="34"/>
  <c r="H61" i="34"/>
  <c r="A61" i="34"/>
  <c r="H60" i="34"/>
  <c r="F59" i="34"/>
  <c r="G59" i="34" s="1"/>
  <c r="H59" i="34" s="1"/>
  <c r="F58" i="34"/>
  <c r="G58" i="34" s="1"/>
  <c r="H58" i="34" s="1"/>
  <c r="F57" i="34"/>
  <c r="G57" i="34" s="1"/>
  <c r="H57" i="34" s="1"/>
  <c r="F56" i="34"/>
  <c r="G56" i="34" s="1"/>
  <c r="H56" i="34" s="1"/>
  <c r="F55" i="34"/>
  <c r="G55" i="34" s="1"/>
  <c r="H55" i="34" s="1"/>
  <c r="F54" i="34"/>
  <c r="G54" i="34" s="1"/>
  <c r="H54" i="34" s="1"/>
  <c r="F53" i="34"/>
  <c r="G53" i="34" s="1"/>
  <c r="H53" i="34" s="1"/>
  <c r="H52" i="34"/>
  <c r="A52" i="34"/>
  <c r="H51" i="34"/>
  <c r="F50" i="34"/>
  <c r="G50" i="34" s="1"/>
  <c r="H50" i="34" s="1"/>
  <c r="F49" i="34"/>
  <c r="G49" i="34" s="1"/>
  <c r="H49" i="34" s="1"/>
  <c r="F48" i="34"/>
  <c r="G48" i="34" s="1"/>
  <c r="H48" i="34" s="1"/>
  <c r="H47" i="34"/>
  <c r="A47" i="34"/>
  <c r="F46" i="34"/>
  <c r="G46" i="34" s="1"/>
  <c r="H46" i="34" s="1"/>
  <c r="F45" i="34"/>
  <c r="G45" i="34" s="1"/>
  <c r="H45" i="34" s="1"/>
  <c r="F44" i="34"/>
  <c r="G44" i="34" s="1"/>
  <c r="H44" i="34" s="1"/>
  <c r="F43" i="34"/>
  <c r="G43" i="34" s="1"/>
  <c r="H43" i="34" s="1"/>
  <c r="F42" i="34"/>
  <c r="G42" i="34" s="1"/>
  <c r="H42" i="34" s="1"/>
  <c r="F41" i="34"/>
  <c r="G41" i="34" s="1"/>
  <c r="H41" i="34" s="1"/>
  <c r="F40" i="34"/>
  <c r="G40" i="34" s="1"/>
  <c r="H40" i="34" s="1"/>
  <c r="F39" i="34"/>
  <c r="G39" i="34" s="1"/>
  <c r="H39" i="34" s="1"/>
  <c r="F38" i="34"/>
  <c r="G38" i="34" s="1"/>
  <c r="H38" i="34" s="1"/>
  <c r="F37" i="34"/>
  <c r="G37" i="34" s="1"/>
  <c r="H37" i="34" s="1"/>
  <c r="F36" i="34"/>
  <c r="G36" i="34" s="1"/>
  <c r="H36" i="34" s="1"/>
  <c r="A35" i="34"/>
  <c r="H34" i="34"/>
  <c r="D33" i="34"/>
  <c r="F33" i="34" s="1"/>
  <c r="G33" i="34" s="1"/>
  <c r="F32" i="34"/>
  <c r="G32" i="34" s="1"/>
  <c r="H32" i="34" s="1"/>
  <c r="F31" i="34"/>
  <c r="G31" i="34" s="1"/>
  <c r="H31" i="34" s="1"/>
  <c r="F30" i="34"/>
  <c r="G30" i="34" s="1"/>
  <c r="H30" i="34" s="1"/>
  <c r="F29" i="34"/>
  <c r="H28" i="34"/>
  <c r="A28" i="34"/>
  <c r="D12" i="34"/>
  <c r="F56" i="22"/>
  <c r="G56" i="22" s="1"/>
  <c r="H56" i="22" s="1"/>
  <c r="F55" i="22"/>
  <c r="G55" i="22" s="1"/>
  <c r="H55" i="22" s="1"/>
  <c r="H68" i="36" l="1"/>
  <c r="H69" i="35"/>
  <c r="F67" i="34"/>
  <c r="G29" i="34"/>
  <c r="H29" i="34" s="1"/>
  <c r="F66" i="34"/>
  <c r="F32" i="22"/>
  <c r="G32" i="22" s="1"/>
  <c r="H32" i="22" s="1"/>
  <c r="F31" i="22"/>
  <c r="G31" i="22" s="1"/>
  <c r="H31" i="22" s="1"/>
  <c r="F68" i="34" l="1"/>
  <c r="F58" i="22"/>
  <c r="G58" i="22" s="1"/>
  <c r="F57" i="22"/>
  <c r="G57" i="22" s="1"/>
  <c r="F48" i="22"/>
  <c r="G48" i="22" s="1"/>
  <c r="H18" i="23"/>
  <c r="F60" i="22"/>
  <c r="G60" i="22" s="1"/>
  <c r="F44" i="22"/>
  <c r="G44" i="22" s="1"/>
  <c r="F43" i="22"/>
  <c r="G43" i="22" s="1"/>
  <c r="F41" i="22"/>
  <c r="G41" i="22" s="1"/>
  <c r="F40" i="22"/>
  <c r="G40" i="22" s="1"/>
  <c r="F38" i="22"/>
  <c r="G38" i="22" s="1"/>
  <c r="D33" i="22"/>
  <c r="F33" i="22" s="1"/>
  <c r="G33" i="22" s="1"/>
  <c r="F30" i="22"/>
  <c r="G30" i="22" s="1"/>
  <c r="H30" i="22" s="1"/>
  <c r="H60" i="22" l="1"/>
  <c r="H58" i="22"/>
  <c r="H57" i="22"/>
  <c r="H41" i="22"/>
  <c r="H48" i="22"/>
  <c r="H44" i="22"/>
  <c r="H43" i="22"/>
  <c r="H40" i="22"/>
  <c r="H38" i="22"/>
  <c r="F54" i="22"/>
  <c r="H35" i="23"/>
  <c r="F59" i="22"/>
  <c r="G59" i="22" s="1"/>
  <c r="F53" i="22"/>
  <c r="G53" i="22" s="1"/>
  <c r="F49" i="22"/>
  <c r="G49" i="22" s="1"/>
  <c r="F45" i="22"/>
  <c r="H34" i="23"/>
  <c r="G54" i="22" l="1"/>
  <c r="H54" i="22" s="1"/>
  <c r="G45" i="22"/>
  <c r="H45" i="22" s="1"/>
  <c r="A35" i="22"/>
  <c r="F42" i="22"/>
  <c r="F37" i="22"/>
  <c r="G37" i="22" s="1"/>
  <c r="G42" i="22" l="1"/>
  <c r="H42" i="22" s="1"/>
  <c r="H59" i="22"/>
  <c r="F36" i="22"/>
  <c r="G36" i="22" s="1"/>
  <c r="M9" i="33" l="1"/>
  <c r="M11" i="33"/>
  <c r="F29" i="22" l="1"/>
  <c r="H34" i="22"/>
  <c r="A62" i="22"/>
  <c r="A51" i="22"/>
  <c r="A46" i="22"/>
  <c r="A28" i="22"/>
  <c r="G29" i="22" l="1"/>
  <c r="H29" i="22" s="1"/>
  <c r="H49" i="22"/>
  <c r="H71" i="22"/>
  <c r="H70" i="22"/>
  <c r="H69" i="22"/>
  <c r="H68" i="22"/>
  <c r="H67" i="22"/>
  <c r="H61" i="22"/>
  <c r="H62" i="22"/>
  <c r="H63" i="22"/>
  <c r="H64" i="22"/>
  <c r="H65" i="22"/>
  <c r="H28" i="22"/>
  <c r="M30" i="3"/>
  <c r="G30" i="3"/>
  <c r="M29" i="3"/>
  <c r="G29" i="3"/>
  <c r="G28" i="3"/>
  <c r="G25" i="3"/>
  <c r="G27" i="3" s="1"/>
  <c r="H51" i="22"/>
  <c r="H46" i="22"/>
  <c r="F52" i="22"/>
  <c r="G52" i="22" s="1"/>
  <c r="H50" i="22"/>
  <c r="F47" i="22"/>
  <c r="G47" i="22" s="1"/>
  <c r="F39" i="22"/>
  <c r="G39" i="22" s="1"/>
  <c r="H37" i="22"/>
  <c r="H36" i="22"/>
  <c r="F67" i="22" l="1"/>
  <c r="H53" i="22"/>
  <c r="H52" i="22"/>
  <c r="H47" i="22"/>
  <c r="F68" i="22"/>
  <c r="G41" i="3"/>
  <c r="G32" i="3"/>
  <c r="G40" i="3"/>
  <c r="G33" i="3"/>
  <c r="M28" i="3"/>
  <c r="M33" i="3" s="1"/>
  <c r="G26" i="3"/>
  <c r="M25" i="3"/>
  <c r="F69" i="22" l="1"/>
  <c r="H39" i="22"/>
  <c r="M27" i="3"/>
  <c r="M32" i="3" s="1"/>
  <c r="M26" i="3"/>
  <c r="M31" i="3" s="1"/>
  <c r="G31" i="3"/>
  <c r="G49" i="3"/>
  <c r="G42" i="3"/>
  <c r="G43" i="3" s="1"/>
  <c r="G34" i="3"/>
  <c r="G44" i="3" l="1"/>
  <c r="M34" i="3"/>
  <c r="G48" i="3" s="1"/>
  <c r="G47" i="3"/>
  <c r="G50" i="3" l="1"/>
  <c r="G52" i="3" s="1"/>
  <c r="D12" i="22" l="1"/>
</calcChain>
</file>

<file path=xl/sharedStrings.xml><?xml version="1.0" encoding="utf-8"?>
<sst xmlns="http://schemas.openxmlformats.org/spreadsheetml/2006/main" count="840" uniqueCount="293">
  <si>
    <t>Стоимость тонны листового метала =</t>
  </si>
  <si>
    <t>Стоимость тонны швеллера =</t>
  </si>
  <si>
    <t>Толщина метала =</t>
  </si>
  <si>
    <t>Длина швеллеров основания =</t>
  </si>
  <si>
    <t>Справочная информация</t>
  </si>
  <si>
    <t>мм.</t>
  </si>
  <si>
    <t>тыс.руб.</t>
  </si>
  <si>
    <t>шт.</t>
  </si>
  <si>
    <t>м.кв.</t>
  </si>
  <si>
    <t>м.</t>
  </si>
  <si>
    <t>Стоимость швеллера =</t>
  </si>
  <si>
    <t>Стоимость листового металла=</t>
  </si>
  <si>
    <t>руб.</t>
  </si>
  <si>
    <t>руб/кг.</t>
  </si>
  <si>
    <t>Швеллер</t>
  </si>
  <si>
    <t>Иходные данные для просчета</t>
  </si>
  <si>
    <t>кг.</t>
  </si>
  <si>
    <t>ИТОГО</t>
  </si>
  <si>
    <t>Метров в тонне</t>
  </si>
  <si>
    <t>Масса 1-го метра, кг.</t>
  </si>
  <si>
    <t>Стоимость материалов</t>
  </si>
  <si>
    <t>Площадь корпуса =</t>
  </si>
  <si>
    <t>Габариты</t>
  </si>
  <si>
    <t>Дополниельно</t>
  </si>
  <si>
    <t>Пол сплошной =</t>
  </si>
  <si>
    <t>Количество пергородок =</t>
  </si>
  <si>
    <t>L (длина) =</t>
  </si>
  <si>
    <t>В (ширина)=</t>
  </si>
  <si>
    <t>Н (высота)=</t>
  </si>
  <si>
    <t>Кол- во  листов метала расчетно =</t>
  </si>
  <si>
    <t>Масса листового металла =</t>
  </si>
  <si>
    <t>Масса швеллеров основания =</t>
  </si>
  <si>
    <t>Полная масса коруса =</t>
  </si>
  <si>
    <t>Стоимость краски (на два раза) =</t>
  </si>
  <si>
    <t xml:space="preserve">Расчет </t>
  </si>
  <si>
    <t>стоимости изготовления корпуса  КТП</t>
  </si>
  <si>
    <t>Удельный вес метра швеллера=</t>
  </si>
  <si>
    <t>Площадь стандартного листа металла 2500х1250мм  = 3,125м.кв.</t>
  </si>
  <si>
    <t>Растные данные с учетом коэф. использования</t>
  </si>
  <si>
    <t xml:space="preserve">Примечание:  </t>
  </si>
  <si>
    <t>Стоимость килограмма краски =</t>
  </si>
  <si>
    <t>Расчетные данные (абсолютные)</t>
  </si>
  <si>
    <t>Пол =  В(ширина) х L(длина);    Прегородка = В(ширина) х Н(высота)</t>
  </si>
  <si>
    <t>Итого стоимость материалов=</t>
  </si>
  <si>
    <t>Промежуточная расчетная информация</t>
  </si>
  <si>
    <t>Примечание:  0 - нет,  1  - есть одна;  2  - две.</t>
  </si>
  <si>
    <t>Наименование</t>
  </si>
  <si>
    <t>Вес стандартного листа металла 2500х1250мм  толщиной 1мм  = 25кг.</t>
  </si>
  <si>
    <t>с учетом коэф. использования</t>
  </si>
  <si>
    <t>Примечание: таблица создана для просчета стоимости конструктивов с основанием  и швелера и корпуса из листового металла.</t>
  </si>
  <si>
    <t>Площадь покраски =</t>
  </si>
  <si>
    <t>Расход краски   =</t>
  </si>
  <si>
    <t>кг /кв.м</t>
  </si>
  <si>
    <t>из расчета рахсода на 1м.кв.</t>
  </si>
  <si>
    <t>Количество ворот  =</t>
  </si>
  <si>
    <t>Кол-во возд. водов ВН =</t>
  </si>
  <si>
    <t>Кол-во возд.водов НН =</t>
  </si>
  <si>
    <t>Стоимость 1кг листвого метала =</t>
  </si>
  <si>
    <t>Стоимость 1кг швелера =</t>
  </si>
  <si>
    <t>Масса краски =</t>
  </si>
  <si>
    <t>Раход краски при покраске эмалью принят  0,2 кг на 1 м.кв.</t>
  </si>
  <si>
    <t>Коэф. использования листового метала=</t>
  </si>
  <si>
    <t>Коэф. использования швеллера =</t>
  </si>
  <si>
    <t>Стоимость расходных материалов =</t>
  </si>
  <si>
    <t>Стоимость работ по изготовлению и установки воздушного ввода ВН или НН   =  1000руб.</t>
  </si>
  <si>
    <t>ver. 180112</t>
  </si>
  <si>
    <t>Добавочная стоимость изготовления одних ворот  =  600руб.</t>
  </si>
  <si>
    <t>Кол-во</t>
  </si>
  <si>
    <t>Дата просчета</t>
  </si>
  <si>
    <t>Цена</t>
  </si>
  <si>
    <t>Сумма</t>
  </si>
  <si>
    <t>СЕБЕСТОИМОСТЬ Цена для Менеджера</t>
  </si>
  <si>
    <t>РУНН</t>
  </si>
  <si>
    <t>РУВН</t>
  </si>
  <si>
    <t>ИТОГОВАЯ СЕБЕСТОИМОСТЬ С РАБОТАМИ</t>
  </si>
  <si>
    <t>Сумма с работами</t>
  </si>
  <si>
    <t>ПРОЧЕЕ</t>
  </si>
  <si>
    <t>Размер шины</t>
  </si>
  <si>
    <t>Вес 1 п/м шины, кг</t>
  </si>
  <si>
    <t>Вес алюминиевой шины АД31 15х3</t>
  </si>
  <si>
    <t>Вес алюминиевой шины АД31 20х3</t>
  </si>
  <si>
    <t>Вес алюминиевой шины АД31 25х3</t>
  </si>
  <si>
    <t>Вес алюминиевой шины АД31 30х4</t>
  </si>
  <si>
    <t>Вес алюминиевой шины АД31 40х4</t>
  </si>
  <si>
    <t>Вес алюминиевой шины АД31 40х5</t>
  </si>
  <si>
    <t>Вес алюминиевой шины АД31 50х5</t>
  </si>
  <si>
    <t>Вес алюминиевой шины АД31 50х6</t>
  </si>
  <si>
    <t>Вес алюминиевой шины АД31 80х6</t>
  </si>
  <si>
    <t>Вес алюминиевой шины АД31 80х8</t>
  </si>
  <si>
    <t>Вес алюминиевой шины АД31 80х10</t>
  </si>
  <si>
    <t>Вес алюминиевой шины АД31 100х6</t>
  </si>
  <si>
    <t>Вес алюминиевой шины АД31 100х8</t>
  </si>
  <si>
    <t>Вес алюминиевой шины АД31 100х10</t>
  </si>
  <si>
    <t>Вес алюминиевой шины АД31 120х10</t>
  </si>
  <si>
    <t>Вес медной шины 15х3</t>
  </si>
  <si>
    <t>Вес медной шины 20х3</t>
  </si>
  <si>
    <t>Вес медной шины 25х3</t>
  </si>
  <si>
    <t>Вес медной шины 30х4</t>
  </si>
  <si>
    <t>Вес медной шины 40х4</t>
  </si>
  <si>
    <t>Вес медной шины 40х5</t>
  </si>
  <si>
    <t>Вес медной шины 50х5</t>
  </si>
  <si>
    <t>Вес медной шины 50х6</t>
  </si>
  <si>
    <t>Вес медной шины 60х6</t>
  </si>
  <si>
    <t>Вес медной шины 60х8</t>
  </si>
  <si>
    <t>Вес медной шины 60х10</t>
  </si>
  <si>
    <t>Вес медной шины 80х6</t>
  </si>
  <si>
    <t>Вес медной шины 80х8</t>
  </si>
  <si>
    <t>Вес медной шины 80х10</t>
  </si>
  <si>
    <t>Вес медной шины 100х6</t>
  </si>
  <si>
    <t>Вес медной шины 100х8</t>
  </si>
  <si>
    <t>Вес медной шины 100х10</t>
  </si>
  <si>
    <t>Вес медной шины 120х10</t>
  </si>
  <si>
    <t>Номинальный ток,  А</t>
  </si>
  <si>
    <t>Вес алюминиевой шины АД31 60х6</t>
  </si>
  <si>
    <t>Вес алюминиевой шины АД31 60х8</t>
  </si>
  <si>
    <t>Вес алюминиевой шины АД31 60х10</t>
  </si>
  <si>
    <t>Кол-во шины, м</t>
  </si>
  <si>
    <t>Ст-сть 1 кг, руб.</t>
  </si>
  <si>
    <t>Стоимость ошиновки изделия</t>
  </si>
  <si>
    <t>Кабель</t>
  </si>
  <si>
    <t>Длина, м</t>
  </si>
  <si>
    <t>Ст-сть, р/м</t>
  </si>
  <si>
    <t xml:space="preserve">
Муфта кабельная концевая внутр. установки 10кВ КВТпН 3х(70-120мм) с болт. наконечн. Нева-Транс Комплект 22020055 Нева Транс</t>
  </si>
  <si>
    <t>стоимости изготовления корпуса  КТП из сэндвич-панелей</t>
  </si>
  <si>
    <t>Стоимость 1м2 сэндвич-панели =</t>
  </si>
  <si>
    <t>Стоимость КТП =</t>
  </si>
  <si>
    <t>кг</t>
  </si>
  <si>
    <t>Ориентироввочная масса КТП =</t>
  </si>
  <si>
    <t>АПвПуг 3х120/35</t>
  </si>
  <si>
    <t>Проект</t>
  </si>
  <si>
    <t>Тип оборудования</t>
  </si>
  <si>
    <t>Заказчик</t>
  </si>
  <si>
    <t>КТП</t>
  </si>
  <si>
    <t>Ширина, мм</t>
  </si>
  <si>
    <t>Высота, мм</t>
  </si>
  <si>
    <t>Масса, кг</t>
  </si>
  <si>
    <t>Доп. Параметры (Металл/Сендвич)</t>
  </si>
  <si>
    <t>Структура</t>
  </si>
  <si>
    <t>ИТОГ</t>
  </si>
  <si>
    <t>ДАННЫЕ</t>
  </si>
  <si>
    <t>Опция</t>
  </si>
  <si>
    <t>Значение</t>
  </si>
  <si>
    <t>№</t>
  </si>
  <si>
    <t>Взам. инв. №</t>
  </si>
  <si>
    <t>Подп. и дата</t>
  </si>
  <si>
    <t>{ШИФР ДОКУМЕНТАЦИИ}</t>
  </si>
  <si>
    <t>Изм.</t>
  </si>
  <si>
    <t>Кол.</t>
  </si>
  <si>
    <t>Лист</t>
  </si>
  <si>
    <t>№док.</t>
  </si>
  <si>
    <t>Подп.</t>
  </si>
  <si>
    <t>Дата</t>
  </si>
  <si>
    <t>Инв. № подп.</t>
  </si>
  <si>
    <t>{ЛИСТ}</t>
  </si>
  <si>
    <t>Формат А3</t>
  </si>
  <si>
    <t>template_A3h_view_2_#</t>
  </si>
  <si>
    <t>Пози-
ция</t>
  </si>
  <si>
    <t>Единица измере-
ния</t>
  </si>
  <si>
    <t>Коли-
чество</t>
  </si>
  <si>
    <t>Примечание</t>
  </si>
  <si>
    <t>template_A3h_spec_2_#</t>
  </si>
  <si>
    <t>Наименование параметра</t>
  </si>
  <si>
    <t>Значение параметра</t>
  </si>
  <si>
    <t>Рисунок</t>
  </si>
  <si>
    <t>Шифр документации</t>
  </si>
  <si>
    <t>Пункт 1</t>
  </si>
  <si>
    <t>Наименование изделия</t>
  </si>
  <si>
    <t>4% от стоимости метала (шарниры, сварочная проволка, СО2и др)</t>
  </si>
  <si>
    <t>Стоимость работ</t>
  </si>
  <si>
    <t xml:space="preserve">Резка гибка= </t>
  </si>
  <si>
    <t>3 тыс. за обработку тонны листового метала)</t>
  </si>
  <si>
    <t>Сборка сварка=</t>
  </si>
  <si>
    <t>из расчета 11 тыс за  тонну + воздушный ввод и ворота)</t>
  </si>
  <si>
    <t>Покраска на два раза=</t>
  </si>
  <si>
    <t>из рачета 14 руб / м.кв (внутри и снаружи на два раза)</t>
  </si>
  <si>
    <t>Итого стоимость работ=</t>
  </si>
  <si>
    <t>Итого стоимость корпуса=</t>
  </si>
  <si>
    <t xml:space="preserve">Стоимость тонны металла на текущий день можно уточнить на сайте  </t>
  </si>
  <si>
    <t>/*</t>
  </si>
  <si>
    <t>Количество</t>
  </si>
  <si>
    <t>Цена, руб</t>
  </si>
  <si>
    <t>Стоиомсть, руб</t>
  </si>
  <si>
    <t>Стоимость с наценкой, руб</t>
  </si>
  <si>
    <t>Примечание 1</t>
  </si>
  <si>
    <t>Скрыть строку, символы /*</t>
  </si>
  <si>
    <t>Ед. изм.</t>
  </si>
  <si>
    <t>Общие данные</t>
  </si>
  <si>
    <t>Однолинейная схема</t>
  </si>
  <si>
    <t>*Данный внешний вид является предварительным и может быть уточнен до начала производства</t>
  </si>
  <si>
    <t>Наименование оборудования</t>
  </si>
  <si>
    <t>НКУ</t>
  </si>
  <si>
    <t>ЯКНО</t>
  </si>
  <si>
    <t>Другое</t>
  </si>
  <si>
    <t>Корпус</t>
  </si>
  <si>
    <t>Входящая линия</t>
  </si>
  <si>
    <t>Отходящие линии</t>
  </si>
  <si>
    <t>ЗИП</t>
  </si>
  <si>
    <t>Трансформатор</t>
  </si>
  <si>
    <t>Отсек высоковольтного выключателя</t>
  </si>
  <si>
    <t>Отсек РЗА</t>
  </si>
  <si>
    <t>Прочее</t>
  </si>
  <si>
    <t>СИЗ</t>
  </si>
  <si>
    <t>Примечание 2</t>
  </si>
  <si>
    <t>Примечание 3</t>
  </si>
  <si>
    <t>Примечание 4</t>
  </si>
  <si>
    <t>Освешение внутренние</t>
  </si>
  <si>
    <t>Освешение внешнее</t>
  </si>
  <si>
    <t>Система ТМ</t>
  </si>
  <si>
    <t>Фидер уличного освещения</t>
  </si>
  <si>
    <t>Система принудительной вентиляции</t>
  </si>
  <si>
    <t>Система кондиционирования</t>
  </si>
  <si>
    <t>Площадки обслуживания</t>
  </si>
  <si>
    <t>Кабельный полуэтаж</t>
  </si>
  <si>
    <t>Да</t>
  </si>
  <si>
    <t>Нет</t>
  </si>
  <si>
    <t>Система ПС</t>
  </si>
  <si>
    <t>Система ОС</t>
  </si>
  <si>
    <t>КСО</t>
  </si>
  <si>
    <t>КСО2</t>
  </si>
  <si>
    <t>Каркас ЯКНО 1000х1500х2885h</t>
  </si>
  <si>
    <t>Рама опорная для изоляторов 1000х1500х1265</t>
  </si>
  <si>
    <t>Метизы для сборки</t>
  </si>
  <si>
    <t>Длина, мм</t>
  </si>
  <si>
    <t>Шина алюминиевая АД31т расчетного сечения (комплект)</t>
  </si>
  <si>
    <t>Изолятор проходной 10 кВ</t>
  </si>
  <si>
    <t>Изолятор штыревой 10кВ</t>
  </si>
  <si>
    <t xml:space="preserve">Обогреватель </t>
  </si>
  <si>
    <t>Термостат</t>
  </si>
  <si>
    <t>Светодиодный светильник</t>
  </si>
  <si>
    <t xml:space="preserve">Провод монтажный </t>
  </si>
  <si>
    <t>Трансформатор тока нулевой последовательности ТЗЛМ-1</t>
  </si>
  <si>
    <t>Металл</t>
  </si>
  <si>
    <t>ЯКНО-ВВ-6кВ</t>
  </si>
  <si>
    <t>Салазки</t>
  </si>
  <si>
    <t>Микропроцессорная защита МКЗП Микро 2.0</t>
  </si>
  <si>
    <t>Амперметр Э8030</t>
  </si>
  <si>
    <t>Прицепное устройство</t>
  </si>
  <si>
    <t>Трансформатор 3х3НОЛП-6</t>
  </si>
  <si>
    <t>Силовой трансформатор ОЛСп-1,25/6 УХЛ2</t>
  </si>
  <si>
    <t>Ограничитель перенапряжения ОПН-П-6/7,2/550 УХЛ2</t>
  </si>
  <si>
    <t>Вольтметр Э8030   6/0,1 шкала  0-7,2кВ</t>
  </si>
  <si>
    <t>Вакуумный выключатель ESQ ВВ(F)-12/1250-25-150-М (12кВ, 1250А, 25кА, 6NO+6NC, AC/DC220, стационарный, модульный механизм)</t>
  </si>
  <si>
    <t>2055</t>
  </si>
  <si>
    <t>ООО "Соврудник"</t>
  </si>
  <si>
    <t>2055-09-10-24</t>
  </si>
  <si>
    <t>Салазки 2000х2500х410h</t>
  </si>
  <si>
    <t>Трансформатор ТОЛ-10 0.5/10Р 10/15ВА- 800/5</t>
  </si>
  <si>
    <t>Разъединитель РВФЗ 10/1000 II-II</t>
  </si>
  <si>
    <t>Разъединитель РВЗ 10/1000 II</t>
  </si>
  <si>
    <t>Кабель АПвПуг-10 1х400/50</t>
  </si>
  <si>
    <t>Муфта кабельная 1ПКВТ-10-300/400(Б)</t>
  </si>
  <si>
    <t>Светосигнальный маячок (наличие напряжения)</t>
  </si>
  <si>
    <t>Лестница складная (для обслуживания верхней части ЯКНО)</t>
  </si>
  <si>
    <t>Механические блокировки:
1. Блокировка главных ножей разъединителя с его заземляющими ножами;
2. Блокировка вакуумного выключателя с основными ножами разъединителя;
3. Блокировка заземляющих ножей разъединителя с дверью отсека высоковольтного выключателя.</t>
  </si>
  <si>
    <t>ЯКНО-ВК-6кВ</t>
  </si>
  <si>
    <t>№ п/п</t>
  </si>
  <si>
    <t>Каркас ЯКНО (металл 2 мм, окрашен методом порошковой полимеризации)  Габаритные размеры ШхГхВ 1000х1500х2885 мм</t>
  </si>
  <si>
    <t>Рама опорная для изоляторов, габаритные размеры  ШхГхВ 1000х1500х1265 мм</t>
  </si>
  <si>
    <t>Салазки (труба ф219мм, стенка 4 мм) Габаритные размеры ШхДхВ 2000х2500х410 мм</t>
  </si>
  <si>
    <t>Прицепное устройство  - дышло (швеллер 10П)</t>
  </si>
  <si>
    <t>Дополнительно</t>
  </si>
  <si>
    <t>1</t>
  </si>
  <si>
    <t>1.1</t>
  </si>
  <si>
    <t>1.2</t>
  </si>
  <si>
    <t>1.3</t>
  </si>
  <si>
    <t>1.4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</si>
  <si>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</si>
  <si>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</si>
  <si>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</si>
  <si>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</si>
  <si>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</si>
  <si>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</si>
  <si>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</si>
  <si>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</si>
  <si>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</si>
  <si>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</si>
  <si>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</si>
  <si>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</si>
  <si>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3.1</t>
  </si>
  <si>
    <t>3.2</t>
  </si>
  <si>
    <t>3.3</t>
  </si>
  <si>
    <t>3.4</t>
  </si>
  <si>
    <t>4</t>
  </si>
  <si>
    <t>4.1</t>
  </si>
  <si>
    <t>4.2</t>
  </si>
  <si>
    <t>4.6</t>
  </si>
  <si>
    <t>4.3</t>
  </si>
  <si>
    <t>4.4</t>
  </si>
  <si>
    <t>4.5</t>
  </si>
  <si>
    <t>4.7</t>
  </si>
  <si>
    <t>4.8</t>
  </si>
  <si>
    <t>1.5</t>
  </si>
  <si>
    <t>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</si>
</sst>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&quot;р.&quot;"/>
    <numFmt numFmtId="166" formatCode="mm/yy"/>
    <numFmt numFmtId="167" formatCode="#,##0\ &quot;₽&quot;"/>
  </numFmts>
  <fonts count="34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u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0"/>
      <color theme="1"/>
      <name val="ISOCPEUR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5"/>
      <name val="Times New Roman"/>
      <family val="1"/>
      <charset val="204"/>
    </font>
    <font>
      <b/>
      <sz val="10"/>
      <name val="Times New Roman"/>
      <family val="1"/>
      <charset val="204"/>
    </font>
    <font>
      <sz val="1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indexed="64"/>
      <name val="Calibri"/>
      <family val="2"/>
      <charset val="204"/>
    </font>
    <font>
      <b/>
      <sz val="14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0" fontId="14" fillId="0" borderId="0"/>
    <xf numFmtId="0" fontId="26" fillId="0" borderId="0"/>
  </cellStyleXfs>
  <cellXfs count="3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10" xfId="0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8" fillId="0" borderId="0" xfId="0" applyFont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left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4" fillId="0" borderId="17" xfId="0" applyFont="1" applyBorder="1" applyAlignment="1" applyProtection="1">
      <alignment horizontal="center"/>
      <protection locked="0"/>
    </xf>
    <xf numFmtId="2" fontId="2" fillId="0" borderId="13" xfId="0" applyNumberFormat="1" applyFont="1" applyBorder="1"/>
    <xf numFmtId="2" fontId="5" fillId="0" borderId="18" xfId="0" applyNumberFormat="1" applyFont="1" applyBorder="1"/>
    <xf numFmtId="2" fontId="4" fillId="0" borderId="13" xfId="0" applyNumberFormat="1" applyFont="1" applyBorder="1"/>
    <xf numFmtId="0" fontId="8" fillId="0" borderId="8" xfId="0" applyFont="1" applyBorder="1"/>
    <xf numFmtId="0" fontId="0" fillId="0" borderId="12" xfId="0" applyBorder="1"/>
    <xf numFmtId="0" fontId="8" fillId="0" borderId="8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19" xfId="0" applyBorder="1" applyAlignment="1">
      <alignment horizontal="right"/>
    </xf>
    <xf numFmtId="2" fontId="4" fillId="0" borderId="18" xfId="0" applyNumberFormat="1" applyFont="1" applyBorder="1"/>
    <xf numFmtId="1" fontId="5" fillId="0" borderId="13" xfId="0" applyNumberFormat="1" applyFont="1" applyBorder="1"/>
    <xf numFmtId="0" fontId="4" fillId="0" borderId="17" xfId="1" applyNumberFormat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0" fillId="0" borderId="19" xfId="0" applyBorder="1"/>
    <xf numFmtId="0" fontId="0" fillId="0" borderId="17" xfId="0" applyBorder="1"/>
    <xf numFmtId="0" fontId="0" fillId="0" borderId="0" xfId="0" applyAlignment="1">
      <alignment vertical="center"/>
    </xf>
    <xf numFmtId="165" fontId="12" fillId="0" borderId="17" xfId="0" applyNumberFormat="1" applyFont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5" fillId="0" borderId="19" xfId="0" applyFont="1" applyBorder="1"/>
    <xf numFmtId="0" fontId="5" fillId="0" borderId="6" xfId="0" applyFont="1" applyBorder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164" fontId="4" fillId="0" borderId="0" xfId="0" applyNumberFormat="1" applyFont="1"/>
    <xf numFmtId="0" fontId="2" fillId="0" borderId="16" xfId="0" applyFont="1" applyBorder="1"/>
    <xf numFmtId="0" fontId="4" fillId="0" borderId="0" xfId="0" applyFont="1"/>
    <xf numFmtId="1" fontId="5" fillId="0" borderId="0" xfId="0" applyNumberFormat="1" applyFont="1"/>
    <xf numFmtId="1" fontId="4" fillId="0" borderId="0" xfId="0" applyNumberFormat="1" applyFont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13" xfId="0" applyFont="1" applyBorder="1"/>
    <xf numFmtId="0" fontId="3" fillId="0" borderId="11" xfId="0" applyFont="1" applyBorder="1"/>
    <xf numFmtId="0" fontId="2" fillId="0" borderId="12" xfId="0" applyFont="1" applyBorder="1"/>
    <xf numFmtId="0" fontId="16" fillId="0" borderId="2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25" xfId="0" applyFont="1" applyBorder="1" applyAlignment="1">
      <alignment wrapText="1"/>
    </xf>
    <xf numFmtId="0" fontId="17" fillId="0" borderId="0" xfId="0" applyFont="1"/>
    <xf numFmtId="167" fontId="17" fillId="0" borderId="25" xfId="0" applyNumberFormat="1" applyFont="1" applyBorder="1" applyAlignment="1">
      <alignment wrapText="1"/>
    </xf>
    <xf numFmtId="49" fontId="17" fillId="0" borderId="25" xfId="0" applyNumberFormat="1" applyFont="1" applyBorder="1" applyAlignment="1">
      <alignment wrapText="1"/>
    </xf>
    <xf numFmtId="1" fontId="17" fillId="0" borderId="25" xfId="0" applyNumberFormat="1" applyFont="1" applyBorder="1" applyAlignment="1">
      <alignment wrapText="1"/>
    </xf>
    <xf numFmtId="14" fontId="17" fillId="0" borderId="25" xfId="0" applyNumberFormat="1" applyFont="1" applyBorder="1" applyAlignment="1">
      <alignment wrapText="1"/>
    </xf>
    <xf numFmtId="0" fontId="18" fillId="0" borderId="2" xfId="0" applyFont="1" applyBorder="1"/>
    <xf numFmtId="0" fontId="18" fillId="0" borderId="3" xfId="0" applyFont="1" applyBorder="1"/>
    <xf numFmtId="0" fontId="18" fillId="0" borderId="5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6" xfId="0" applyFont="1" applyBorder="1"/>
    <xf numFmtId="0" fontId="20" fillId="0" borderId="5" xfId="0" applyFont="1" applyBorder="1" applyAlignment="1">
      <alignment vertical="top"/>
    </xf>
    <xf numFmtId="0" fontId="20" fillId="0" borderId="0" xfId="0" applyFont="1" applyAlignment="1">
      <alignment vertical="top"/>
    </xf>
    <xf numFmtId="0" fontId="21" fillId="0" borderId="8" xfId="0" applyFont="1" applyBorder="1"/>
    <xf numFmtId="0" fontId="21" fillId="0" borderId="9" xfId="0" applyFont="1" applyBorder="1"/>
    <xf numFmtId="0" fontId="20" fillId="0" borderId="0" xfId="0" applyFont="1" applyAlignment="1">
      <alignment vertical="center"/>
    </xf>
    <xf numFmtId="0" fontId="22" fillId="0" borderId="5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6" xfId="0" applyFont="1" applyBorder="1" applyAlignment="1">
      <alignment vertical="top" wrapText="1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0" fillId="0" borderId="5" xfId="0" applyFont="1" applyBorder="1"/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6" xfId="0" applyFont="1" applyBorder="1" applyAlignment="1">
      <alignment vertical="center"/>
    </xf>
    <xf numFmtId="0" fontId="20" fillId="0" borderId="7" xfId="0" applyFont="1" applyBorder="1"/>
    <xf numFmtId="0" fontId="20" fillId="0" borderId="8" xfId="0" applyFont="1" applyBorder="1"/>
    <xf numFmtId="0" fontId="16" fillId="2" borderId="2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wrapText="1"/>
    </xf>
    <xf numFmtId="167" fontId="17" fillId="2" borderId="25" xfId="0" applyNumberFormat="1" applyFont="1" applyFill="1" applyBorder="1" applyAlignment="1">
      <alignment wrapText="1"/>
    </xf>
    <xf numFmtId="0" fontId="17" fillId="2" borderId="0" xfId="0" applyFont="1" applyFill="1"/>
    <xf numFmtId="49" fontId="17" fillId="2" borderId="25" xfId="0" applyNumberFormat="1" applyFont="1" applyFill="1" applyBorder="1" applyAlignment="1">
      <alignment wrapText="1"/>
    </xf>
    <xf numFmtId="0" fontId="17" fillId="0" borderId="25" xfId="0" applyFont="1" applyBorder="1"/>
    <xf numFmtId="0" fontId="26" fillId="0" borderId="0" xfId="4"/>
    <xf numFmtId="0" fontId="26" fillId="0" borderId="9" xfId="4" applyBorder="1"/>
    <xf numFmtId="0" fontId="26" fillId="0" borderId="8" xfId="4" applyBorder="1"/>
    <xf numFmtId="0" fontId="27" fillId="0" borderId="8" xfId="4" applyFont="1" applyBorder="1"/>
    <xf numFmtId="0" fontId="26" fillId="0" borderId="7" xfId="4" applyBorder="1"/>
    <xf numFmtId="0" fontId="26" fillId="0" borderId="6" xfId="4" applyBorder="1"/>
    <xf numFmtId="0" fontId="28" fillId="0" borderId="0" xfId="4" applyFont="1"/>
    <xf numFmtId="0" fontId="26" fillId="0" borderId="0" xfId="4" applyAlignment="1">
      <alignment horizontal="right"/>
    </xf>
    <xf numFmtId="0" fontId="27" fillId="0" borderId="0" xfId="4" applyFont="1"/>
    <xf numFmtId="0" fontId="26" fillId="0" borderId="5" xfId="4" applyBorder="1"/>
    <xf numFmtId="0" fontId="26" fillId="0" borderId="12" xfId="4" applyBorder="1" applyAlignment="1">
      <alignment horizontal="left"/>
    </xf>
    <xf numFmtId="0" fontId="28" fillId="0" borderId="10" xfId="4" applyFont="1" applyBorder="1" applyProtection="1">
      <protection locked="0"/>
    </xf>
    <xf numFmtId="0" fontId="28" fillId="0" borderId="0" xfId="4" applyFont="1" applyProtection="1">
      <protection locked="0"/>
    </xf>
    <xf numFmtId="0" fontId="29" fillId="0" borderId="0" xfId="4" applyFont="1" applyAlignment="1">
      <alignment horizontal="right"/>
    </xf>
    <xf numFmtId="0" fontId="26" fillId="0" borderId="19" xfId="4" applyBorder="1"/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right"/>
    </xf>
    <xf numFmtId="0" fontId="28" fillId="0" borderId="17" xfId="4" applyFont="1" applyBorder="1" applyAlignment="1" applyProtection="1">
      <alignment horizontal="center"/>
      <protection locked="0"/>
    </xf>
    <xf numFmtId="0" fontId="26" fillId="0" borderId="19" xfId="4" applyBorder="1" applyAlignment="1">
      <alignment horizontal="right"/>
    </xf>
    <xf numFmtId="0" fontId="29" fillId="0" borderId="6" xfId="4" applyFont="1" applyBorder="1"/>
    <xf numFmtId="0" fontId="29" fillId="0" borderId="0" xfId="4" applyFont="1"/>
    <xf numFmtId="0" fontId="29" fillId="0" borderId="19" xfId="4" applyFont="1" applyBorder="1"/>
    <xf numFmtId="0" fontId="31" fillId="0" borderId="0" xfId="4" applyFont="1"/>
    <xf numFmtId="0" fontId="26" fillId="0" borderId="4" xfId="4" applyBorder="1"/>
    <xf numFmtId="0" fontId="26" fillId="0" borderId="3" xfId="4" applyBorder="1"/>
    <xf numFmtId="0" fontId="26" fillId="0" borderId="2" xfId="4" applyBorder="1"/>
    <xf numFmtId="0" fontId="28" fillId="0" borderId="0" xfId="4" applyFont="1" applyAlignment="1">
      <alignment horizontal="center"/>
    </xf>
    <xf numFmtId="0" fontId="26" fillId="0" borderId="10" xfId="4" applyBorder="1"/>
    <xf numFmtId="0" fontId="16" fillId="3" borderId="25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wrapText="1"/>
    </xf>
    <xf numFmtId="167" fontId="17" fillId="3" borderId="25" xfId="0" applyNumberFormat="1" applyFont="1" applyFill="1" applyBorder="1" applyAlignment="1">
      <alignment wrapText="1"/>
    </xf>
    <xf numFmtId="0" fontId="17" fillId="3" borderId="25" xfId="0" applyFont="1" applyFill="1" applyBorder="1" applyAlignment="1">
      <alignment horizontal="center" wrapText="1"/>
    </xf>
    <xf numFmtId="0" fontId="17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wrapText="1"/>
    </xf>
    <xf numFmtId="167" fontId="17" fillId="0" borderId="25" xfId="0" applyNumberFormat="1" applyFont="1" applyBorder="1" applyAlignment="1">
      <alignment horizontal="center"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7" fillId="0" borderId="25" xfId="0" applyNumberFormat="1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7" fillId="0" borderId="56" xfId="0" applyFont="1" applyBorder="1" applyAlignment="1">
      <alignment wrapText="1"/>
    </xf>
    <xf numFmtId="0" fontId="16" fillId="0" borderId="57" xfId="0" applyFont="1" applyBorder="1" applyAlignment="1">
      <alignment horizontal="center" vertical="center" wrapText="1"/>
    </xf>
    <xf numFmtId="167" fontId="17" fillId="0" borderId="57" xfId="0" applyNumberFormat="1" applyFont="1" applyBorder="1" applyAlignment="1">
      <alignment wrapText="1"/>
    </xf>
    <xf numFmtId="49" fontId="17" fillId="0" borderId="58" xfId="0" applyNumberFormat="1" applyFont="1" applyBorder="1" applyAlignment="1">
      <alignment horizontal="center" vertical="center" wrapText="1"/>
    </xf>
    <xf numFmtId="0" fontId="17" fillId="0" borderId="58" xfId="0" applyFont="1" applyBorder="1" applyAlignment="1">
      <alignment wrapText="1"/>
    </xf>
    <xf numFmtId="49" fontId="17" fillId="0" borderId="58" xfId="0" applyNumberFormat="1" applyFont="1" applyBorder="1" applyAlignment="1">
      <alignment wrapText="1"/>
    </xf>
    <xf numFmtId="0" fontId="17" fillId="0" borderId="5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49" fontId="17" fillId="0" borderId="59" xfId="0" applyNumberFormat="1" applyFont="1" applyBorder="1" applyAlignment="1">
      <alignment horizontal="center" vertical="center" wrapText="1"/>
    </xf>
    <xf numFmtId="0" fontId="17" fillId="0" borderId="59" xfId="0" applyFont="1" applyBorder="1" applyAlignment="1">
      <alignment wrapText="1"/>
    </xf>
    <xf numFmtId="167" fontId="17" fillId="0" borderId="59" xfId="0" applyNumberFormat="1" applyFont="1" applyBorder="1" applyAlignment="1">
      <alignment wrapText="1"/>
    </xf>
    <xf numFmtId="0" fontId="17" fillId="0" borderId="5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7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49" fontId="16" fillId="0" borderId="44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49" fontId="17" fillId="0" borderId="47" xfId="0" applyNumberFormat="1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49" fontId="16" fillId="0" borderId="47" xfId="0" applyNumberFormat="1" applyFont="1" applyBorder="1" applyAlignment="1">
      <alignment horizontal="center" vertical="center" wrapText="1"/>
    </xf>
    <xf numFmtId="49" fontId="17" fillId="0" borderId="48" xfId="0" applyNumberFormat="1" applyFont="1" applyBorder="1" applyAlignment="1">
      <alignment horizontal="center" vertical="center" wrapText="1"/>
    </xf>
    <xf numFmtId="0" fontId="17" fillId="0" borderId="49" xfId="0" applyFont="1" applyBorder="1" applyAlignment="1">
      <alignment wrapText="1"/>
    </xf>
    <xf numFmtId="167" fontId="17" fillId="0" borderId="49" xfId="0" applyNumberFormat="1" applyFont="1" applyBorder="1" applyAlignment="1">
      <alignment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/>
    </xf>
    <xf numFmtId="0" fontId="4" fillId="0" borderId="13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21" xfId="0" applyBorder="1" applyAlignment="1">
      <alignment horizontal="right"/>
    </xf>
    <xf numFmtId="0" fontId="29" fillId="0" borderId="19" xfId="4" applyFont="1" applyBorder="1" applyAlignment="1">
      <alignment horizontal="right"/>
    </xf>
    <xf numFmtId="0" fontId="29" fillId="0" borderId="0" xfId="4" applyFont="1" applyAlignment="1">
      <alignment horizontal="right"/>
    </xf>
    <xf numFmtId="0" fontId="29" fillId="0" borderId="6" xfId="4" applyFont="1" applyBorder="1" applyAlignment="1">
      <alignment horizontal="right"/>
    </xf>
    <xf numFmtId="0" fontId="32" fillId="0" borderId="0" xfId="4" applyFont="1" applyAlignment="1">
      <alignment horizontal="center"/>
    </xf>
    <xf numFmtId="0" fontId="30" fillId="0" borderId="0" xfId="4" applyFont="1" applyAlignment="1">
      <alignment horizontal="center"/>
    </xf>
    <xf numFmtId="0" fontId="28" fillId="0" borderId="11" xfId="4" applyFont="1" applyBorder="1" applyAlignment="1">
      <alignment horizontal="center"/>
    </xf>
    <xf numFmtId="0" fontId="28" fillId="0" borderId="12" xfId="4" applyFont="1" applyBorder="1" applyAlignment="1">
      <alignment horizontal="center"/>
    </xf>
    <xf numFmtId="0" fontId="26" fillId="0" borderId="8" xfId="4" applyBorder="1" applyAlignment="1">
      <alignment horizontal="center"/>
    </xf>
    <xf numFmtId="0" fontId="21" fillId="0" borderId="1" xfId="3" applyFont="1" applyBorder="1" applyAlignment="1">
      <alignment horizontal="center" vertical="center" wrapText="1"/>
    </xf>
    <xf numFmtId="0" fontId="21" fillId="0" borderId="28" xfId="3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0" fillId="0" borderId="30" xfId="0" applyFont="1" applyBorder="1" applyAlignment="1">
      <alignment horizontal="center" textRotation="90"/>
    </xf>
    <xf numFmtId="0" fontId="20" fillId="0" borderId="32" xfId="0" applyFont="1" applyBorder="1" applyAlignment="1">
      <alignment horizontal="center" textRotation="90"/>
    </xf>
    <xf numFmtId="0" fontId="20" fillId="0" borderId="34" xfId="0" applyFont="1" applyBorder="1" applyAlignment="1">
      <alignment horizontal="center" textRotation="90"/>
    </xf>
    <xf numFmtId="0" fontId="20" fillId="0" borderId="31" xfId="0" applyFont="1" applyBorder="1" applyAlignment="1">
      <alignment horizontal="center" textRotation="90"/>
    </xf>
    <xf numFmtId="0" fontId="20" fillId="0" borderId="33" xfId="0" applyFont="1" applyBorder="1" applyAlignment="1">
      <alignment horizontal="center" textRotation="90"/>
    </xf>
    <xf numFmtId="0" fontId="20" fillId="0" borderId="35" xfId="0" applyFont="1" applyBorder="1" applyAlignment="1">
      <alignment horizontal="center" textRotation="90"/>
    </xf>
    <xf numFmtId="0" fontId="20" fillId="0" borderId="36" xfId="0" applyFont="1" applyBorder="1" applyAlignment="1">
      <alignment horizontal="center" textRotation="90"/>
    </xf>
    <xf numFmtId="0" fontId="20" fillId="0" borderId="24" xfId="0" applyFont="1" applyBorder="1" applyAlignment="1">
      <alignment horizontal="center" textRotation="90"/>
    </xf>
    <xf numFmtId="0" fontId="20" fillId="0" borderId="23" xfId="0" applyFont="1" applyBorder="1" applyAlignment="1">
      <alignment horizontal="center" textRotation="90"/>
    </xf>
    <xf numFmtId="49" fontId="20" fillId="0" borderId="31" xfId="0" applyNumberFormat="1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textRotation="90"/>
    </xf>
    <xf numFmtId="0" fontId="20" fillId="0" borderId="5" xfId="0" applyFont="1" applyBorder="1" applyAlignment="1">
      <alignment horizontal="center" textRotation="90"/>
    </xf>
    <xf numFmtId="0" fontId="20" fillId="0" borderId="7" xfId="0" applyFont="1" applyBorder="1" applyAlignment="1">
      <alignment horizontal="center" textRotation="90"/>
    </xf>
    <xf numFmtId="49" fontId="20" fillId="0" borderId="38" xfId="0" applyNumberFormat="1" applyFont="1" applyBorder="1" applyAlignment="1">
      <alignment horizontal="center" vertical="center"/>
    </xf>
    <xf numFmtId="166" fontId="20" fillId="0" borderId="31" xfId="0" applyNumberFormat="1" applyFont="1" applyBorder="1" applyAlignment="1">
      <alignment horizontal="center" vertical="center"/>
    </xf>
    <xf numFmtId="166" fontId="20" fillId="0" borderId="37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49" fontId="20" fillId="0" borderId="39" xfId="0" applyNumberFormat="1" applyFont="1" applyBorder="1" applyAlignment="1">
      <alignment horizontal="center" vertical="center"/>
    </xf>
    <xf numFmtId="49" fontId="20" fillId="0" borderId="29" xfId="0" applyNumberFormat="1" applyFont="1" applyBorder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29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51" xfId="0" applyFont="1" applyBorder="1" applyAlignment="1" applyProtection="1">
      <alignment horizontal="center" vertical="center" wrapText="1"/>
      <protection locked="0"/>
    </xf>
    <xf numFmtId="0" fontId="20" fillId="0" borderId="52" xfId="0" applyFont="1" applyBorder="1" applyAlignment="1" applyProtection="1">
      <alignment horizontal="center" vertical="center" wrapText="1"/>
      <protection locked="0"/>
    </xf>
    <xf numFmtId="0" fontId="20" fillId="0" borderId="53" xfId="0" applyFont="1" applyBorder="1" applyAlignment="1" applyProtection="1">
      <alignment horizontal="center" vertical="center" wrapText="1"/>
      <protection locked="0"/>
    </xf>
    <xf numFmtId="0" fontId="20" fillId="0" borderId="47" xfId="0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shrinkToFit="1"/>
      <protection locked="0"/>
    </xf>
    <xf numFmtId="0" fontId="20" fillId="0" borderId="52" xfId="0" applyFont="1" applyBorder="1" applyAlignment="1" applyProtection="1">
      <alignment horizontal="center" vertical="center" shrinkToFit="1"/>
      <protection locked="0"/>
    </xf>
    <xf numFmtId="0" fontId="20" fillId="0" borderId="53" xfId="0" applyFont="1" applyBorder="1" applyAlignment="1" applyProtection="1">
      <alignment horizontal="center" vertical="center" shrinkToFit="1"/>
      <protection locked="0"/>
    </xf>
    <xf numFmtId="0" fontId="20" fillId="0" borderId="40" xfId="0" applyFont="1" applyBorder="1" applyAlignment="1" applyProtection="1">
      <alignment horizontal="center" vertical="center" shrinkToFit="1"/>
      <protection locked="0"/>
    </xf>
    <xf numFmtId="0" fontId="20" fillId="0" borderId="1" xfId="0" applyFont="1" applyBorder="1" applyAlignment="1" applyProtection="1">
      <alignment horizontal="center" vertical="center" shrinkToFit="1"/>
      <protection locked="0"/>
    </xf>
    <xf numFmtId="0" fontId="20" fillId="0" borderId="28" xfId="0" applyFont="1" applyBorder="1" applyAlignment="1" applyProtection="1">
      <alignment horizontal="center" vertical="center" shrinkToFi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4" xfId="0" applyFont="1" applyBorder="1" applyAlignment="1" applyProtection="1">
      <alignment horizontal="left" vertical="center" wrapText="1"/>
      <protection locked="0"/>
    </xf>
    <xf numFmtId="0" fontId="20" fillId="0" borderId="54" xfId="0" applyFont="1" applyBorder="1" applyAlignment="1" applyProtection="1">
      <alignment horizontal="left" vertical="center" wrapText="1"/>
      <protection locked="0"/>
    </xf>
    <xf numFmtId="0" fontId="20" fillId="0" borderId="13" xfId="0" applyFont="1" applyBorder="1" applyAlignment="1" applyProtection="1">
      <alignment horizontal="left" vertical="center" wrapText="1"/>
      <protection locked="0"/>
    </xf>
    <xf numFmtId="0" fontId="20" fillId="0" borderId="55" xfId="0" applyFont="1" applyBorder="1" applyAlignment="1" applyProtection="1">
      <alignment horizontal="left" vertical="center" wrapText="1"/>
      <protection locked="0"/>
    </xf>
    <xf numFmtId="0" fontId="20" fillId="0" borderId="39" xfId="0" applyFont="1" applyBorder="1" applyAlignment="1" applyProtection="1">
      <alignment horizontal="left" vertical="center" wrapText="1"/>
      <protection locked="0"/>
    </xf>
    <xf numFmtId="0" fontId="20" fillId="0" borderId="18" xfId="0" applyFont="1" applyBorder="1" applyAlignment="1" applyProtection="1">
      <alignment horizontal="left" vertical="center" wrapText="1"/>
      <protection locked="0"/>
    </xf>
    <xf numFmtId="0" fontId="20" fillId="0" borderId="29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0" borderId="8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48" xfId="0" applyFont="1" applyBorder="1" applyAlignment="1" applyProtection="1">
      <alignment horizontal="center" vertical="center" wrapText="1"/>
      <protection locked="0"/>
    </xf>
    <xf numFmtId="0" fontId="20" fillId="0" borderId="49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50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shrinkToFit="1"/>
      <protection locked="0"/>
    </xf>
    <xf numFmtId="0" fontId="20" fillId="0" borderId="49" xfId="0" applyFont="1" applyBorder="1" applyAlignment="1" applyProtection="1">
      <alignment horizontal="center" vertical="center" shrinkToFit="1"/>
      <protection locked="0"/>
    </xf>
    <xf numFmtId="0" fontId="20" fillId="0" borderId="50" xfId="0" applyFont="1" applyBorder="1" applyAlignment="1" applyProtection="1">
      <alignment horizontal="center" vertical="center" shrinkToFit="1"/>
      <protection locked="0"/>
    </xf>
    <xf numFmtId="0" fontId="17" fillId="4" borderId="25" xfId="0" applyFont="1" applyFill="1" applyBorder="1" applyAlignment="1">
      <alignment wrapText="1"/>
    </xf>
    <xf numFmtId="49" fontId="17" fillId="4" borderId="25" xfId="0" applyNumberFormat="1" applyFont="1" applyFill="1" applyBorder="1" applyAlignment="1">
      <alignment wrapText="1"/>
    </xf>
  </cellXfs>
  <cellStyles count="5">
    <cellStyle name="Обычный" xfId="0" builtinId="0"/>
    <cellStyle name="Обычный 2" xfId="2" xr:uid="{00000000-0005-0000-0000-000001000000}"/>
    <cellStyle name="Обычный 2 2" xfId="3" xr:uid="{00000000-0005-0000-0000-000002000000}"/>
    <cellStyle name="Обычный 2 3" xfId="4" xr:uid="{00000000-0005-0000-0000-000003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99060</xdr:colOff>
          <xdr:row>6</xdr:row>
          <xdr:rowOff>129540</xdr:rowOff>
        </xdr:from>
        <xdr:to>
          <xdr:col>0</xdr:col>
          <xdr:colOff>1638300</xdr:colOff>
          <xdr:row>9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2"/>
  <sheetViews>
    <sheetView tabSelected="1" topLeftCell="A58" zoomScale="70" zoomScaleNormal="70" workbookViewId="0">
      <selection activeCell="C8" sqref="C8"/>
    </sheetView>
  </sheetViews>
  <sheetFormatPr defaultColWidth="9.109375" defaultRowHeight="13.8"/>
  <cols>
    <col min="1" max="1" width="25" style="69" customWidth="1"/>
    <col min="2" max="2" width="22.88671875" style="71" customWidth="1"/>
    <col min="3" max="3" width="92.77734375" style="71" customWidth="1"/>
    <col min="4" max="4" width="29.88671875" style="73" customWidth="1"/>
    <col min="5" max="5" width="16.33203125" style="71" customWidth="1"/>
    <col min="6" max="6" width="16" style="73" bestFit="1" customWidth="1"/>
    <col min="7" max="7" width="26.33203125" style="73" customWidth="1"/>
    <col min="8" max="8" width="20.109375" style="107" customWidth="1"/>
    <col min="9" max="9" width="8.5546875" style="72" customWidth="1"/>
    <col min="10" max="10" width="72.88671875" style="72" customWidth="1"/>
    <col min="11" max="11" width="22" style="72" customWidth="1"/>
    <col min="12" max="12" width="15" style="72" customWidth="1"/>
    <col min="13" max="13" width="20.109375" style="72" customWidth="1"/>
    <col min="14" max="14" width="23" style="72" customWidth="1"/>
    <col min="15" max="16384" width="9.109375" style="72"/>
  </cols>
  <sheetData>
    <row r="1" spans="1:8" s="70" customFormat="1">
      <c r="A1" s="69" t="s">
        <v>137</v>
      </c>
      <c r="B1" s="69"/>
      <c r="C1" s="69" t="s">
        <v>140</v>
      </c>
      <c r="D1" s="69" t="s">
        <v>141</v>
      </c>
      <c r="E1" s="69" t="s">
        <v>183</v>
      </c>
      <c r="F1" s="69" t="s">
        <v>202</v>
      </c>
      <c r="G1" s="69" t="s">
        <v>203</v>
      </c>
      <c r="H1" s="69" t="s">
        <v>204</v>
      </c>
    </row>
    <row r="2" spans="1:8">
      <c r="A2" s="69" t="s">
        <v>139</v>
      </c>
      <c r="B2" s="71" t="s">
        <v>178</v>
      </c>
      <c r="C2" s="71" t="s">
        <v>165</v>
      </c>
      <c r="D2" s="74"/>
      <c r="F2" s="71"/>
      <c r="G2" s="71"/>
    </row>
    <row r="3" spans="1:8">
      <c r="C3" s="71" t="s">
        <v>129</v>
      </c>
      <c r="D3" s="74" t="s">
        <v>242</v>
      </c>
      <c r="F3" s="71"/>
      <c r="G3" s="71"/>
    </row>
    <row r="4" spans="1:8">
      <c r="B4" s="71" t="s">
        <v>178</v>
      </c>
      <c r="C4" s="71" t="s">
        <v>130</v>
      </c>
      <c r="D4" s="106" t="s">
        <v>191</v>
      </c>
      <c r="F4" s="71"/>
      <c r="G4" s="71"/>
    </row>
    <row r="5" spans="1:8">
      <c r="B5" s="71" t="s">
        <v>178</v>
      </c>
      <c r="C5" s="71" t="s">
        <v>136</v>
      </c>
      <c r="D5" s="74" t="s">
        <v>231</v>
      </c>
      <c r="F5" s="71"/>
      <c r="G5" s="71"/>
    </row>
    <row r="6" spans="1:8">
      <c r="C6" s="335" t="s">
        <v>166</v>
      </c>
      <c r="D6" s="336" t="s">
        <v>232</v>
      </c>
      <c r="F6" s="71"/>
      <c r="G6" s="71"/>
    </row>
    <row r="7" spans="1:8">
      <c r="C7" s="71" t="s">
        <v>222</v>
      </c>
      <c r="D7" s="75">
        <v>2500</v>
      </c>
      <c r="F7" s="71"/>
      <c r="G7" s="71"/>
    </row>
    <row r="8" spans="1:8">
      <c r="C8" s="71" t="s">
        <v>133</v>
      </c>
      <c r="D8" s="75">
        <v>2000</v>
      </c>
      <c r="F8" s="71"/>
      <c r="G8" s="71"/>
    </row>
    <row r="9" spans="1:8">
      <c r="C9" s="71" t="s">
        <v>134</v>
      </c>
      <c r="D9" s="75">
        <v>4500</v>
      </c>
      <c r="F9" s="71"/>
      <c r="G9" s="71"/>
    </row>
    <row r="10" spans="1:8">
      <c r="C10" s="71" t="s">
        <v>135</v>
      </c>
      <c r="D10" s="75">
        <v>1200</v>
      </c>
      <c r="F10" s="71"/>
      <c r="G10" s="71"/>
    </row>
    <row r="11" spans="1:8">
      <c r="B11" s="71" t="s">
        <v>178</v>
      </c>
      <c r="C11" s="71" t="s">
        <v>131</v>
      </c>
      <c r="D11" s="74" t="s">
        <v>243</v>
      </c>
      <c r="F11" s="71"/>
      <c r="G11" s="71"/>
    </row>
    <row r="12" spans="1:8">
      <c r="B12" s="71" t="s">
        <v>178</v>
      </c>
      <c r="C12" s="71" t="s">
        <v>68</v>
      </c>
      <c r="D12" s="76">
        <f ca="1">TODAY()</f>
        <v>45694</v>
      </c>
      <c r="F12" s="71"/>
      <c r="G12" s="71"/>
    </row>
    <row r="13" spans="1:8">
      <c r="B13" s="71" t="s">
        <v>178</v>
      </c>
      <c r="C13" s="71" t="s">
        <v>163</v>
      </c>
      <c r="D13" s="74"/>
      <c r="F13" s="71"/>
      <c r="G13" s="71"/>
    </row>
    <row r="14" spans="1:8">
      <c r="B14" s="71" t="s">
        <v>178</v>
      </c>
      <c r="C14" s="71" t="s">
        <v>187</v>
      </c>
      <c r="D14" s="74"/>
      <c r="F14" s="71"/>
      <c r="G14" s="71"/>
    </row>
    <row r="15" spans="1:8">
      <c r="B15" s="71" t="s">
        <v>178</v>
      </c>
      <c r="C15" s="71" t="s">
        <v>164</v>
      </c>
      <c r="D15" s="74" t="s">
        <v>244</v>
      </c>
      <c r="F15" s="71"/>
      <c r="G15" s="71"/>
    </row>
    <row r="16" spans="1:8">
      <c r="C16" s="71" t="s">
        <v>205</v>
      </c>
      <c r="D16" s="74" t="s">
        <v>213</v>
      </c>
      <c r="F16" s="71"/>
      <c r="G16" s="71"/>
    </row>
    <row r="17" spans="1:8">
      <c r="B17" s="71" t="s">
        <v>178</v>
      </c>
      <c r="C17" s="71" t="s">
        <v>206</v>
      </c>
      <c r="D17" s="74" t="s">
        <v>214</v>
      </c>
      <c r="F17" s="71"/>
      <c r="G17" s="71"/>
    </row>
    <row r="18" spans="1:8">
      <c r="B18" s="71" t="s">
        <v>178</v>
      </c>
      <c r="C18" s="71" t="s">
        <v>208</v>
      </c>
      <c r="D18" s="74" t="s">
        <v>214</v>
      </c>
      <c r="F18" s="71"/>
      <c r="G18" s="71"/>
    </row>
    <row r="19" spans="1:8">
      <c r="B19" s="71" t="s">
        <v>178</v>
      </c>
      <c r="C19" s="71" t="s">
        <v>209</v>
      </c>
      <c r="D19" s="74" t="s">
        <v>214</v>
      </c>
      <c r="F19" s="71"/>
      <c r="G19" s="71"/>
    </row>
    <row r="20" spans="1:8">
      <c r="B20" s="71" t="s">
        <v>178</v>
      </c>
      <c r="C20" s="71" t="s">
        <v>210</v>
      </c>
      <c r="D20" s="74" t="s">
        <v>214</v>
      </c>
      <c r="F20" s="71"/>
      <c r="G20" s="71"/>
    </row>
    <row r="21" spans="1:8">
      <c r="B21" s="71" t="s">
        <v>178</v>
      </c>
      <c r="C21" s="71" t="s">
        <v>215</v>
      </c>
      <c r="D21" s="74" t="s">
        <v>214</v>
      </c>
      <c r="F21" s="71"/>
      <c r="G21" s="71"/>
    </row>
    <row r="22" spans="1:8">
      <c r="B22" s="71" t="s">
        <v>178</v>
      </c>
      <c r="C22" s="71" t="s">
        <v>216</v>
      </c>
      <c r="D22" s="74" t="s">
        <v>214</v>
      </c>
      <c r="F22" s="71"/>
      <c r="G22" s="71"/>
    </row>
    <row r="23" spans="1:8">
      <c r="B23" s="71" t="s">
        <v>178</v>
      </c>
      <c r="C23" s="71" t="s">
        <v>207</v>
      </c>
      <c r="D23" s="74" t="s">
        <v>214</v>
      </c>
      <c r="F23" s="71"/>
      <c r="G23" s="71"/>
    </row>
    <row r="24" spans="1:8">
      <c r="B24" s="71" t="s">
        <v>178</v>
      </c>
      <c r="C24" s="71" t="s">
        <v>211</v>
      </c>
      <c r="D24" s="74" t="s">
        <v>214</v>
      </c>
      <c r="F24" s="71"/>
      <c r="G24" s="71"/>
    </row>
    <row r="25" spans="1:8">
      <c r="B25" s="71" t="s">
        <v>178</v>
      </c>
      <c r="C25" s="71" t="s">
        <v>212</v>
      </c>
      <c r="D25" s="74" t="s">
        <v>214</v>
      </c>
      <c r="F25" s="71"/>
      <c r="G25" s="71"/>
    </row>
    <row r="26" spans="1:8">
      <c r="C26" s="71" t="s">
        <v>233</v>
      </c>
      <c r="D26" s="74" t="s">
        <v>213</v>
      </c>
      <c r="F26" s="71"/>
      <c r="G26" s="71"/>
    </row>
    <row r="27" spans="1:8" s="70" customFormat="1" ht="27.6">
      <c r="A27" s="69" t="s">
        <v>137</v>
      </c>
      <c r="B27" s="69" t="s">
        <v>184</v>
      </c>
      <c r="C27" s="69" t="s">
        <v>46</v>
      </c>
      <c r="D27" s="69" t="s">
        <v>180</v>
      </c>
      <c r="E27" s="69" t="s">
        <v>179</v>
      </c>
      <c r="F27" s="69" t="s">
        <v>181</v>
      </c>
      <c r="G27" s="69" t="s">
        <v>182</v>
      </c>
      <c r="H27" s="69" t="s">
        <v>185</v>
      </c>
    </row>
    <row r="28" spans="1:8" s="105" customFormat="1">
      <c r="A28" s="102" t="str">
        <f>IF(ISBLANK(VLOOKUP($D$4,'#Служ_'!$D$2:$J$6,2,FALSE))," ",VLOOKUP($D$4,'#Служ_'!$D$2:$J$6,2,FALSE))</f>
        <v>Корпус</v>
      </c>
      <c r="B28" s="103"/>
      <c r="C28" s="103"/>
      <c r="D28" s="104"/>
      <c r="E28" s="103"/>
      <c r="F28" s="104"/>
      <c r="G28" s="104"/>
      <c r="H28" s="103" t="str">
        <f t="shared" ref="H28:H34" si="0">IF(G28&gt;0,"шт","")</f>
        <v/>
      </c>
    </row>
    <row r="29" spans="1:8" ht="16.8" customHeight="1">
      <c r="A29" s="136"/>
      <c r="B29" s="137"/>
      <c r="C29" s="137" t="s">
        <v>219</v>
      </c>
      <c r="D29" s="138">
        <v>80000</v>
      </c>
      <c r="E29" s="139">
        <v>1</v>
      </c>
      <c r="F29" s="138">
        <f t="shared" ref="F29:F33" si="1">D29*E29</f>
        <v>80000</v>
      </c>
      <c r="G29" s="138">
        <f>F29*1.3</f>
        <v>104000</v>
      </c>
      <c r="H29" s="71" t="str">
        <f t="shared" si="0"/>
        <v>шт</v>
      </c>
    </row>
    <row r="30" spans="1:8" ht="16.8" customHeight="1">
      <c r="A30" s="136"/>
      <c r="B30" s="137"/>
      <c r="C30" s="137" t="s">
        <v>220</v>
      </c>
      <c r="D30" s="138">
        <v>5000</v>
      </c>
      <c r="E30" s="139">
        <v>1</v>
      </c>
      <c r="F30" s="138">
        <f t="shared" si="1"/>
        <v>5000</v>
      </c>
      <c r="G30" s="138">
        <f>F30*1.3</f>
        <v>6500</v>
      </c>
      <c r="H30" s="71" t="str">
        <f t="shared" si="0"/>
        <v>шт</v>
      </c>
    </row>
    <row r="31" spans="1:8" ht="16.8" customHeight="1">
      <c r="A31" s="136"/>
      <c r="B31" s="137"/>
      <c r="C31" s="137" t="s">
        <v>245</v>
      </c>
      <c r="D31" s="138">
        <v>38000</v>
      </c>
      <c r="E31" s="139">
        <v>1</v>
      </c>
      <c r="F31" s="138">
        <f t="shared" si="1"/>
        <v>38000</v>
      </c>
      <c r="G31" s="138">
        <f>F31*1.3</f>
        <v>49400</v>
      </c>
      <c r="H31" s="71" t="str">
        <f t="shared" si="0"/>
        <v>шт</v>
      </c>
    </row>
    <row r="32" spans="1:8" ht="16.8" customHeight="1">
      <c r="A32" s="136"/>
      <c r="B32" s="137"/>
      <c r="C32" s="137" t="s">
        <v>236</v>
      </c>
      <c r="D32" s="138">
        <v>5000</v>
      </c>
      <c r="E32" s="139">
        <v>1</v>
      </c>
      <c r="F32" s="138">
        <f t="shared" si="1"/>
        <v>5000</v>
      </c>
      <c r="G32" s="138">
        <f>F32*1.3</f>
        <v>6500</v>
      </c>
      <c r="H32" s="71" t="str">
        <f t="shared" si="0"/>
        <v>шт</v>
      </c>
    </row>
    <row r="33" spans="1:8" ht="16.8" customHeight="1">
      <c r="A33" s="136"/>
      <c r="B33" s="137" t="s">
        <v>178</v>
      </c>
      <c r="C33" s="137" t="s">
        <v>221</v>
      </c>
      <c r="D33" s="138">
        <f>SUM(D29:D30)*0.04</f>
        <v>3400</v>
      </c>
      <c r="E33" s="139">
        <v>1</v>
      </c>
      <c r="F33" s="138">
        <f t="shared" si="1"/>
        <v>3400</v>
      </c>
      <c r="G33" s="138">
        <f>F33</f>
        <v>3400</v>
      </c>
      <c r="H33" s="71"/>
    </row>
    <row r="34" spans="1:8">
      <c r="H34" s="71" t="str">
        <f t="shared" si="0"/>
        <v/>
      </c>
    </row>
    <row r="35" spans="1:8" s="105" customFormat="1" ht="28.8" customHeight="1">
      <c r="A35" s="102" t="str">
        <f>IF(ISBLANK(VLOOKUP($D$4,'#Служ_'!$D$2:$J$6,3,FALSE))," ",VLOOKUP($D$4,'#Служ_'!$D$2:$J$6,3,FALSE))</f>
        <v>Отсек высоковольтного выключателя</v>
      </c>
      <c r="B35" s="103"/>
      <c r="C35" s="103"/>
      <c r="D35" s="104"/>
      <c r="E35" s="103"/>
      <c r="F35" s="104"/>
      <c r="G35" s="104"/>
      <c r="H35" s="103"/>
    </row>
    <row r="36" spans="1:8" ht="27.6">
      <c r="A36" s="136"/>
      <c r="B36" s="137"/>
      <c r="C36" s="137" t="s">
        <v>241</v>
      </c>
      <c r="D36" s="138">
        <v>145000</v>
      </c>
      <c r="E36" s="137">
        <v>1</v>
      </c>
      <c r="F36" s="138">
        <f>(D36*E36)</f>
        <v>145000</v>
      </c>
      <c r="G36" s="138">
        <f t="shared" ref="G36:G45" si="2">F36*1.25</f>
        <v>181250</v>
      </c>
      <c r="H36" s="71" t="str">
        <f t="shared" ref="H36:H65" si="3">IF(G36&gt;0,"шт","")</f>
        <v>шт</v>
      </c>
    </row>
    <row r="37" spans="1:8">
      <c r="A37" s="136"/>
      <c r="B37" s="137"/>
      <c r="C37" s="137" t="s">
        <v>247</v>
      </c>
      <c r="D37" s="138">
        <v>45000</v>
      </c>
      <c r="E37" s="137">
        <v>1</v>
      </c>
      <c r="F37" s="138">
        <f t="shared" ref="F37:F45" si="4">D37*E37</f>
        <v>45000</v>
      </c>
      <c r="G37" s="138">
        <f t="shared" si="2"/>
        <v>56250</v>
      </c>
      <c r="H37" s="71" t="str">
        <f t="shared" si="3"/>
        <v>шт</v>
      </c>
    </row>
    <row r="38" spans="1:8">
      <c r="A38" s="136"/>
      <c r="B38" s="137"/>
      <c r="C38" s="137" t="s">
        <v>248</v>
      </c>
      <c r="D38" s="138">
        <v>27500</v>
      </c>
      <c r="E38" s="137">
        <v>1</v>
      </c>
      <c r="F38" s="138">
        <f t="shared" si="4"/>
        <v>27500</v>
      </c>
      <c r="G38" s="138">
        <f t="shared" si="2"/>
        <v>34375</v>
      </c>
      <c r="H38" s="71" t="str">
        <f t="shared" si="3"/>
        <v>шт</v>
      </c>
    </row>
    <row r="39" spans="1:8">
      <c r="A39" s="136"/>
      <c r="B39" s="137"/>
      <c r="C39" s="137" t="s">
        <v>246</v>
      </c>
      <c r="D39" s="138">
        <v>19000</v>
      </c>
      <c r="E39" s="137">
        <v>2</v>
      </c>
      <c r="F39" s="138">
        <f t="shared" si="4"/>
        <v>38000</v>
      </c>
      <c r="G39" s="138">
        <f t="shared" si="2"/>
        <v>47500</v>
      </c>
      <c r="H39" s="71" t="str">
        <f t="shared" si="3"/>
        <v>шт</v>
      </c>
    </row>
    <row r="40" spans="1:8">
      <c r="A40" s="136"/>
      <c r="B40" s="137"/>
      <c r="C40" s="137" t="s">
        <v>237</v>
      </c>
      <c r="D40" s="138">
        <v>92300</v>
      </c>
      <c r="E40" s="137">
        <v>1</v>
      </c>
      <c r="F40" s="138">
        <f t="shared" si="4"/>
        <v>92300</v>
      </c>
      <c r="G40" s="138">
        <f t="shared" si="2"/>
        <v>115375</v>
      </c>
      <c r="H40" s="71" t="str">
        <f t="shared" si="3"/>
        <v>шт</v>
      </c>
    </row>
    <row r="41" spans="1:8">
      <c r="A41" s="136"/>
      <c r="B41" s="137"/>
      <c r="C41" s="137" t="s">
        <v>238</v>
      </c>
      <c r="D41" s="138">
        <v>42500</v>
      </c>
      <c r="E41" s="137">
        <v>1</v>
      </c>
      <c r="F41" s="138">
        <f t="shared" si="4"/>
        <v>42500</v>
      </c>
      <c r="G41" s="138">
        <f t="shared" si="2"/>
        <v>53125</v>
      </c>
      <c r="H41" s="71" t="str">
        <f t="shared" si="3"/>
        <v>шт</v>
      </c>
    </row>
    <row r="42" spans="1:8">
      <c r="A42" s="136"/>
      <c r="B42" s="137"/>
      <c r="C42" s="137" t="s">
        <v>239</v>
      </c>
      <c r="D42" s="138">
        <v>2900</v>
      </c>
      <c r="E42" s="137">
        <v>6</v>
      </c>
      <c r="F42" s="138">
        <f t="shared" si="4"/>
        <v>17400</v>
      </c>
      <c r="G42" s="138">
        <f t="shared" si="2"/>
        <v>21750</v>
      </c>
      <c r="H42" s="71" t="str">
        <f t="shared" si="3"/>
        <v>шт</v>
      </c>
    </row>
    <row r="43" spans="1:8">
      <c r="A43" s="136"/>
      <c r="B43" s="137"/>
      <c r="C43" s="137" t="s">
        <v>224</v>
      </c>
      <c r="D43" s="138">
        <v>2900</v>
      </c>
      <c r="E43" s="137">
        <v>6</v>
      </c>
      <c r="F43" s="138">
        <f t="shared" si="4"/>
        <v>17400</v>
      </c>
      <c r="G43" s="138">
        <f t="shared" si="2"/>
        <v>21750</v>
      </c>
      <c r="H43" s="71" t="str">
        <f t="shared" si="3"/>
        <v>шт</v>
      </c>
    </row>
    <row r="44" spans="1:8">
      <c r="A44" s="136"/>
      <c r="B44" s="137"/>
      <c r="C44" s="137" t="s">
        <v>225</v>
      </c>
      <c r="D44" s="138">
        <v>1200</v>
      </c>
      <c r="E44" s="137">
        <v>6</v>
      </c>
      <c r="F44" s="138">
        <f t="shared" si="4"/>
        <v>7200</v>
      </c>
      <c r="G44" s="138">
        <f t="shared" si="2"/>
        <v>9000</v>
      </c>
      <c r="H44" s="71" t="str">
        <f t="shared" si="3"/>
        <v>шт</v>
      </c>
    </row>
    <row r="45" spans="1:8">
      <c r="A45" s="136"/>
      <c r="B45" s="137"/>
      <c r="C45" s="137" t="s">
        <v>223</v>
      </c>
      <c r="D45" s="138">
        <v>4100</v>
      </c>
      <c r="E45" s="137">
        <v>1</v>
      </c>
      <c r="F45" s="138">
        <f t="shared" si="4"/>
        <v>4100</v>
      </c>
      <c r="G45" s="138">
        <f t="shared" si="2"/>
        <v>5125</v>
      </c>
      <c r="H45" s="71" t="str">
        <f t="shared" si="3"/>
        <v>шт</v>
      </c>
    </row>
    <row r="46" spans="1:8" s="105" customFormat="1">
      <c r="A46" s="102" t="str">
        <f>IF(ISBLANK(VLOOKUP($D$4,'#Служ_'!$D$2:$J$6,4,FALSE))," ",VLOOKUP($D$4,'#Служ_'!$D$2:$J$6,4,FALSE))</f>
        <v>Отсек РЗА</v>
      </c>
      <c r="B46" s="103"/>
      <c r="C46" s="103"/>
      <c r="D46" s="104"/>
      <c r="E46" s="103"/>
      <c r="F46" s="104"/>
      <c r="G46" s="104"/>
      <c r="H46" s="103" t="str">
        <f t="shared" si="3"/>
        <v/>
      </c>
    </row>
    <row r="47" spans="1:8">
      <c r="A47" s="136"/>
      <c r="B47" s="137"/>
      <c r="C47" s="137" t="s">
        <v>131</v>
      </c>
      <c r="D47" s="138">
        <v>55000</v>
      </c>
      <c r="E47" s="137">
        <v>1</v>
      </c>
      <c r="F47" s="138">
        <f t="shared" ref="F47:F49" si="5">D47*E47</f>
        <v>55000</v>
      </c>
      <c r="G47" s="138">
        <f>F47*1.25</f>
        <v>68750</v>
      </c>
      <c r="H47" s="71" t="str">
        <f t="shared" si="3"/>
        <v>шт</v>
      </c>
    </row>
    <row r="48" spans="1:8">
      <c r="A48" s="136"/>
      <c r="B48" s="137"/>
      <c r="C48" s="137" t="s">
        <v>240</v>
      </c>
      <c r="D48" s="138">
        <v>1500</v>
      </c>
      <c r="E48" s="137">
        <v>1</v>
      </c>
      <c r="F48" s="138">
        <f t="shared" si="5"/>
        <v>1500</v>
      </c>
      <c r="G48" s="138">
        <f>F48*1.25</f>
        <v>1875</v>
      </c>
      <c r="H48" s="71" t="str">
        <f t="shared" si="3"/>
        <v>шт</v>
      </c>
    </row>
    <row r="49" spans="1:8">
      <c r="A49" s="136"/>
      <c r="B49" s="137"/>
      <c r="C49" s="137" t="s">
        <v>235</v>
      </c>
      <c r="D49" s="138">
        <v>1500</v>
      </c>
      <c r="E49" s="137">
        <v>1</v>
      </c>
      <c r="F49" s="138">
        <f t="shared" si="5"/>
        <v>1500</v>
      </c>
      <c r="G49" s="138">
        <f>F49*1.25</f>
        <v>1875</v>
      </c>
      <c r="H49" s="71" t="str">
        <f t="shared" si="3"/>
        <v>шт</v>
      </c>
    </row>
    <row r="50" spans="1:8">
      <c r="H50" s="71" t="str">
        <f t="shared" si="3"/>
        <v/>
      </c>
    </row>
    <row r="51" spans="1:8" s="105" customFormat="1">
      <c r="A51" s="102" t="str">
        <f>IF(ISBLANK(VLOOKUP($D$4,'#Служ_'!$D$2:$J$6,5,FALSE))," ",VLOOKUP($D$4,'#Служ_'!$D$2:$J$6,5,FALSE))</f>
        <v>Прочее</v>
      </c>
      <c r="B51" s="103"/>
      <c r="C51" s="103"/>
      <c r="D51" s="104"/>
      <c r="E51" s="103"/>
      <c r="F51" s="104"/>
      <c r="G51" s="104"/>
      <c r="H51" s="103" t="str">
        <f t="shared" si="3"/>
        <v/>
      </c>
    </row>
    <row r="52" spans="1:8">
      <c r="A52" s="136"/>
      <c r="B52" s="137"/>
      <c r="C52" s="137" t="s">
        <v>226</v>
      </c>
      <c r="D52" s="138">
        <v>2000</v>
      </c>
      <c r="E52" s="137">
        <v>1</v>
      </c>
      <c r="F52" s="138">
        <f t="shared" ref="F52" si="6">D52*E52</f>
        <v>2000</v>
      </c>
      <c r="G52" s="138">
        <f t="shared" ref="G52:G60" si="7">F52*1.25</f>
        <v>2500</v>
      </c>
      <c r="H52" s="71" t="str">
        <f t="shared" si="3"/>
        <v>шт</v>
      </c>
    </row>
    <row r="53" spans="1:8">
      <c r="A53" s="136"/>
      <c r="B53" s="137"/>
      <c r="C53" s="137" t="s">
        <v>227</v>
      </c>
      <c r="D53" s="138">
        <v>2000</v>
      </c>
      <c r="E53" s="137">
        <v>1</v>
      </c>
      <c r="F53" s="138">
        <f t="shared" ref="F53:F54" si="8">D53*E53</f>
        <v>2000</v>
      </c>
      <c r="G53" s="138">
        <f t="shared" si="7"/>
        <v>2500</v>
      </c>
      <c r="H53" s="71" t="str">
        <f t="shared" si="3"/>
        <v>шт</v>
      </c>
    </row>
    <row r="54" spans="1:8">
      <c r="A54" s="136"/>
      <c r="B54" s="137"/>
      <c r="C54" s="137" t="s">
        <v>228</v>
      </c>
      <c r="D54" s="138">
        <v>1500</v>
      </c>
      <c r="E54" s="137">
        <v>2</v>
      </c>
      <c r="F54" s="138">
        <f t="shared" si="8"/>
        <v>3000</v>
      </c>
      <c r="G54" s="138">
        <f t="shared" si="7"/>
        <v>3750</v>
      </c>
      <c r="H54" s="71" t="str">
        <f t="shared" si="3"/>
        <v>шт</v>
      </c>
    </row>
    <row r="55" spans="1:8">
      <c r="A55" s="136"/>
      <c r="B55" s="137"/>
      <c r="C55" s="137" t="s">
        <v>251</v>
      </c>
      <c r="D55" s="138">
        <v>3500</v>
      </c>
      <c r="E55" s="137">
        <v>1</v>
      </c>
      <c r="F55" s="138">
        <f t="shared" ref="F55:F56" si="9">D55*E55</f>
        <v>3500</v>
      </c>
      <c r="G55" s="138">
        <f t="shared" ref="G55:G56" si="10">F55*1.25</f>
        <v>4375</v>
      </c>
      <c r="H55" s="71" t="str">
        <f t="shared" ref="H55:H56" si="11">IF(G55&gt;0,"шт","")</f>
        <v>шт</v>
      </c>
    </row>
    <row r="56" spans="1:8">
      <c r="A56" s="136"/>
      <c r="B56" s="137"/>
      <c r="C56" s="137" t="s">
        <v>252</v>
      </c>
      <c r="D56" s="138">
        <v>15000</v>
      </c>
      <c r="E56" s="137">
        <v>1</v>
      </c>
      <c r="F56" s="138">
        <f t="shared" si="9"/>
        <v>15000</v>
      </c>
      <c r="G56" s="138">
        <f t="shared" si="10"/>
        <v>18750</v>
      </c>
      <c r="H56" s="71" t="str">
        <f t="shared" si="11"/>
        <v>шт</v>
      </c>
    </row>
    <row r="57" spans="1:8">
      <c r="A57" s="136"/>
      <c r="B57" s="137"/>
      <c r="C57" s="137" t="s">
        <v>249</v>
      </c>
      <c r="D57" s="138">
        <v>2110</v>
      </c>
      <c r="E57" s="137">
        <v>15</v>
      </c>
      <c r="F57" s="138">
        <f t="shared" ref="F57:F58" si="12">D57*E57</f>
        <v>31650</v>
      </c>
      <c r="G57" s="138">
        <f t="shared" si="7"/>
        <v>39562.5</v>
      </c>
      <c r="H57" s="71" t="str">
        <f t="shared" ref="H57:H58" si="13">IF(G57&gt;0,"шт","")</f>
        <v>шт</v>
      </c>
    </row>
    <row r="58" spans="1:8">
      <c r="A58" s="136"/>
      <c r="B58" s="137"/>
      <c r="C58" s="137" t="s">
        <v>250</v>
      </c>
      <c r="D58" s="138">
        <v>4000</v>
      </c>
      <c r="E58" s="137">
        <v>6</v>
      </c>
      <c r="F58" s="138">
        <f t="shared" si="12"/>
        <v>24000</v>
      </c>
      <c r="G58" s="138">
        <f t="shared" si="7"/>
        <v>30000</v>
      </c>
      <c r="H58" s="71" t="str">
        <f t="shared" si="13"/>
        <v>шт</v>
      </c>
    </row>
    <row r="59" spans="1:8" ht="55.2">
      <c r="A59" s="136"/>
      <c r="B59" s="137" t="s">
        <v>178</v>
      </c>
      <c r="C59" s="137" t="s">
        <v>253</v>
      </c>
      <c r="D59" s="138">
        <v>10000</v>
      </c>
      <c r="E59" s="137">
        <v>1</v>
      </c>
      <c r="F59" s="138">
        <f>D59*E59</f>
        <v>10000</v>
      </c>
      <c r="G59" s="138">
        <f t="shared" si="7"/>
        <v>12500</v>
      </c>
      <c r="H59" s="71" t="str">
        <f t="shared" ref="H59:H60" si="14">IF(G59&gt;0,"шт","")</f>
        <v>шт</v>
      </c>
    </row>
    <row r="60" spans="1:8">
      <c r="A60" s="136"/>
      <c r="B60" s="137"/>
      <c r="C60" s="137" t="s">
        <v>229</v>
      </c>
      <c r="D60" s="138">
        <v>30</v>
      </c>
      <c r="E60" s="137">
        <v>100</v>
      </c>
      <c r="F60" s="138">
        <f>D60*E60</f>
        <v>3000</v>
      </c>
      <c r="G60" s="138">
        <f t="shared" si="7"/>
        <v>3750</v>
      </c>
      <c r="H60" s="71" t="str">
        <f t="shared" si="14"/>
        <v>шт</v>
      </c>
    </row>
    <row r="61" spans="1:8">
      <c r="H61" s="71" t="str">
        <f t="shared" si="3"/>
        <v/>
      </c>
    </row>
    <row r="62" spans="1:8" s="105" customFormat="1">
      <c r="A62" s="102" t="str">
        <f>IF(ISBLANK(VLOOKUP($D$4,'#Служ_'!$D$2:$J$6,7,FALSE))," ",VLOOKUP($D$4,'#Служ_'!$D$2:$J$6,7,FALSE))</f>
        <v xml:space="preserve"> </v>
      </c>
      <c r="B62" s="103"/>
      <c r="C62" s="103"/>
      <c r="D62" s="104"/>
      <c r="E62" s="103"/>
      <c r="F62" s="104"/>
      <c r="G62" s="104"/>
      <c r="H62" s="103" t="str">
        <f t="shared" si="3"/>
        <v/>
      </c>
    </row>
    <row r="63" spans="1:8">
      <c r="B63" s="71" t="s">
        <v>178</v>
      </c>
      <c r="H63" s="71" t="str">
        <f t="shared" si="3"/>
        <v/>
      </c>
    </row>
    <row r="64" spans="1:8">
      <c r="H64" s="71" t="str">
        <f t="shared" si="3"/>
        <v/>
      </c>
    </row>
    <row r="65" spans="1:8">
      <c r="H65" s="71" t="str">
        <f t="shared" si="3"/>
        <v/>
      </c>
    </row>
    <row r="66" spans="1:8" s="70" customFormat="1" ht="27.6">
      <c r="A66" s="69" t="s">
        <v>137</v>
      </c>
      <c r="B66" s="69" t="s">
        <v>184</v>
      </c>
      <c r="C66" s="69" t="s">
        <v>46</v>
      </c>
      <c r="D66" s="69" t="s">
        <v>69</v>
      </c>
      <c r="E66" s="69" t="s">
        <v>67</v>
      </c>
      <c r="F66" s="69" t="s">
        <v>70</v>
      </c>
      <c r="G66" s="69" t="s">
        <v>75</v>
      </c>
      <c r="H66" s="69" t="s">
        <v>185</v>
      </c>
    </row>
    <row r="67" spans="1:8">
      <c r="A67" s="69" t="s">
        <v>138</v>
      </c>
      <c r="B67" s="71" t="s">
        <v>178</v>
      </c>
      <c r="C67" s="71" t="s">
        <v>76</v>
      </c>
      <c r="F67" s="73">
        <f>SUM(F28:F62)*0.05</f>
        <v>35997.5</v>
      </c>
      <c r="H67" s="71" t="str">
        <f>IF(G67&gt;0,"шт","")</f>
        <v/>
      </c>
    </row>
    <row r="68" spans="1:8">
      <c r="B68" s="71" t="s">
        <v>178</v>
      </c>
      <c r="C68" s="71" t="s">
        <v>71</v>
      </c>
      <c r="F68" s="73">
        <f>SUM(F29:F63)</f>
        <v>719950</v>
      </c>
      <c r="H68" s="71" t="str">
        <f>IF(G68&gt;0,"шт","")</f>
        <v/>
      </c>
    </row>
    <row r="69" spans="1:8">
      <c r="B69" s="71" t="s">
        <v>178</v>
      </c>
      <c r="C69" s="71" t="s">
        <v>74</v>
      </c>
      <c r="F69" s="73">
        <f>SUM(G29:G61)+F67</f>
        <v>941485</v>
      </c>
      <c r="H69" s="71" t="str">
        <f>IF(G69&gt;0,"шт","")</f>
        <v/>
      </c>
    </row>
    <row r="70" spans="1:8">
      <c r="B70" s="71" t="s">
        <v>178</v>
      </c>
      <c r="H70" s="71" t="str">
        <f>IF(G70&gt;0,"шт","")</f>
        <v/>
      </c>
    </row>
    <row r="71" spans="1:8">
      <c r="B71" s="71" t="s">
        <v>178</v>
      </c>
      <c r="H71" s="71" t="str">
        <f>IF(G71&gt;0,"шт","")</f>
        <v/>
      </c>
    </row>
    <row r="72" spans="1:8">
      <c r="H72" s="71"/>
    </row>
    <row r="73" spans="1:8">
      <c r="H73" s="71"/>
    </row>
    <row r="74" spans="1:8">
      <c r="H74" s="71"/>
    </row>
    <row r="75" spans="1:8">
      <c r="H75" s="71"/>
    </row>
    <row r="76" spans="1:8">
      <c r="H76" s="71"/>
    </row>
    <row r="77" spans="1:8">
      <c r="H77" s="71"/>
    </row>
    <row r="78" spans="1:8">
      <c r="H78" s="71"/>
    </row>
    <row r="79" spans="1:8">
      <c r="H79" s="73"/>
    </row>
    <row r="80" spans="1:8">
      <c r="H80" s="73"/>
    </row>
    <row r="81" spans="8:8">
      <c r="H81" s="73"/>
    </row>
    <row r="82" spans="8:8">
      <c r="H82" s="73"/>
    </row>
    <row r="83" spans="8:8">
      <c r="H83" s="71"/>
    </row>
    <row r="84" spans="8:8">
      <c r="H84" s="71"/>
    </row>
    <row r="85" spans="8:8">
      <c r="H85" s="71"/>
    </row>
    <row r="86" spans="8:8">
      <c r="H86" s="71"/>
    </row>
    <row r="87" spans="8:8">
      <c r="H87" s="71"/>
    </row>
    <row r="88" spans="8:8">
      <c r="H88" s="71"/>
    </row>
    <row r="89" spans="8:8">
      <c r="H89" s="71"/>
    </row>
    <row r="90" spans="8:8">
      <c r="H90" s="71"/>
    </row>
    <row r="91" spans="8:8">
      <c r="H91" s="71"/>
    </row>
    <row r="92" spans="8:8">
      <c r="H92" s="71"/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aveToWord">
                <anchor moveWithCells="1" sizeWithCells="1">
                  <from>
                    <xdr:col>0</xdr:col>
                    <xdr:colOff>99060</xdr:colOff>
                    <xdr:row>6</xdr:row>
                    <xdr:rowOff>129540</xdr:rowOff>
                  </from>
                  <to>
                    <xdr:col>0</xdr:col>
                    <xdr:colOff>1638300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'#Служ_'!$A$2:$A$5</xm:f>
          </x14:formula1>
          <xm:sqref>D4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2">
    <tabColor rgb="FFFF0000"/>
    <pageSetUpPr fitToPage="1"/>
  </sheetPr>
  <dimension ref="A1:CF62"/>
  <sheetViews>
    <sheetView topLeftCell="A37" zoomScale="70" zoomScaleNormal="70" zoomScaleSheetLayoutView="73" zoomScalePageLayoutView="70" workbookViewId="0">
      <selection activeCell="AZ46" sqref="AZ46"/>
    </sheetView>
  </sheetViews>
  <sheetFormatPr defaultColWidth="2.44140625" defaultRowHeight="13.5" customHeight="1"/>
  <cols>
    <col min="1" max="1" width="4" style="82" customWidth="1"/>
    <col min="2" max="2" width="2.5546875" style="82" customWidth="1"/>
    <col min="3" max="3" width="3.5546875" style="82" customWidth="1"/>
    <col min="4" max="4" width="4" style="82" customWidth="1"/>
    <col min="5" max="85" width="2.44140625" style="82" customWidth="1"/>
    <col min="86" max="16384" width="2.44140625" style="82"/>
  </cols>
  <sheetData>
    <row r="1" spans="1:84" ht="14.1" customHeight="1" thickBot="1">
      <c r="A1" s="81" t="s">
        <v>155</v>
      </c>
    </row>
    <row r="2" spans="1:84" ht="14.1" customHeight="1"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210" t="s">
        <v>186</v>
      </c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  <c r="CB2" s="210"/>
      <c r="CC2" s="210"/>
      <c r="CD2" s="210"/>
      <c r="CE2" s="210"/>
      <c r="CF2" s="211"/>
    </row>
    <row r="3" spans="1:84" ht="14.1" customHeight="1"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12"/>
    </row>
    <row r="4" spans="1:84" ht="14.1" customHeight="1"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209" t="s">
        <v>142</v>
      </c>
      <c r="BJ4" s="209"/>
      <c r="BK4" s="209" t="s">
        <v>161</v>
      </c>
      <c r="BL4" s="209"/>
      <c r="BM4" s="209"/>
      <c r="BN4" s="209"/>
      <c r="BO4" s="209"/>
      <c r="BP4" s="209"/>
      <c r="BQ4" s="209"/>
      <c r="BR4" s="209"/>
      <c r="BS4" s="209"/>
      <c r="BT4" s="209"/>
      <c r="BU4" s="207" t="s">
        <v>162</v>
      </c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8"/>
    </row>
    <row r="5" spans="1:84" ht="14.1" customHeight="1"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8"/>
    </row>
    <row r="6" spans="1:84" ht="14.1" customHeight="1"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3"/>
      <c r="BI6" s="209"/>
      <c r="BJ6" s="209"/>
      <c r="BK6" s="209"/>
      <c r="BL6" s="209"/>
      <c r="BM6" s="209"/>
      <c r="BN6" s="209"/>
      <c r="BO6" s="209"/>
      <c r="BP6" s="209"/>
      <c r="BQ6" s="209"/>
      <c r="BR6" s="209"/>
      <c r="BS6" s="209"/>
      <c r="BT6" s="209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8"/>
    </row>
    <row r="7" spans="1:84" ht="14.1" customHeight="1"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3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8"/>
    </row>
    <row r="8" spans="1:84" ht="14.1" customHeight="1"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4"/>
    </row>
    <row r="9" spans="1:84" ht="14.1" customHeight="1"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4"/>
    </row>
    <row r="10" spans="1:84" ht="14.1" customHeight="1"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4"/>
    </row>
    <row r="11" spans="1:84" ht="14.1" customHeight="1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4"/>
    </row>
    <row r="12" spans="1:84" ht="13.5" customHeight="1"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4"/>
    </row>
    <row r="13" spans="1:84" ht="13.5" customHeight="1"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4"/>
    </row>
    <row r="14" spans="1:84" ht="14.1" customHeight="1"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4"/>
    </row>
    <row r="15" spans="1:84" ht="14.1" customHeight="1"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4"/>
    </row>
    <row r="16" spans="1:84" ht="14.1" customHeight="1"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4"/>
    </row>
    <row r="17" spans="4:84" ht="14.1" customHeight="1"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4"/>
    </row>
    <row r="18" spans="4:84" ht="14.1" customHeight="1"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4"/>
    </row>
    <row r="19" spans="4:84" ht="14.1" customHeight="1"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4"/>
    </row>
    <row r="20" spans="4:84" ht="14.1" customHeigh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4"/>
    </row>
    <row r="21" spans="4:84" ht="14.1" customHeight="1"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4"/>
    </row>
    <row r="22" spans="4:84" ht="14.1" customHeight="1">
      <c r="D22" s="79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4"/>
    </row>
    <row r="23" spans="4:84" ht="14.1" customHeight="1">
      <c r="D23" s="7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4"/>
    </row>
    <row r="24" spans="4:84" ht="14.1" customHeight="1"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4"/>
    </row>
    <row r="25" spans="4:84" ht="14.1" customHeight="1"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4"/>
    </row>
    <row r="26" spans="4:84" ht="14.1" customHeight="1"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4"/>
    </row>
    <row r="27" spans="4:84" ht="14.1" customHeight="1"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4"/>
    </row>
    <row r="28" spans="4:84" ht="14.1" customHeight="1"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4"/>
    </row>
    <row r="29" spans="4:84" ht="14.1" customHeight="1"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4"/>
    </row>
    <row r="30" spans="4:84" ht="14.1" customHeight="1"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4"/>
    </row>
    <row r="31" spans="4:84" ht="14.1" customHeight="1"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4"/>
    </row>
    <row r="32" spans="4:84" ht="14.1" customHeight="1"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4"/>
    </row>
    <row r="33" spans="2:84" ht="14.1" customHeight="1"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4"/>
    </row>
    <row r="34" spans="2:84" ht="14.1" customHeight="1"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4"/>
    </row>
    <row r="35" spans="2:84" ht="14.1" customHeight="1"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4"/>
    </row>
    <row r="36" spans="2:84" ht="14.1" customHeight="1"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4"/>
    </row>
    <row r="37" spans="2:84" ht="14.1" customHeight="1"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4"/>
    </row>
    <row r="38" spans="2:84" ht="14.1" customHeight="1"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4"/>
    </row>
    <row r="39" spans="2:84" ht="14.1" customHeight="1"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4"/>
    </row>
    <row r="40" spans="2:84" ht="14.1" customHeight="1"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4"/>
    </row>
    <row r="41" spans="2:84" ht="14.1" customHeight="1"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4"/>
    </row>
    <row r="42" spans="2:84" ht="14.1" customHeigh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4"/>
    </row>
    <row r="43" spans="2:84" ht="14.1" customHeight="1"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4"/>
    </row>
    <row r="44" spans="2:84" ht="14.1" customHeight="1" thickBot="1">
      <c r="D44" s="79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4"/>
    </row>
    <row r="45" spans="2:84" ht="14.1" customHeight="1">
      <c r="B45" s="219" t="s">
        <v>143</v>
      </c>
      <c r="C45" s="222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4"/>
    </row>
    <row r="46" spans="2:84" ht="14.1" customHeight="1">
      <c r="B46" s="220"/>
      <c r="C46" s="223"/>
      <c r="D46" s="85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4"/>
    </row>
    <row r="47" spans="2:84" ht="14.1" customHeight="1">
      <c r="B47" s="220"/>
      <c r="C47" s="223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4"/>
    </row>
    <row r="48" spans="2:84" ht="14.1" customHeight="1">
      <c r="B48" s="220"/>
      <c r="C48" s="223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4"/>
    </row>
    <row r="49" spans="2:84" ht="14.1" customHeight="1" thickBot="1">
      <c r="B49" s="221"/>
      <c r="C49" s="224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4"/>
    </row>
    <row r="50" spans="2:84" ht="14.1" customHeight="1">
      <c r="B50" s="225" t="s">
        <v>144</v>
      </c>
      <c r="C50" s="230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4"/>
    </row>
    <row r="51" spans="2:84" ht="14.1" customHeight="1">
      <c r="B51" s="226"/>
      <c r="C51" s="231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4"/>
    </row>
    <row r="52" spans="2:84" ht="14.1" customHeight="1">
      <c r="B52" s="226"/>
      <c r="C52" s="231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4"/>
    </row>
    <row r="53" spans="2:84" ht="14.1" customHeight="1">
      <c r="B53" s="226"/>
      <c r="C53" s="231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4"/>
    </row>
    <row r="54" spans="2:84" ht="14.1" customHeight="1">
      <c r="B54" s="226"/>
      <c r="C54" s="231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4"/>
    </row>
    <row r="55" spans="2:84" ht="14.1" customHeight="1">
      <c r="B55" s="226"/>
      <c r="C55" s="231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4"/>
    </row>
    <row r="56" spans="2:84" ht="14.1" customHeight="1" thickBot="1">
      <c r="B56" s="227"/>
      <c r="C56" s="232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4"/>
    </row>
    <row r="57" spans="2:84" ht="14.1" customHeight="1">
      <c r="B57" s="225" t="s">
        <v>152</v>
      </c>
      <c r="C57" s="230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4"/>
    </row>
    <row r="58" spans="2:84" ht="14.1" customHeight="1" thickBot="1">
      <c r="B58" s="226"/>
      <c r="C58" s="231"/>
      <c r="D58" s="85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8"/>
    </row>
    <row r="59" spans="2:84" ht="14.1" customHeight="1" thickBot="1">
      <c r="B59" s="226"/>
      <c r="C59" s="231"/>
      <c r="D59" s="213" t="s">
        <v>188</v>
      </c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5"/>
      <c r="AV59" s="228"/>
      <c r="AW59" s="229"/>
      <c r="AX59" s="228"/>
      <c r="AY59" s="229"/>
      <c r="AZ59" s="228"/>
      <c r="BA59" s="229"/>
      <c r="BB59" s="228"/>
      <c r="BC59" s="229"/>
      <c r="BD59" s="228"/>
      <c r="BE59" s="233"/>
      <c r="BF59" s="229"/>
      <c r="BG59" s="234"/>
      <c r="BH59" s="235"/>
      <c r="BI59" s="239" t="s">
        <v>145</v>
      </c>
      <c r="BJ59" s="240"/>
      <c r="BK59" s="240"/>
      <c r="BL59" s="240"/>
      <c r="BM59" s="240"/>
      <c r="BN59" s="240"/>
      <c r="BO59" s="240"/>
      <c r="BP59" s="240"/>
      <c r="BQ59" s="240"/>
      <c r="BR59" s="240"/>
      <c r="BS59" s="240"/>
      <c r="BT59" s="240"/>
      <c r="BU59" s="240"/>
      <c r="BV59" s="240"/>
      <c r="BW59" s="240"/>
      <c r="BX59" s="240"/>
      <c r="BY59" s="240"/>
      <c r="BZ59" s="240"/>
      <c r="CA59" s="240"/>
      <c r="CB59" s="240"/>
      <c r="CC59" s="241"/>
      <c r="CD59" s="236" t="s">
        <v>148</v>
      </c>
      <c r="CE59" s="238"/>
      <c r="CF59" s="237"/>
    </row>
    <row r="60" spans="2:84" ht="14.1" customHeight="1" thickBot="1">
      <c r="B60" s="226"/>
      <c r="C60" s="231"/>
      <c r="D60" s="213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5"/>
      <c r="AV60" s="248"/>
      <c r="AW60" s="249"/>
      <c r="AX60" s="248"/>
      <c r="AY60" s="249"/>
      <c r="AZ60" s="248"/>
      <c r="BA60" s="249"/>
      <c r="BB60" s="248"/>
      <c r="BC60" s="249"/>
      <c r="BD60" s="248"/>
      <c r="BE60" s="250"/>
      <c r="BF60" s="249"/>
      <c r="BG60" s="251"/>
      <c r="BH60" s="252"/>
      <c r="BI60" s="242"/>
      <c r="BJ60" s="243"/>
      <c r="BK60" s="243"/>
      <c r="BL60" s="243"/>
      <c r="BM60" s="243"/>
      <c r="BN60" s="243"/>
      <c r="BO60" s="243"/>
      <c r="BP60" s="243"/>
      <c r="BQ60" s="243"/>
      <c r="BR60" s="243"/>
      <c r="BS60" s="243"/>
      <c r="BT60" s="243"/>
      <c r="BU60" s="243"/>
      <c r="BV60" s="243"/>
      <c r="BW60" s="243"/>
      <c r="BX60" s="243"/>
      <c r="BY60" s="243"/>
      <c r="BZ60" s="243"/>
      <c r="CA60" s="243"/>
      <c r="CB60" s="243"/>
      <c r="CC60" s="244"/>
      <c r="CD60" s="253" t="s">
        <v>153</v>
      </c>
      <c r="CE60" s="254"/>
      <c r="CF60" s="255"/>
    </row>
    <row r="61" spans="2:84" ht="14.1" customHeight="1" thickBot="1">
      <c r="B61" s="227"/>
      <c r="C61" s="232"/>
      <c r="D61" s="216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8"/>
      <c r="AV61" s="236" t="s">
        <v>146</v>
      </c>
      <c r="AW61" s="237"/>
      <c r="AX61" s="236" t="s">
        <v>147</v>
      </c>
      <c r="AY61" s="237"/>
      <c r="AZ61" s="236" t="s">
        <v>148</v>
      </c>
      <c r="BA61" s="237"/>
      <c r="BB61" s="236" t="s">
        <v>149</v>
      </c>
      <c r="BC61" s="237"/>
      <c r="BD61" s="236" t="s">
        <v>150</v>
      </c>
      <c r="BE61" s="238"/>
      <c r="BF61" s="237"/>
      <c r="BG61" s="236" t="s">
        <v>151</v>
      </c>
      <c r="BH61" s="237"/>
      <c r="BI61" s="245"/>
      <c r="BJ61" s="246"/>
      <c r="BK61" s="246"/>
      <c r="BL61" s="246"/>
      <c r="BM61" s="246"/>
      <c r="BN61" s="246"/>
      <c r="BO61" s="246"/>
      <c r="BP61" s="246"/>
      <c r="BQ61" s="246"/>
      <c r="BR61" s="246"/>
      <c r="BS61" s="246"/>
      <c r="BT61" s="246"/>
      <c r="BU61" s="246"/>
      <c r="BV61" s="246"/>
      <c r="BW61" s="246"/>
      <c r="BX61" s="246"/>
      <c r="BY61" s="246"/>
      <c r="BZ61" s="246"/>
      <c r="CA61" s="246"/>
      <c r="CB61" s="246"/>
      <c r="CC61" s="247"/>
      <c r="CD61" s="256"/>
      <c r="CE61" s="257"/>
      <c r="CF61" s="258"/>
    </row>
    <row r="62" spans="2:84" ht="14.1" customHeight="1">
      <c r="BW62" s="89" t="s">
        <v>154</v>
      </c>
    </row>
  </sheetData>
  <sheetProtection formatCells="0" insertHyperlinks="0" selectLockedCells="1" sort="0" autoFilter="0" pivotTables="0"/>
  <mergeCells count="35">
    <mergeCell ref="AV60:AW60"/>
    <mergeCell ref="AX60:AY60"/>
    <mergeCell ref="AZ60:BA60"/>
    <mergeCell ref="AV61:AW61"/>
    <mergeCell ref="AX61:AY61"/>
    <mergeCell ref="AZ61:BA61"/>
    <mergeCell ref="BI59:CC61"/>
    <mergeCell ref="CD59:CF59"/>
    <mergeCell ref="BB60:BC60"/>
    <mergeCell ref="BD60:BF60"/>
    <mergeCell ref="BG60:BH60"/>
    <mergeCell ref="CD60:CF61"/>
    <mergeCell ref="BG61:BH61"/>
    <mergeCell ref="D59:AU61"/>
    <mergeCell ref="BU4:CF5"/>
    <mergeCell ref="B45:B49"/>
    <mergeCell ref="C45:C49"/>
    <mergeCell ref="B50:B56"/>
    <mergeCell ref="AZ59:BA59"/>
    <mergeCell ref="C50:C56"/>
    <mergeCell ref="B57:B61"/>
    <mergeCell ref="C57:C61"/>
    <mergeCell ref="AV59:AW59"/>
    <mergeCell ref="AX59:AY59"/>
    <mergeCell ref="BB59:BC59"/>
    <mergeCell ref="BD59:BF59"/>
    <mergeCell ref="BG59:BH59"/>
    <mergeCell ref="BB61:BC61"/>
    <mergeCell ref="BD61:BF61"/>
    <mergeCell ref="BU6:CF7"/>
    <mergeCell ref="BI4:BJ5"/>
    <mergeCell ref="BI2:CF3"/>
    <mergeCell ref="BK4:BT5"/>
    <mergeCell ref="BI6:BJ7"/>
    <mergeCell ref="BK6:BT7"/>
  </mergeCells>
  <printOptions verticalCentered="1"/>
  <pageMargins left="0" right="0" top="0" bottom="0" header="0" footer="0"/>
  <pageSetup paperSize="8" orientation="landscape" cellComments="atEn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>
    <tabColor rgb="FFFF0000"/>
    <pageSetUpPr fitToPage="1"/>
  </sheetPr>
  <dimension ref="A1:CF62"/>
  <sheetViews>
    <sheetView topLeftCell="A43" zoomScale="70" zoomScaleNormal="70" zoomScaleSheetLayoutView="73" zoomScalePageLayoutView="70" workbookViewId="0">
      <selection activeCell="BI59" sqref="BI59:CC61"/>
    </sheetView>
  </sheetViews>
  <sheetFormatPr defaultColWidth="2.44140625" defaultRowHeight="13.5" customHeight="1"/>
  <cols>
    <col min="1" max="1" width="4" style="82" customWidth="1"/>
    <col min="2" max="2" width="2.5546875" style="82" customWidth="1"/>
    <col min="3" max="3" width="3.5546875" style="82" customWidth="1"/>
    <col min="4" max="4" width="4" style="82" customWidth="1"/>
    <col min="5" max="85" width="2.44140625" style="82" customWidth="1"/>
    <col min="86" max="16384" width="2.44140625" style="82"/>
  </cols>
  <sheetData>
    <row r="1" spans="1:84" ht="14.1" customHeight="1" thickBot="1">
      <c r="A1" s="81" t="s">
        <v>155</v>
      </c>
    </row>
    <row r="2" spans="1:84" ht="14.1" customHeight="1"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210" t="s">
        <v>187</v>
      </c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  <c r="CB2" s="210"/>
      <c r="CC2" s="210"/>
      <c r="CD2" s="210"/>
      <c r="CE2" s="210"/>
      <c r="CF2" s="211"/>
    </row>
    <row r="3" spans="1:84" ht="14.1" customHeight="1"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12"/>
    </row>
    <row r="4" spans="1:84" ht="14.1" customHeight="1"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4"/>
    </row>
    <row r="5" spans="1:84" ht="14.1" customHeight="1"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4"/>
    </row>
    <row r="6" spans="1:84" ht="14.1" customHeight="1"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4"/>
    </row>
    <row r="7" spans="1:84" ht="14.1" customHeight="1"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4"/>
    </row>
    <row r="8" spans="1:84" ht="14.1" customHeight="1"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4"/>
    </row>
    <row r="9" spans="1:84" ht="14.1" customHeight="1"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4"/>
    </row>
    <row r="10" spans="1:84" ht="14.1" customHeight="1"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4"/>
    </row>
    <row r="11" spans="1:84" ht="14.1" customHeight="1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4"/>
    </row>
    <row r="12" spans="1:84" ht="13.5" customHeight="1"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4"/>
    </row>
    <row r="13" spans="1:84" ht="13.5" customHeight="1"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4"/>
    </row>
    <row r="14" spans="1:84" ht="14.1" customHeight="1"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4"/>
    </row>
    <row r="15" spans="1:84" ht="14.1" customHeight="1"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4"/>
    </row>
    <row r="16" spans="1:84" ht="14.1" customHeight="1"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4"/>
    </row>
    <row r="17" spans="4:84" ht="14.1" customHeight="1"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4"/>
    </row>
    <row r="18" spans="4:84" ht="14.1" customHeight="1"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4"/>
    </row>
    <row r="19" spans="4:84" ht="14.1" customHeight="1"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4"/>
    </row>
    <row r="20" spans="4:84" ht="14.1" customHeigh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4"/>
    </row>
    <row r="21" spans="4:84" ht="14.1" customHeight="1"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4"/>
    </row>
    <row r="22" spans="4:84" ht="14.1" customHeight="1">
      <c r="D22" s="79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4"/>
    </row>
    <row r="23" spans="4:84" ht="14.1" customHeight="1">
      <c r="D23" s="7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4"/>
    </row>
    <row r="24" spans="4:84" ht="14.1" customHeight="1"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4"/>
    </row>
    <row r="25" spans="4:84" ht="14.1" customHeight="1"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4"/>
    </row>
    <row r="26" spans="4:84" ht="14.1" customHeight="1"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4"/>
    </row>
    <row r="27" spans="4:84" ht="14.1" customHeight="1"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4"/>
    </row>
    <row r="28" spans="4:84" ht="14.1" customHeight="1"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4"/>
    </row>
    <row r="29" spans="4:84" ht="14.1" customHeight="1">
      <c r="D29" s="7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4"/>
    </row>
    <row r="30" spans="4:84" ht="14.1" customHeight="1">
      <c r="D30" s="79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4"/>
    </row>
    <row r="31" spans="4:84" ht="14.1" customHeight="1">
      <c r="D31" s="79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4"/>
    </row>
    <row r="32" spans="4:84" ht="14.1" customHeight="1"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4"/>
    </row>
    <row r="33" spans="2:84" ht="14.1" customHeight="1"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4"/>
    </row>
    <row r="34" spans="2:84" ht="14.1" customHeight="1"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4"/>
    </row>
    <row r="35" spans="2:84" ht="14.1" customHeight="1"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4"/>
    </row>
    <row r="36" spans="2:84" ht="14.1" customHeight="1"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4"/>
    </row>
    <row r="37" spans="2:84" ht="14.1" customHeight="1"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4"/>
    </row>
    <row r="38" spans="2:84" ht="14.1" customHeight="1"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4"/>
    </row>
    <row r="39" spans="2:84" ht="14.1" customHeight="1"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4"/>
    </row>
    <row r="40" spans="2:84" ht="14.1" customHeight="1"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4"/>
    </row>
    <row r="41" spans="2:84" ht="14.1" customHeight="1"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4"/>
    </row>
    <row r="42" spans="2:84" ht="14.1" customHeigh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4"/>
    </row>
    <row r="43" spans="2:84" ht="14.1" customHeight="1"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4"/>
    </row>
    <row r="44" spans="2:84" ht="14.1" customHeight="1" thickBot="1">
      <c r="D44" s="79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4"/>
    </row>
    <row r="45" spans="2:84" ht="14.1" customHeight="1">
      <c r="B45" s="219" t="s">
        <v>143</v>
      </c>
      <c r="C45" s="222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4"/>
    </row>
    <row r="46" spans="2:84" ht="14.1" customHeight="1">
      <c r="B46" s="220"/>
      <c r="C46" s="223"/>
      <c r="D46" s="85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4"/>
    </row>
    <row r="47" spans="2:84" ht="14.1" customHeight="1">
      <c r="B47" s="220"/>
      <c r="C47" s="223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4"/>
    </row>
    <row r="48" spans="2:84" ht="14.1" customHeight="1">
      <c r="B48" s="220"/>
      <c r="C48" s="223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4"/>
    </row>
    <row r="49" spans="2:84" ht="14.1" customHeight="1" thickBot="1">
      <c r="B49" s="221"/>
      <c r="C49" s="224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4"/>
    </row>
    <row r="50" spans="2:84" ht="14.1" customHeight="1">
      <c r="B50" s="225" t="s">
        <v>144</v>
      </c>
      <c r="C50" s="230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4"/>
    </row>
    <row r="51" spans="2:84" ht="14.1" customHeight="1">
      <c r="B51" s="226"/>
      <c r="C51" s="231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4"/>
    </row>
    <row r="52" spans="2:84" ht="14.1" customHeight="1">
      <c r="B52" s="226"/>
      <c r="C52" s="231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4"/>
    </row>
    <row r="53" spans="2:84" ht="14.1" customHeight="1">
      <c r="B53" s="226"/>
      <c r="C53" s="231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4"/>
    </row>
    <row r="54" spans="2:84" ht="14.1" customHeight="1">
      <c r="B54" s="226"/>
      <c r="C54" s="231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4"/>
    </row>
    <row r="55" spans="2:84" ht="14.1" customHeight="1">
      <c r="B55" s="226"/>
      <c r="C55" s="231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4"/>
    </row>
    <row r="56" spans="2:84" ht="14.1" customHeight="1" thickBot="1">
      <c r="B56" s="227"/>
      <c r="C56" s="232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4"/>
    </row>
    <row r="57" spans="2:84" ht="14.1" customHeight="1">
      <c r="B57" s="225" t="s">
        <v>152</v>
      </c>
      <c r="C57" s="230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4"/>
    </row>
    <row r="58" spans="2:84" ht="14.1" customHeight="1" thickBot="1">
      <c r="B58" s="226"/>
      <c r="C58" s="231"/>
      <c r="D58" s="85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8"/>
    </row>
    <row r="59" spans="2:84" ht="14.1" customHeight="1" thickBot="1">
      <c r="B59" s="226"/>
      <c r="C59" s="231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2"/>
      <c r="AV59" s="228"/>
      <c r="AW59" s="229"/>
      <c r="AX59" s="228"/>
      <c r="AY59" s="229"/>
      <c r="AZ59" s="228"/>
      <c r="BA59" s="229"/>
      <c r="BB59" s="228"/>
      <c r="BC59" s="229"/>
      <c r="BD59" s="228"/>
      <c r="BE59" s="233"/>
      <c r="BF59" s="229"/>
      <c r="BG59" s="234"/>
      <c r="BH59" s="235"/>
      <c r="BI59" s="239" t="s">
        <v>145</v>
      </c>
      <c r="BJ59" s="240"/>
      <c r="BK59" s="240"/>
      <c r="BL59" s="240"/>
      <c r="BM59" s="240"/>
      <c r="BN59" s="240"/>
      <c r="BO59" s="240"/>
      <c r="BP59" s="240"/>
      <c r="BQ59" s="240"/>
      <c r="BR59" s="240"/>
      <c r="BS59" s="240"/>
      <c r="BT59" s="240"/>
      <c r="BU59" s="240"/>
      <c r="BV59" s="240"/>
      <c r="BW59" s="240"/>
      <c r="BX59" s="240"/>
      <c r="BY59" s="240"/>
      <c r="BZ59" s="240"/>
      <c r="CA59" s="240"/>
      <c r="CB59" s="240"/>
      <c r="CC59" s="241"/>
      <c r="CD59" s="236" t="s">
        <v>148</v>
      </c>
      <c r="CE59" s="238"/>
      <c r="CF59" s="237"/>
    </row>
    <row r="60" spans="2:84" ht="14.1" customHeight="1" thickBot="1">
      <c r="B60" s="226"/>
      <c r="C60" s="231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2"/>
      <c r="AV60" s="248"/>
      <c r="AW60" s="249"/>
      <c r="AX60" s="248"/>
      <c r="AY60" s="249"/>
      <c r="AZ60" s="248"/>
      <c r="BA60" s="249"/>
      <c r="BB60" s="248"/>
      <c r="BC60" s="249"/>
      <c r="BD60" s="248"/>
      <c r="BE60" s="250"/>
      <c r="BF60" s="249"/>
      <c r="BG60" s="251"/>
      <c r="BH60" s="252"/>
      <c r="BI60" s="242"/>
      <c r="BJ60" s="243"/>
      <c r="BK60" s="243"/>
      <c r="BL60" s="243"/>
      <c r="BM60" s="243"/>
      <c r="BN60" s="243"/>
      <c r="BO60" s="243"/>
      <c r="BP60" s="243"/>
      <c r="BQ60" s="243"/>
      <c r="BR60" s="243"/>
      <c r="BS60" s="243"/>
      <c r="BT60" s="243"/>
      <c r="BU60" s="243"/>
      <c r="BV60" s="243"/>
      <c r="BW60" s="243"/>
      <c r="BX60" s="243"/>
      <c r="BY60" s="243"/>
      <c r="BZ60" s="243"/>
      <c r="CA60" s="243"/>
      <c r="CB60" s="243"/>
      <c r="CC60" s="244"/>
      <c r="CD60" s="253" t="s">
        <v>153</v>
      </c>
      <c r="CE60" s="254"/>
      <c r="CF60" s="255"/>
    </row>
    <row r="61" spans="2:84" ht="14.1" customHeight="1" thickBot="1">
      <c r="B61" s="227"/>
      <c r="C61" s="232"/>
      <c r="D61" s="93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5"/>
      <c r="AV61" s="236" t="s">
        <v>146</v>
      </c>
      <c r="AW61" s="237"/>
      <c r="AX61" s="236" t="s">
        <v>147</v>
      </c>
      <c r="AY61" s="237"/>
      <c r="AZ61" s="236" t="s">
        <v>148</v>
      </c>
      <c r="BA61" s="237"/>
      <c r="BB61" s="236" t="s">
        <v>149</v>
      </c>
      <c r="BC61" s="237"/>
      <c r="BD61" s="236" t="s">
        <v>150</v>
      </c>
      <c r="BE61" s="238"/>
      <c r="BF61" s="237"/>
      <c r="BG61" s="236" t="s">
        <v>151</v>
      </c>
      <c r="BH61" s="237"/>
      <c r="BI61" s="245"/>
      <c r="BJ61" s="246"/>
      <c r="BK61" s="246"/>
      <c r="BL61" s="246"/>
      <c r="BM61" s="246"/>
      <c r="BN61" s="246"/>
      <c r="BO61" s="246"/>
      <c r="BP61" s="246"/>
      <c r="BQ61" s="246"/>
      <c r="BR61" s="246"/>
      <c r="BS61" s="246"/>
      <c r="BT61" s="246"/>
      <c r="BU61" s="246"/>
      <c r="BV61" s="246"/>
      <c r="BW61" s="246"/>
      <c r="BX61" s="246"/>
      <c r="BY61" s="246"/>
      <c r="BZ61" s="246"/>
      <c r="CA61" s="246"/>
      <c r="CB61" s="246"/>
      <c r="CC61" s="247"/>
      <c r="CD61" s="256"/>
      <c r="CE61" s="257"/>
      <c r="CF61" s="258"/>
    </row>
    <row r="62" spans="2:84" ht="14.1" customHeight="1">
      <c r="BW62" s="89" t="s">
        <v>154</v>
      </c>
    </row>
  </sheetData>
  <sheetProtection formatCells="0" insertHyperlinks="0" selectLockedCells="1" sort="0" autoFilter="0" pivotTables="0"/>
  <mergeCells count="28">
    <mergeCell ref="BI2:CF3"/>
    <mergeCell ref="AV61:AW61"/>
    <mergeCell ref="AX61:AY61"/>
    <mergeCell ref="AZ61:BA61"/>
    <mergeCell ref="BB61:BC61"/>
    <mergeCell ref="AV59:AW59"/>
    <mergeCell ref="AX59:AY59"/>
    <mergeCell ref="AZ59:BA59"/>
    <mergeCell ref="BB59:BC59"/>
    <mergeCell ref="BD59:BF59"/>
    <mergeCell ref="AV60:AW60"/>
    <mergeCell ref="AX60:AY60"/>
    <mergeCell ref="AZ60:BA60"/>
    <mergeCell ref="BB60:BC60"/>
    <mergeCell ref="BD60:BF60"/>
    <mergeCell ref="BD61:BF61"/>
    <mergeCell ref="B45:B49"/>
    <mergeCell ref="C45:C49"/>
    <mergeCell ref="B50:B56"/>
    <mergeCell ref="C50:C56"/>
    <mergeCell ref="B57:B61"/>
    <mergeCell ref="C57:C61"/>
    <mergeCell ref="BG61:BH61"/>
    <mergeCell ref="BG59:BH59"/>
    <mergeCell ref="BI59:CC61"/>
    <mergeCell ref="CD59:CF59"/>
    <mergeCell ref="BG60:BH60"/>
    <mergeCell ref="CD60:CF61"/>
  </mergeCells>
  <printOptions verticalCentered="1"/>
  <pageMargins left="0" right="0" top="0" bottom="0" header="0" footer="0"/>
  <pageSetup paperSize="8" orientation="landscape" cellComments="atEn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7">
    <tabColor rgb="FFFF0000"/>
    <pageSetUpPr fitToPage="1"/>
  </sheetPr>
  <dimension ref="A1:CF62"/>
  <sheetViews>
    <sheetView showGridLines="0" showRowColHeaders="0" topLeftCell="A46" zoomScale="70" zoomScaleNormal="70" zoomScaleSheetLayoutView="73" zoomScalePageLayoutView="70" workbookViewId="0">
      <selection activeCell="CD60" sqref="CD60:CF61"/>
    </sheetView>
  </sheetViews>
  <sheetFormatPr defaultColWidth="2.44140625" defaultRowHeight="13.5" customHeight="1"/>
  <cols>
    <col min="1" max="1" width="4" style="82" customWidth="1"/>
    <col min="2" max="2" width="2.5546875" style="82" customWidth="1"/>
    <col min="3" max="3" width="3.5546875" style="82" customWidth="1"/>
    <col min="4" max="4" width="4" style="82" customWidth="1"/>
    <col min="5" max="85" width="2.44140625" style="82" customWidth="1"/>
    <col min="86" max="16384" width="2.44140625" style="82"/>
  </cols>
  <sheetData>
    <row r="1" spans="1:84" ht="14.1" customHeight="1" thickBot="1">
      <c r="A1" s="81" t="s">
        <v>160</v>
      </c>
    </row>
    <row r="2" spans="1:84" ht="14.1" customHeight="1">
      <c r="D2" s="259" t="s">
        <v>156</v>
      </c>
      <c r="E2" s="260"/>
      <c r="F2" s="281"/>
      <c r="G2" s="284" t="s">
        <v>189</v>
      </c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6"/>
      <c r="BS2" s="268" t="s">
        <v>157</v>
      </c>
      <c r="BT2" s="260"/>
      <c r="BU2" s="260"/>
      <c r="BV2" s="281"/>
      <c r="BW2" s="259" t="s">
        <v>158</v>
      </c>
      <c r="BX2" s="260"/>
      <c r="BY2" s="260"/>
      <c r="BZ2" s="261"/>
      <c r="CA2" s="268" t="s">
        <v>159</v>
      </c>
      <c r="CB2" s="260"/>
      <c r="CC2" s="260"/>
      <c r="CD2" s="260"/>
      <c r="CE2" s="260"/>
      <c r="CF2" s="261"/>
    </row>
    <row r="3" spans="1:84" ht="14.1" customHeight="1">
      <c r="D3" s="262"/>
      <c r="E3" s="263"/>
      <c r="F3" s="282"/>
      <c r="G3" s="287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88"/>
      <c r="BL3" s="288"/>
      <c r="BM3" s="288"/>
      <c r="BN3" s="288"/>
      <c r="BO3" s="288"/>
      <c r="BP3" s="288"/>
      <c r="BQ3" s="288"/>
      <c r="BR3" s="289"/>
      <c r="BS3" s="269"/>
      <c r="BT3" s="263"/>
      <c r="BU3" s="263"/>
      <c r="BV3" s="282"/>
      <c r="BW3" s="262"/>
      <c r="BX3" s="263"/>
      <c r="BY3" s="263"/>
      <c r="BZ3" s="264"/>
      <c r="CA3" s="269"/>
      <c r="CB3" s="263"/>
      <c r="CC3" s="263"/>
      <c r="CD3" s="263"/>
      <c r="CE3" s="263"/>
      <c r="CF3" s="264"/>
    </row>
    <row r="4" spans="1:84" ht="14.1" customHeight="1">
      <c r="D4" s="262"/>
      <c r="E4" s="263"/>
      <c r="F4" s="282"/>
      <c r="G4" s="287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  <c r="BM4" s="288"/>
      <c r="BN4" s="288"/>
      <c r="BO4" s="288"/>
      <c r="BP4" s="288"/>
      <c r="BQ4" s="288"/>
      <c r="BR4" s="289"/>
      <c r="BS4" s="269"/>
      <c r="BT4" s="263"/>
      <c r="BU4" s="263"/>
      <c r="BV4" s="282"/>
      <c r="BW4" s="262"/>
      <c r="BX4" s="263"/>
      <c r="BY4" s="263"/>
      <c r="BZ4" s="264"/>
      <c r="CA4" s="269"/>
      <c r="CB4" s="263"/>
      <c r="CC4" s="263"/>
      <c r="CD4" s="263"/>
      <c r="CE4" s="263"/>
      <c r="CF4" s="264"/>
    </row>
    <row r="5" spans="1:84" ht="14.1" customHeight="1">
      <c r="D5" s="262"/>
      <c r="E5" s="263"/>
      <c r="F5" s="282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288"/>
      <c r="BL5" s="288"/>
      <c r="BM5" s="288"/>
      <c r="BN5" s="288"/>
      <c r="BO5" s="288"/>
      <c r="BP5" s="288"/>
      <c r="BQ5" s="288"/>
      <c r="BR5" s="289"/>
      <c r="BS5" s="269"/>
      <c r="BT5" s="263"/>
      <c r="BU5" s="263"/>
      <c r="BV5" s="282"/>
      <c r="BW5" s="262"/>
      <c r="BX5" s="263"/>
      <c r="BY5" s="263"/>
      <c r="BZ5" s="264"/>
      <c r="CA5" s="269"/>
      <c r="CB5" s="263"/>
      <c r="CC5" s="263"/>
      <c r="CD5" s="263"/>
      <c r="CE5" s="263"/>
      <c r="CF5" s="264"/>
    </row>
    <row r="6" spans="1:84" ht="14.1" customHeight="1">
      <c r="D6" s="262"/>
      <c r="E6" s="263"/>
      <c r="F6" s="282"/>
      <c r="G6" s="287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  <c r="BM6" s="288"/>
      <c r="BN6" s="288"/>
      <c r="BO6" s="288"/>
      <c r="BP6" s="288"/>
      <c r="BQ6" s="288"/>
      <c r="BR6" s="289"/>
      <c r="BS6" s="269"/>
      <c r="BT6" s="263"/>
      <c r="BU6" s="263"/>
      <c r="BV6" s="282"/>
      <c r="BW6" s="262"/>
      <c r="BX6" s="263"/>
      <c r="BY6" s="263"/>
      <c r="BZ6" s="264"/>
      <c r="CA6" s="269"/>
      <c r="CB6" s="263"/>
      <c r="CC6" s="263"/>
      <c r="CD6" s="263"/>
      <c r="CE6" s="263"/>
      <c r="CF6" s="264"/>
    </row>
    <row r="7" spans="1:84" ht="14.1" customHeight="1" thickBot="1">
      <c r="D7" s="265"/>
      <c r="E7" s="266"/>
      <c r="F7" s="283"/>
      <c r="G7" s="290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2"/>
      <c r="BS7" s="270"/>
      <c r="BT7" s="266"/>
      <c r="BU7" s="266"/>
      <c r="BV7" s="283"/>
      <c r="BW7" s="265"/>
      <c r="BX7" s="266"/>
      <c r="BY7" s="266"/>
      <c r="BZ7" s="267"/>
      <c r="CA7" s="270"/>
      <c r="CB7" s="266"/>
      <c r="CC7" s="266"/>
      <c r="CD7" s="266"/>
      <c r="CE7" s="266"/>
      <c r="CF7" s="267"/>
    </row>
    <row r="8" spans="1:84" ht="14.1" customHeight="1">
      <c r="D8" s="271">
        <v>1</v>
      </c>
      <c r="E8" s="272"/>
      <c r="F8" s="273"/>
      <c r="G8" s="293">
        <v>2</v>
      </c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M8" s="294"/>
      <c r="BN8" s="294"/>
      <c r="BO8" s="294"/>
      <c r="BP8" s="294"/>
      <c r="BQ8" s="294"/>
      <c r="BR8" s="295"/>
      <c r="BS8" s="277">
        <v>3</v>
      </c>
      <c r="BT8" s="272"/>
      <c r="BU8" s="272"/>
      <c r="BV8" s="273"/>
      <c r="BW8" s="271">
        <v>4</v>
      </c>
      <c r="BX8" s="272"/>
      <c r="BY8" s="272"/>
      <c r="BZ8" s="279"/>
      <c r="CA8" s="277">
        <v>5</v>
      </c>
      <c r="CB8" s="272"/>
      <c r="CC8" s="272"/>
      <c r="CD8" s="272"/>
      <c r="CE8" s="272"/>
      <c r="CF8" s="279"/>
    </row>
    <row r="9" spans="1:84" ht="14.1" customHeight="1" thickBot="1">
      <c r="D9" s="274"/>
      <c r="E9" s="275"/>
      <c r="F9" s="276"/>
      <c r="G9" s="296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8"/>
      <c r="BS9" s="278"/>
      <c r="BT9" s="275"/>
      <c r="BU9" s="275"/>
      <c r="BV9" s="276"/>
      <c r="BW9" s="274"/>
      <c r="BX9" s="275"/>
      <c r="BY9" s="275"/>
      <c r="BZ9" s="280"/>
      <c r="CA9" s="278"/>
      <c r="CB9" s="275"/>
      <c r="CC9" s="275"/>
      <c r="CD9" s="275"/>
      <c r="CE9" s="275"/>
      <c r="CF9" s="280"/>
    </row>
    <row r="10" spans="1:84" ht="14.1" customHeight="1">
      <c r="D10" s="299"/>
      <c r="E10" s="300"/>
      <c r="F10" s="313"/>
      <c r="G10" s="315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6"/>
      <c r="AX10" s="316"/>
      <c r="AY10" s="316"/>
      <c r="AZ10" s="316"/>
      <c r="BA10" s="316"/>
      <c r="BB10" s="316"/>
      <c r="BC10" s="316"/>
      <c r="BD10" s="316"/>
      <c r="BE10" s="316"/>
      <c r="BF10" s="316"/>
      <c r="BG10" s="316"/>
      <c r="BH10" s="316"/>
      <c r="BI10" s="316"/>
      <c r="BJ10" s="316"/>
      <c r="BK10" s="316"/>
      <c r="BL10" s="316"/>
      <c r="BM10" s="316"/>
      <c r="BN10" s="316"/>
      <c r="BO10" s="316"/>
      <c r="BP10" s="316"/>
      <c r="BQ10" s="316"/>
      <c r="BR10" s="317"/>
      <c r="BS10" s="314"/>
      <c r="BT10" s="300"/>
      <c r="BU10" s="300"/>
      <c r="BV10" s="313"/>
      <c r="BW10" s="299"/>
      <c r="BX10" s="300"/>
      <c r="BY10" s="300"/>
      <c r="BZ10" s="301"/>
      <c r="CA10" s="305"/>
      <c r="CB10" s="306"/>
      <c r="CC10" s="306"/>
      <c r="CD10" s="306"/>
      <c r="CE10" s="306"/>
      <c r="CF10" s="307"/>
    </row>
    <row r="11" spans="1:84" ht="14.1" customHeight="1">
      <c r="D11" s="302"/>
      <c r="E11" s="303"/>
      <c r="F11" s="311"/>
      <c r="G11" s="318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  <c r="BB11" s="319"/>
      <c r="BC11" s="319"/>
      <c r="BD11" s="319"/>
      <c r="BE11" s="319"/>
      <c r="BF11" s="319"/>
      <c r="BG11" s="319"/>
      <c r="BH11" s="319"/>
      <c r="BI11" s="319"/>
      <c r="BJ11" s="319"/>
      <c r="BK11" s="319"/>
      <c r="BL11" s="319"/>
      <c r="BM11" s="319"/>
      <c r="BN11" s="319"/>
      <c r="BO11" s="319"/>
      <c r="BP11" s="319"/>
      <c r="BQ11" s="319"/>
      <c r="BR11" s="320"/>
      <c r="BS11" s="312"/>
      <c r="BT11" s="303"/>
      <c r="BU11" s="303"/>
      <c r="BV11" s="311"/>
      <c r="BW11" s="302"/>
      <c r="BX11" s="303"/>
      <c r="BY11" s="303"/>
      <c r="BZ11" s="304"/>
      <c r="CA11" s="308"/>
      <c r="CB11" s="309"/>
      <c r="CC11" s="309"/>
      <c r="CD11" s="309"/>
      <c r="CE11" s="309"/>
      <c r="CF11" s="310"/>
    </row>
    <row r="12" spans="1:84" ht="14.1" customHeight="1">
      <c r="D12" s="302"/>
      <c r="E12" s="303"/>
      <c r="F12" s="311"/>
      <c r="G12" s="321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3"/>
      <c r="BS12" s="312"/>
      <c r="BT12" s="303"/>
      <c r="BU12" s="303"/>
      <c r="BV12" s="311"/>
      <c r="BW12" s="302"/>
      <c r="BX12" s="303"/>
      <c r="BY12" s="303"/>
      <c r="BZ12" s="304"/>
      <c r="CA12" s="308"/>
      <c r="CB12" s="309"/>
      <c r="CC12" s="309"/>
      <c r="CD12" s="309"/>
      <c r="CE12" s="309"/>
      <c r="CF12" s="310"/>
    </row>
    <row r="13" spans="1:84" ht="14.1" customHeight="1">
      <c r="D13" s="302"/>
      <c r="E13" s="303"/>
      <c r="F13" s="311"/>
      <c r="G13" s="318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  <c r="AJ13" s="319"/>
      <c r="AK13" s="319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19"/>
      <c r="AX13" s="319"/>
      <c r="AY13" s="319"/>
      <c r="AZ13" s="319"/>
      <c r="BA13" s="319"/>
      <c r="BB13" s="319"/>
      <c r="BC13" s="319"/>
      <c r="BD13" s="319"/>
      <c r="BE13" s="319"/>
      <c r="BF13" s="319"/>
      <c r="BG13" s="319"/>
      <c r="BH13" s="319"/>
      <c r="BI13" s="319"/>
      <c r="BJ13" s="319"/>
      <c r="BK13" s="319"/>
      <c r="BL13" s="319"/>
      <c r="BM13" s="319"/>
      <c r="BN13" s="319"/>
      <c r="BO13" s="319"/>
      <c r="BP13" s="319"/>
      <c r="BQ13" s="319"/>
      <c r="BR13" s="320"/>
      <c r="BS13" s="312"/>
      <c r="BT13" s="303"/>
      <c r="BU13" s="303"/>
      <c r="BV13" s="311"/>
      <c r="BW13" s="302"/>
      <c r="BX13" s="303"/>
      <c r="BY13" s="303"/>
      <c r="BZ13" s="304"/>
      <c r="CA13" s="308"/>
      <c r="CB13" s="309"/>
      <c r="CC13" s="309"/>
      <c r="CD13" s="309"/>
      <c r="CE13" s="309"/>
      <c r="CF13" s="310"/>
    </row>
    <row r="14" spans="1:84" ht="14.1" customHeight="1">
      <c r="D14" s="302"/>
      <c r="E14" s="303"/>
      <c r="F14" s="311"/>
      <c r="G14" s="321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  <c r="BM14" s="322"/>
      <c r="BN14" s="322"/>
      <c r="BO14" s="322"/>
      <c r="BP14" s="322"/>
      <c r="BQ14" s="322"/>
      <c r="BR14" s="323"/>
      <c r="BS14" s="312"/>
      <c r="BT14" s="303"/>
      <c r="BU14" s="303"/>
      <c r="BV14" s="311"/>
      <c r="BW14" s="302"/>
      <c r="BX14" s="303"/>
      <c r="BY14" s="303"/>
      <c r="BZ14" s="304"/>
      <c r="CA14" s="308"/>
      <c r="CB14" s="309"/>
      <c r="CC14" s="309"/>
      <c r="CD14" s="309"/>
      <c r="CE14" s="309"/>
      <c r="CF14" s="310"/>
    </row>
    <row r="15" spans="1:84" ht="14.1" customHeight="1">
      <c r="D15" s="302"/>
      <c r="E15" s="303"/>
      <c r="F15" s="311"/>
      <c r="G15" s="318"/>
      <c r="H15" s="319"/>
      <c r="I15" s="319"/>
      <c r="J15" s="319"/>
      <c r="K15" s="319"/>
      <c r="L15" s="319"/>
      <c r="M15" s="319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O15" s="319"/>
      <c r="BP15" s="319"/>
      <c r="BQ15" s="319"/>
      <c r="BR15" s="320"/>
      <c r="BS15" s="312"/>
      <c r="BT15" s="303"/>
      <c r="BU15" s="303"/>
      <c r="BV15" s="311"/>
      <c r="BW15" s="302"/>
      <c r="BX15" s="303"/>
      <c r="BY15" s="303"/>
      <c r="BZ15" s="304"/>
      <c r="CA15" s="308"/>
      <c r="CB15" s="309"/>
      <c r="CC15" s="309"/>
      <c r="CD15" s="309"/>
      <c r="CE15" s="309"/>
      <c r="CF15" s="310"/>
    </row>
    <row r="16" spans="1:84" ht="14.1" customHeight="1">
      <c r="D16" s="302"/>
      <c r="E16" s="303"/>
      <c r="F16" s="311"/>
      <c r="G16" s="321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22"/>
      <c r="BF16" s="322"/>
      <c r="BG16" s="322"/>
      <c r="BH16" s="322"/>
      <c r="BI16" s="322"/>
      <c r="BJ16" s="322"/>
      <c r="BK16" s="322"/>
      <c r="BL16" s="322"/>
      <c r="BM16" s="322"/>
      <c r="BN16" s="322"/>
      <c r="BO16" s="322"/>
      <c r="BP16" s="322"/>
      <c r="BQ16" s="322"/>
      <c r="BR16" s="323"/>
      <c r="BS16" s="312"/>
      <c r="BT16" s="303"/>
      <c r="BU16" s="303"/>
      <c r="BV16" s="311"/>
      <c r="BW16" s="302"/>
      <c r="BX16" s="303"/>
      <c r="BY16" s="303"/>
      <c r="BZ16" s="304"/>
      <c r="CA16" s="308"/>
      <c r="CB16" s="309"/>
      <c r="CC16" s="309"/>
      <c r="CD16" s="309"/>
      <c r="CE16" s="309"/>
      <c r="CF16" s="310"/>
    </row>
    <row r="17" spans="4:84" ht="14.1" customHeight="1">
      <c r="D17" s="302"/>
      <c r="E17" s="303"/>
      <c r="F17" s="311"/>
      <c r="G17" s="318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319"/>
      <c r="AH17" s="319"/>
      <c r="AI17" s="319"/>
      <c r="AJ17" s="319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20"/>
      <c r="BS17" s="312"/>
      <c r="BT17" s="303"/>
      <c r="BU17" s="303"/>
      <c r="BV17" s="311"/>
      <c r="BW17" s="302"/>
      <c r="BX17" s="303"/>
      <c r="BY17" s="303"/>
      <c r="BZ17" s="304"/>
      <c r="CA17" s="308"/>
      <c r="CB17" s="309"/>
      <c r="CC17" s="309"/>
      <c r="CD17" s="309"/>
      <c r="CE17" s="309"/>
      <c r="CF17" s="310"/>
    </row>
    <row r="18" spans="4:84" ht="14.1" customHeight="1">
      <c r="D18" s="302"/>
      <c r="E18" s="303"/>
      <c r="F18" s="311"/>
      <c r="G18" s="321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322"/>
      <c r="AW18" s="322"/>
      <c r="AX18" s="322"/>
      <c r="AY18" s="322"/>
      <c r="AZ18" s="322"/>
      <c r="BA18" s="322"/>
      <c r="BB18" s="322"/>
      <c r="BC18" s="322"/>
      <c r="BD18" s="322"/>
      <c r="BE18" s="322"/>
      <c r="BF18" s="322"/>
      <c r="BG18" s="322"/>
      <c r="BH18" s="322"/>
      <c r="BI18" s="322"/>
      <c r="BJ18" s="322"/>
      <c r="BK18" s="322"/>
      <c r="BL18" s="322"/>
      <c r="BM18" s="322"/>
      <c r="BN18" s="322"/>
      <c r="BO18" s="322"/>
      <c r="BP18" s="322"/>
      <c r="BQ18" s="322"/>
      <c r="BR18" s="323"/>
      <c r="BS18" s="312"/>
      <c r="BT18" s="303"/>
      <c r="BU18" s="303"/>
      <c r="BV18" s="311"/>
      <c r="BW18" s="302"/>
      <c r="BX18" s="303"/>
      <c r="BY18" s="303"/>
      <c r="BZ18" s="304"/>
      <c r="CA18" s="308"/>
      <c r="CB18" s="309"/>
      <c r="CC18" s="309"/>
      <c r="CD18" s="309"/>
      <c r="CE18" s="309"/>
      <c r="CF18" s="310"/>
    </row>
    <row r="19" spans="4:84" ht="14.1" customHeight="1">
      <c r="D19" s="302"/>
      <c r="E19" s="303"/>
      <c r="F19" s="311"/>
      <c r="G19" s="318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319"/>
      <c r="AL19" s="319"/>
      <c r="AM19" s="319"/>
      <c r="AN19" s="319"/>
      <c r="AO19" s="319"/>
      <c r="AP19" s="319"/>
      <c r="AQ19" s="319"/>
      <c r="AR19" s="319"/>
      <c r="AS19" s="319"/>
      <c r="AT19" s="319"/>
      <c r="AU19" s="319"/>
      <c r="AV19" s="319"/>
      <c r="AW19" s="319"/>
      <c r="AX19" s="319"/>
      <c r="AY19" s="319"/>
      <c r="AZ19" s="319"/>
      <c r="BA19" s="319"/>
      <c r="BB19" s="319"/>
      <c r="BC19" s="319"/>
      <c r="BD19" s="319"/>
      <c r="BE19" s="319"/>
      <c r="BF19" s="319"/>
      <c r="BG19" s="319"/>
      <c r="BH19" s="319"/>
      <c r="BI19" s="319"/>
      <c r="BJ19" s="319"/>
      <c r="BK19" s="319"/>
      <c r="BL19" s="319"/>
      <c r="BM19" s="319"/>
      <c r="BN19" s="319"/>
      <c r="BO19" s="319"/>
      <c r="BP19" s="319"/>
      <c r="BQ19" s="319"/>
      <c r="BR19" s="320"/>
      <c r="BS19" s="312"/>
      <c r="BT19" s="303"/>
      <c r="BU19" s="303"/>
      <c r="BV19" s="311"/>
      <c r="BW19" s="302"/>
      <c r="BX19" s="303"/>
      <c r="BY19" s="303"/>
      <c r="BZ19" s="304"/>
      <c r="CA19" s="308"/>
      <c r="CB19" s="309"/>
      <c r="CC19" s="309"/>
      <c r="CD19" s="309"/>
      <c r="CE19" s="309"/>
      <c r="CF19" s="310"/>
    </row>
    <row r="20" spans="4:84" ht="14.1" customHeight="1">
      <c r="D20" s="302"/>
      <c r="E20" s="303"/>
      <c r="F20" s="311"/>
      <c r="G20" s="321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22"/>
      <c r="BF20" s="322"/>
      <c r="BG20" s="322"/>
      <c r="BH20" s="322"/>
      <c r="BI20" s="322"/>
      <c r="BJ20" s="322"/>
      <c r="BK20" s="322"/>
      <c r="BL20" s="322"/>
      <c r="BM20" s="322"/>
      <c r="BN20" s="322"/>
      <c r="BO20" s="322"/>
      <c r="BP20" s="322"/>
      <c r="BQ20" s="322"/>
      <c r="BR20" s="323"/>
      <c r="BS20" s="312"/>
      <c r="BT20" s="303"/>
      <c r="BU20" s="303"/>
      <c r="BV20" s="311"/>
      <c r="BW20" s="302"/>
      <c r="BX20" s="303"/>
      <c r="BY20" s="303"/>
      <c r="BZ20" s="304"/>
      <c r="CA20" s="308"/>
      <c r="CB20" s="309"/>
      <c r="CC20" s="309"/>
      <c r="CD20" s="309"/>
      <c r="CE20" s="309"/>
      <c r="CF20" s="310"/>
    </row>
    <row r="21" spans="4:84" ht="14.1" customHeight="1">
      <c r="D21" s="302"/>
      <c r="E21" s="303"/>
      <c r="F21" s="311"/>
      <c r="G21" s="318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20"/>
      <c r="BS21" s="312"/>
      <c r="BT21" s="303"/>
      <c r="BU21" s="303"/>
      <c r="BV21" s="311"/>
      <c r="BW21" s="302"/>
      <c r="BX21" s="303"/>
      <c r="BY21" s="303"/>
      <c r="BZ21" s="304"/>
      <c r="CA21" s="308"/>
      <c r="CB21" s="309"/>
      <c r="CC21" s="309"/>
      <c r="CD21" s="309"/>
      <c r="CE21" s="309"/>
      <c r="CF21" s="310"/>
    </row>
    <row r="22" spans="4:84" ht="14.1" customHeight="1">
      <c r="D22" s="302"/>
      <c r="E22" s="303"/>
      <c r="F22" s="311"/>
      <c r="G22" s="321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  <c r="AS22" s="322"/>
      <c r="AT22" s="322"/>
      <c r="AU22" s="322"/>
      <c r="AV22" s="322"/>
      <c r="AW22" s="322"/>
      <c r="AX22" s="322"/>
      <c r="AY22" s="322"/>
      <c r="AZ22" s="322"/>
      <c r="BA22" s="322"/>
      <c r="BB22" s="322"/>
      <c r="BC22" s="322"/>
      <c r="BD22" s="322"/>
      <c r="BE22" s="322"/>
      <c r="BF22" s="322"/>
      <c r="BG22" s="322"/>
      <c r="BH22" s="322"/>
      <c r="BI22" s="322"/>
      <c r="BJ22" s="322"/>
      <c r="BK22" s="322"/>
      <c r="BL22" s="322"/>
      <c r="BM22" s="322"/>
      <c r="BN22" s="322"/>
      <c r="BO22" s="322"/>
      <c r="BP22" s="322"/>
      <c r="BQ22" s="322"/>
      <c r="BR22" s="323"/>
      <c r="BS22" s="312"/>
      <c r="BT22" s="303"/>
      <c r="BU22" s="303"/>
      <c r="BV22" s="311"/>
      <c r="BW22" s="302"/>
      <c r="BX22" s="303"/>
      <c r="BY22" s="303"/>
      <c r="BZ22" s="304"/>
      <c r="CA22" s="308"/>
      <c r="CB22" s="309"/>
      <c r="CC22" s="309"/>
      <c r="CD22" s="309"/>
      <c r="CE22" s="309"/>
      <c r="CF22" s="310"/>
    </row>
    <row r="23" spans="4:84" ht="14.1" customHeight="1">
      <c r="D23" s="302"/>
      <c r="E23" s="303"/>
      <c r="F23" s="311"/>
      <c r="G23" s="318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20"/>
      <c r="BS23" s="312"/>
      <c r="BT23" s="303"/>
      <c r="BU23" s="303"/>
      <c r="BV23" s="311"/>
      <c r="BW23" s="302"/>
      <c r="BX23" s="303"/>
      <c r="BY23" s="303"/>
      <c r="BZ23" s="304"/>
      <c r="CA23" s="308"/>
      <c r="CB23" s="309"/>
      <c r="CC23" s="309"/>
      <c r="CD23" s="309"/>
      <c r="CE23" s="309"/>
      <c r="CF23" s="310"/>
    </row>
    <row r="24" spans="4:84" ht="14.1" customHeight="1">
      <c r="D24" s="302"/>
      <c r="E24" s="303"/>
      <c r="F24" s="311"/>
      <c r="G24" s="321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322"/>
      <c r="AW24" s="322"/>
      <c r="AX24" s="322"/>
      <c r="AY24" s="322"/>
      <c r="AZ24" s="322"/>
      <c r="BA24" s="322"/>
      <c r="BB24" s="322"/>
      <c r="BC24" s="322"/>
      <c r="BD24" s="322"/>
      <c r="BE24" s="322"/>
      <c r="BF24" s="322"/>
      <c r="BG24" s="322"/>
      <c r="BH24" s="322"/>
      <c r="BI24" s="322"/>
      <c r="BJ24" s="322"/>
      <c r="BK24" s="322"/>
      <c r="BL24" s="322"/>
      <c r="BM24" s="322"/>
      <c r="BN24" s="322"/>
      <c r="BO24" s="322"/>
      <c r="BP24" s="322"/>
      <c r="BQ24" s="322"/>
      <c r="BR24" s="323"/>
      <c r="BS24" s="312"/>
      <c r="BT24" s="303"/>
      <c r="BU24" s="303"/>
      <c r="BV24" s="311"/>
      <c r="BW24" s="302"/>
      <c r="BX24" s="303"/>
      <c r="BY24" s="303"/>
      <c r="BZ24" s="304"/>
      <c r="CA24" s="308"/>
      <c r="CB24" s="309"/>
      <c r="CC24" s="309"/>
      <c r="CD24" s="309"/>
      <c r="CE24" s="309"/>
      <c r="CF24" s="310"/>
    </row>
    <row r="25" spans="4:84" ht="14.1" customHeight="1">
      <c r="D25" s="302"/>
      <c r="E25" s="303"/>
      <c r="F25" s="311"/>
      <c r="G25" s="318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19"/>
      <c r="AM25" s="319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19"/>
      <c r="BA25" s="319"/>
      <c r="BB25" s="319"/>
      <c r="BC25" s="319"/>
      <c r="BD25" s="319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O25" s="319"/>
      <c r="BP25" s="319"/>
      <c r="BQ25" s="319"/>
      <c r="BR25" s="320"/>
      <c r="BS25" s="312"/>
      <c r="BT25" s="303"/>
      <c r="BU25" s="303"/>
      <c r="BV25" s="311"/>
      <c r="BW25" s="302"/>
      <c r="BX25" s="303"/>
      <c r="BY25" s="303"/>
      <c r="BZ25" s="304"/>
      <c r="CA25" s="308"/>
      <c r="CB25" s="309"/>
      <c r="CC25" s="309"/>
      <c r="CD25" s="309"/>
      <c r="CE25" s="309"/>
      <c r="CF25" s="310"/>
    </row>
    <row r="26" spans="4:84" ht="14.1" customHeight="1">
      <c r="D26" s="302"/>
      <c r="E26" s="303"/>
      <c r="F26" s="311"/>
      <c r="G26" s="321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322"/>
      <c r="AW26" s="322"/>
      <c r="AX26" s="322"/>
      <c r="AY26" s="322"/>
      <c r="AZ26" s="322"/>
      <c r="BA26" s="322"/>
      <c r="BB26" s="322"/>
      <c r="BC26" s="322"/>
      <c r="BD26" s="322"/>
      <c r="BE26" s="322"/>
      <c r="BF26" s="322"/>
      <c r="BG26" s="322"/>
      <c r="BH26" s="322"/>
      <c r="BI26" s="322"/>
      <c r="BJ26" s="322"/>
      <c r="BK26" s="322"/>
      <c r="BL26" s="322"/>
      <c r="BM26" s="322"/>
      <c r="BN26" s="322"/>
      <c r="BO26" s="322"/>
      <c r="BP26" s="322"/>
      <c r="BQ26" s="322"/>
      <c r="BR26" s="323"/>
      <c r="BS26" s="312"/>
      <c r="BT26" s="303"/>
      <c r="BU26" s="303"/>
      <c r="BV26" s="311"/>
      <c r="BW26" s="302"/>
      <c r="BX26" s="303"/>
      <c r="BY26" s="303"/>
      <c r="BZ26" s="304"/>
      <c r="CA26" s="308"/>
      <c r="CB26" s="309"/>
      <c r="CC26" s="309"/>
      <c r="CD26" s="309"/>
      <c r="CE26" s="309"/>
      <c r="CF26" s="310"/>
    </row>
    <row r="27" spans="4:84" ht="14.1" customHeight="1">
      <c r="D27" s="302"/>
      <c r="E27" s="303"/>
      <c r="F27" s="311"/>
      <c r="G27" s="318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20"/>
      <c r="BS27" s="312"/>
      <c r="BT27" s="303"/>
      <c r="BU27" s="303"/>
      <c r="BV27" s="311"/>
      <c r="BW27" s="302"/>
      <c r="BX27" s="303"/>
      <c r="BY27" s="303"/>
      <c r="BZ27" s="304"/>
      <c r="CA27" s="308"/>
      <c r="CB27" s="309"/>
      <c r="CC27" s="309"/>
      <c r="CD27" s="309"/>
      <c r="CE27" s="309"/>
      <c r="CF27" s="310"/>
    </row>
    <row r="28" spans="4:84" ht="14.1" customHeight="1">
      <c r="D28" s="302"/>
      <c r="E28" s="303"/>
      <c r="F28" s="311"/>
      <c r="G28" s="321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322"/>
      <c r="AW28" s="322"/>
      <c r="AX28" s="322"/>
      <c r="AY28" s="322"/>
      <c r="AZ28" s="322"/>
      <c r="BA28" s="322"/>
      <c r="BB28" s="322"/>
      <c r="BC28" s="322"/>
      <c r="BD28" s="322"/>
      <c r="BE28" s="322"/>
      <c r="BF28" s="322"/>
      <c r="BG28" s="322"/>
      <c r="BH28" s="322"/>
      <c r="BI28" s="322"/>
      <c r="BJ28" s="322"/>
      <c r="BK28" s="322"/>
      <c r="BL28" s="322"/>
      <c r="BM28" s="322"/>
      <c r="BN28" s="322"/>
      <c r="BO28" s="322"/>
      <c r="BP28" s="322"/>
      <c r="BQ28" s="322"/>
      <c r="BR28" s="323"/>
      <c r="BS28" s="312"/>
      <c r="BT28" s="303"/>
      <c r="BU28" s="303"/>
      <c r="BV28" s="311"/>
      <c r="BW28" s="302"/>
      <c r="BX28" s="303"/>
      <c r="BY28" s="303"/>
      <c r="BZ28" s="304"/>
      <c r="CA28" s="308"/>
      <c r="CB28" s="309"/>
      <c r="CC28" s="309"/>
      <c r="CD28" s="309"/>
      <c r="CE28" s="309"/>
      <c r="CF28" s="310"/>
    </row>
    <row r="29" spans="4:84" ht="14.1" customHeight="1">
      <c r="D29" s="302"/>
      <c r="E29" s="303"/>
      <c r="F29" s="311"/>
      <c r="G29" s="318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20"/>
      <c r="BS29" s="312"/>
      <c r="BT29" s="303"/>
      <c r="BU29" s="303"/>
      <c r="BV29" s="311"/>
      <c r="BW29" s="302"/>
      <c r="BX29" s="303"/>
      <c r="BY29" s="303"/>
      <c r="BZ29" s="304"/>
      <c r="CA29" s="308"/>
      <c r="CB29" s="309"/>
      <c r="CC29" s="309"/>
      <c r="CD29" s="309"/>
      <c r="CE29" s="309"/>
      <c r="CF29" s="310"/>
    </row>
    <row r="30" spans="4:84" ht="14.1" customHeight="1">
      <c r="D30" s="302"/>
      <c r="E30" s="303"/>
      <c r="F30" s="311"/>
      <c r="G30" s="321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2"/>
      <c r="BD30" s="322"/>
      <c r="BE30" s="322"/>
      <c r="BF30" s="322"/>
      <c r="BG30" s="322"/>
      <c r="BH30" s="322"/>
      <c r="BI30" s="322"/>
      <c r="BJ30" s="322"/>
      <c r="BK30" s="322"/>
      <c r="BL30" s="322"/>
      <c r="BM30" s="322"/>
      <c r="BN30" s="322"/>
      <c r="BO30" s="322"/>
      <c r="BP30" s="322"/>
      <c r="BQ30" s="322"/>
      <c r="BR30" s="323"/>
      <c r="BS30" s="312"/>
      <c r="BT30" s="303"/>
      <c r="BU30" s="303"/>
      <c r="BV30" s="311"/>
      <c r="BW30" s="302"/>
      <c r="BX30" s="303"/>
      <c r="BY30" s="303"/>
      <c r="BZ30" s="304"/>
      <c r="CA30" s="308"/>
      <c r="CB30" s="309"/>
      <c r="CC30" s="309"/>
      <c r="CD30" s="309"/>
      <c r="CE30" s="309"/>
      <c r="CF30" s="310"/>
    </row>
    <row r="31" spans="4:84" ht="14.1" customHeight="1">
      <c r="D31" s="302"/>
      <c r="E31" s="303"/>
      <c r="F31" s="311"/>
      <c r="G31" s="318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20"/>
      <c r="BS31" s="312"/>
      <c r="BT31" s="303"/>
      <c r="BU31" s="303"/>
      <c r="BV31" s="311"/>
      <c r="BW31" s="302"/>
      <c r="BX31" s="303"/>
      <c r="BY31" s="303"/>
      <c r="BZ31" s="304"/>
      <c r="CA31" s="308"/>
      <c r="CB31" s="309"/>
      <c r="CC31" s="309"/>
      <c r="CD31" s="309"/>
      <c r="CE31" s="309"/>
      <c r="CF31" s="310"/>
    </row>
    <row r="32" spans="4:84" ht="14.1" customHeight="1">
      <c r="D32" s="302"/>
      <c r="E32" s="303"/>
      <c r="F32" s="311"/>
      <c r="G32" s="321"/>
      <c r="H32" s="322"/>
      <c r="I32" s="32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  <c r="AS32" s="322"/>
      <c r="AT32" s="322"/>
      <c r="AU32" s="322"/>
      <c r="AV32" s="322"/>
      <c r="AW32" s="322"/>
      <c r="AX32" s="322"/>
      <c r="AY32" s="322"/>
      <c r="AZ32" s="322"/>
      <c r="BA32" s="322"/>
      <c r="BB32" s="322"/>
      <c r="BC32" s="322"/>
      <c r="BD32" s="322"/>
      <c r="BE32" s="322"/>
      <c r="BF32" s="322"/>
      <c r="BG32" s="322"/>
      <c r="BH32" s="322"/>
      <c r="BI32" s="322"/>
      <c r="BJ32" s="322"/>
      <c r="BK32" s="322"/>
      <c r="BL32" s="322"/>
      <c r="BM32" s="322"/>
      <c r="BN32" s="322"/>
      <c r="BO32" s="322"/>
      <c r="BP32" s="322"/>
      <c r="BQ32" s="322"/>
      <c r="BR32" s="323"/>
      <c r="BS32" s="312"/>
      <c r="BT32" s="303"/>
      <c r="BU32" s="303"/>
      <c r="BV32" s="311"/>
      <c r="BW32" s="302"/>
      <c r="BX32" s="303"/>
      <c r="BY32" s="303"/>
      <c r="BZ32" s="304"/>
      <c r="CA32" s="308"/>
      <c r="CB32" s="309"/>
      <c r="CC32" s="309"/>
      <c r="CD32" s="309"/>
      <c r="CE32" s="309"/>
      <c r="CF32" s="310"/>
    </row>
    <row r="33" spans="2:84" ht="14.1" customHeight="1">
      <c r="D33" s="302"/>
      <c r="E33" s="303"/>
      <c r="F33" s="311"/>
      <c r="G33" s="318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20"/>
      <c r="BS33" s="312"/>
      <c r="BT33" s="303"/>
      <c r="BU33" s="303"/>
      <c r="BV33" s="311"/>
      <c r="BW33" s="302"/>
      <c r="BX33" s="303"/>
      <c r="BY33" s="303"/>
      <c r="BZ33" s="304"/>
      <c r="CA33" s="308"/>
      <c r="CB33" s="309"/>
      <c r="CC33" s="309"/>
      <c r="CD33" s="309"/>
      <c r="CE33" s="309"/>
      <c r="CF33" s="310"/>
    </row>
    <row r="34" spans="2:84" ht="14.1" customHeight="1">
      <c r="D34" s="302"/>
      <c r="E34" s="303"/>
      <c r="F34" s="311"/>
      <c r="G34" s="321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  <c r="BN34" s="322"/>
      <c r="BO34" s="322"/>
      <c r="BP34" s="322"/>
      <c r="BQ34" s="322"/>
      <c r="BR34" s="323"/>
      <c r="BS34" s="312"/>
      <c r="BT34" s="303"/>
      <c r="BU34" s="303"/>
      <c r="BV34" s="311"/>
      <c r="BW34" s="302"/>
      <c r="BX34" s="303"/>
      <c r="BY34" s="303"/>
      <c r="BZ34" s="304"/>
      <c r="CA34" s="308"/>
      <c r="CB34" s="309"/>
      <c r="CC34" s="309"/>
      <c r="CD34" s="309"/>
      <c r="CE34" s="309"/>
      <c r="CF34" s="310"/>
    </row>
    <row r="35" spans="2:84" ht="14.1" customHeight="1">
      <c r="D35" s="302"/>
      <c r="E35" s="303"/>
      <c r="F35" s="311"/>
      <c r="G35" s="318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19"/>
      <c r="AX35" s="319"/>
      <c r="AY35" s="319"/>
      <c r="AZ35" s="319"/>
      <c r="BA35" s="319"/>
      <c r="BB35" s="319"/>
      <c r="BC35" s="319"/>
      <c r="BD35" s="319"/>
      <c r="BE35" s="319"/>
      <c r="BF35" s="319"/>
      <c r="BG35" s="319"/>
      <c r="BH35" s="319"/>
      <c r="BI35" s="319"/>
      <c r="BJ35" s="319"/>
      <c r="BK35" s="319"/>
      <c r="BL35" s="319"/>
      <c r="BM35" s="319"/>
      <c r="BN35" s="319"/>
      <c r="BO35" s="319"/>
      <c r="BP35" s="319"/>
      <c r="BQ35" s="319"/>
      <c r="BR35" s="320"/>
      <c r="BS35" s="312"/>
      <c r="BT35" s="303"/>
      <c r="BU35" s="303"/>
      <c r="BV35" s="311"/>
      <c r="BW35" s="302"/>
      <c r="BX35" s="303"/>
      <c r="BY35" s="303"/>
      <c r="BZ35" s="304"/>
      <c r="CA35" s="308"/>
      <c r="CB35" s="309"/>
      <c r="CC35" s="309"/>
      <c r="CD35" s="309"/>
      <c r="CE35" s="309"/>
      <c r="CF35" s="310"/>
    </row>
    <row r="36" spans="2:84" ht="14.1" customHeight="1">
      <c r="D36" s="302"/>
      <c r="E36" s="303"/>
      <c r="F36" s="311"/>
      <c r="G36" s="321"/>
      <c r="H36" s="322"/>
      <c r="I36" s="32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  <c r="BN36" s="322"/>
      <c r="BO36" s="322"/>
      <c r="BP36" s="322"/>
      <c r="BQ36" s="322"/>
      <c r="BR36" s="323"/>
      <c r="BS36" s="312"/>
      <c r="BT36" s="303"/>
      <c r="BU36" s="303"/>
      <c r="BV36" s="311"/>
      <c r="BW36" s="302"/>
      <c r="BX36" s="303"/>
      <c r="BY36" s="303"/>
      <c r="BZ36" s="304"/>
      <c r="CA36" s="308"/>
      <c r="CB36" s="309"/>
      <c r="CC36" s="309"/>
      <c r="CD36" s="309"/>
      <c r="CE36" s="309"/>
      <c r="CF36" s="310"/>
    </row>
    <row r="37" spans="2:84" ht="14.1" customHeight="1">
      <c r="D37" s="302"/>
      <c r="E37" s="303"/>
      <c r="F37" s="311"/>
      <c r="G37" s="318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  <c r="AJ37" s="319"/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9"/>
      <c r="AW37" s="319"/>
      <c r="AX37" s="319"/>
      <c r="AY37" s="319"/>
      <c r="AZ37" s="319"/>
      <c r="BA37" s="319"/>
      <c r="BB37" s="319"/>
      <c r="BC37" s="319"/>
      <c r="BD37" s="319"/>
      <c r="BE37" s="319"/>
      <c r="BF37" s="319"/>
      <c r="BG37" s="319"/>
      <c r="BH37" s="319"/>
      <c r="BI37" s="319"/>
      <c r="BJ37" s="319"/>
      <c r="BK37" s="319"/>
      <c r="BL37" s="319"/>
      <c r="BM37" s="319"/>
      <c r="BN37" s="319"/>
      <c r="BO37" s="319"/>
      <c r="BP37" s="319"/>
      <c r="BQ37" s="319"/>
      <c r="BR37" s="320"/>
      <c r="BS37" s="312"/>
      <c r="BT37" s="303"/>
      <c r="BU37" s="303"/>
      <c r="BV37" s="311"/>
      <c r="BW37" s="302"/>
      <c r="BX37" s="303"/>
      <c r="BY37" s="303"/>
      <c r="BZ37" s="304"/>
      <c r="CA37" s="308"/>
      <c r="CB37" s="309"/>
      <c r="CC37" s="309"/>
      <c r="CD37" s="309"/>
      <c r="CE37" s="309"/>
      <c r="CF37" s="310"/>
    </row>
    <row r="38" spans="2:84" ht="14.1" customHeight="1">
      <c r="D38" s="302"/>
      <c r="E38" s="303"/>
      <c r="F38" s="311"/>
      <c r="G38" s="321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  <c r="BN38" s="322"/>
      <c r="BO38" s="322"/>
      <c r="BP38" s="322"/>
      <c r="BQ38" s="322"/>
      <c r="BR38" s="323"/>
      <c r="BS38" s="312"/>
      <c r="BT38" s="303"/>
      <c r="BU38" s="303"/>
      <c r="BV38" s="311"/>
      <c r="BW38" s="302"/>
      <c r="BX38" s="303"/>
      <c r="BY38" s="303"/>
      <c r="BZ38" s="304"/>
      <c r="CA38" s="308"/>
      <c r="CB38" s="309"/>
      <c r="CC38" s="309"/>
      <c r="CD38" s="309"/>
      <c r="CE38" s="309"/>
      <c r="CF38" s="310"/>
    </row>
    <row r="39" spans="2:84" ht="14.1" customHeight="1">
      <c r="D39" s="302"/>
      <c r="E39" s="303"/>
      <c r="F39" s="311"/>
      <c r="G39" s="318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  <c r="AJ39" s="319"/>
      <c r="AK39" s="319"/>
      <c r="AL39" s="319"/>
      <c r="AM39" s="319"/>
      <c r="AN39" s="319"/>
      <c r="AO39" s="319"/>
      <c r="AP39" s="319"/>
      <c r="AQ39" s="319"/>
      <c r="AR39" s="319"/>
      <c r="AS39" s="319"/>
      <c r="AT39" s="319"/>
      <c r="AU39" s="319"/>
      <c r="AV39" s="319"/>
      <c r="AW39" s="319"/>
      <c r="AX39" s="319"/>
      <c r="AY39" s="319"/>
      <c r="AZ39" s="319"/>
      <c r="BA39" s="319"/>
      <c r="BB39" s="319"/>
      <c r="BC39" s="319"/>
      <c r="BD39" s="319"/>
      <c r="BE39" s="319"/>
      <c r="BF39" s="319"/>
      <c r="BG39" s="319"/>
      <c r="BH39" s="319"/>
      <c r="BI39" s="319"/>
      <c r="BJ39" s="319"/>
      <c r="BK39" s="319"/>
      <c r="BL39" s="319"/>
      <c r="BM39" s="319"/>
      <c r="BN39" s="319"/>
      <c r="BO39" s="319"/>
      <c r="BP39" s="319"/>
      <c r="BQ39" s="319"/>
      <c r="BR39" s="320"/>
      <c r="BS39" s="312"/>
      <c r="BT39" s="303"/>
      <c r="BU39" s="303"/>
      <c r="BV39" s="311"/>
      <c r="BW39" s="302"/>
      <c r="BX39" s="303"/>
      <c r="BY39" s="303"/>
      <c r="BZ39" s="304"/>
      <c r="CA39" s="308"/>
      <c r="CB39" s="309"/>
      <c r="CC39" s="309"/>
      <c r="CD39" s="309"/>
      <c r="CE39" s="309"/>
      <c r="CF39" s="310"/>
    </row>
    <row r="40" spans="2:84" ht="14.1" customHeight="1">
      <c r="D40" s="302"/>
      <c r="E40" s="303"/>
      <c r="F40" s="311"/>
      <c r="G40" s="321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  <c r="BN40" s="322"/>
      <c r="BO40" s="322"/>
      <c r="BP40" s="322"/>
      <c r="BQ40" s="322"/>
      <c r="BR40" s="323"/>
      <c r="BS40" s="312"/>
      <c r="BT40" s="303"/>
      <c r="BU40" s="303"/>
      <c r="BV40" s="311"/>
      <c r="BW40" s="302"/>
      <c r="BX40" s="303"/>
      <c r="BY40" s="303"/>
      <c r="BZ40" s="304"/>
      <c r="CA40" s="308"/>
      <c r="CB40" s="309"/>
      <c r="CC40" s="309"/>
      <c r="CD40" s="309"/>
      <c r="CE40" s="309"/>
      <c r="CF40" s="310"/>
    </row>
    <row r="41" spans="2:84" ht="14.1" customHeight="1">
      <c r="D41" s="302"/>
      <c r="E41" s="303"/>
      <c r="F41" s="311"/>
      <c r="G41" s="318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19"/>
      <c r="AM41" s="319"/>
      <c r="AN41" s="319"/>
      <c r="AO41" s="319"/>
      <c r="AP41" s="319"/>
      <c r="AQ41" s="319"/>
      <c r="AR41" s="319"/>
      <c r="AS41" s="319"/>
      <c r="AT41" s="319"/>
      <c r="AU41" s="319"/>
      <c r="AV41" s="319"/>
      <c r="AW41" s="319"/>
      <c r="AX41" s="319"/>
      <c r="AY41" s="319"/>
      <c r="AZ41" s="319"/>
      <c r="BA41" s="319"/>
      <c r="BB41" s="319"/>
      <c r="BC41" s="319"/>
      <c r="BD41" s="319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20"/>
      <c r="BS41" s="312"/>
      <c r="BT41" s="303"/>
      <c r="BU41" s="303"/>
      <c r="BV41" s="311"/>
      <c r="BW41" s="302"/>
      <c r="BX41" s="303"/>
      <c r="BY41" s="303"/>
      <c r="BZ41" s="304"/>
      <c r="CA41" s="308"/>
      <c r="CB41" s="309"/>
      <c r="CC41" s="309"/>
      <c r="CD41" s="309"/>
      <c r="CE41" s="309"/>
      <c r="CF41" s="310"/>
    </row>
    <row r="42" spans="2:84" ht="14.1" customHeight="1">
      <c r="D42" s="302"/>
      <c r="E42" s="303"/>
      <c r="F42" s="311"/>
      <c r="G42" s="321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2"/>
      <c r="BQ42" s="322"/>
      <c r="BR42" s="323"/>
      <c r="BS42" s="312"/>
      <c r="BT42" s="303"/>
      <c r="BU42" s="303"/>
      <c r="BV42" s="311"/>
      <c r="BW42" s="302"/>
      <c r="BX42" s="303"/>
      <c r="BY42" s="303"/>
      <c r="BZ42" s="304"/>
      <c r="CA42" s="308"/>
      <c r="CB42" s="309"/>
      <c r="CC42" s="309"/>
      <c r="CD42" s="309"/>
      <c r="CE42" s="309"/>
      <c r="CF42" s="310"/>
    </row>
    <row r="43" spans="2:84" ht="14.1" customHeight="1">
      <c r="D43" s="302"/>
      <c r="E43" s="303"/>
      <c r="F43" s="311"/>
      <c r="G43" s="318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319"/>
      <c r="AM43" s="319"/>
      <c r="AN43" s="319"/>
      <c r="AO43" s="319"/>
      <c r="AP43" s="319"/>
      <c r="AQ43" s="319"/>
      <c r="AR43" s="319"/>
      <c r="AS43" s="319"/>
      <c r="AT43" s="319"/>
      <c r="AU43" s="319"/>
      <c r="AV43" s="319"/>
      <c r="AW43" s="319"/>
      <c r="AX43" s="319"/>
      <c r="AY43" s="319"/>
      <c r="AZ43" s="319"/>
      <c r="BA43" s="319"/>
      <c r="BB43" s="319"/>
      <c r="BC43" s="319"/>
      <c r="BD43" s="319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20"/>
      <c r="BS43" s="312"/>
      <c r="BT43" s="303"/>
      <c r="BU43" s="303"/>
      <c r="BV43" s="311"/>
      <c r="BW43" s="302"/>
      <c r="BX43" s="303"/>
      <c r="BY43" s="303"/>
      <c r="BZ43" s="304"/>
      <c r="CA43" s="308"/>
      <c r="CB43" s="309"/>
      <c r="CC43" s="309"/>
      <c r="CD43" s="309"/>
      <c r="CE43" s="309"/>
      <c r="CF43" s="310"/>
    </row>
    <row r="44" spans="2:84" ht="14.1" customHeight="1" thickBot="1">
      <c r="D44" s="302"/>
      <c r="E44" s="303"/>
      <c r="F44" s="311"/>
      <c r="G44" s="321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  <c r="BN44" s="322"/>
      <c r="BO44" s="322"/>
      <c r="BP44" s="322"/>
      <c r="BQ44" s="322"/>
      <c r="BR44" s="323"/>
      <c r="BS44" s="312"/>
      <c r="BT44" s="303"/>
      <c r="BU44" s="303"/>
      <c r="BV44" s="311"/>
      <c r="BW44" s="302"/>
      <c r="BX44" s="303"/>
      <c r="BY44" s="303"/>
      <c r="BZ44" s="304"/>
      <c r="CA44" s="308"/>
      <c r="CB44" s="309"/>
      <c r="CC44" s="309"/>
      <c r="CD44" s="309"/>
      <c r="CE44" s="309"/>
      <c r="CF44" s="310"/>
    </row>
    <row r="45" spans="2:84" ht="14.1" customHeight="1">
      <c r="B45" s="219" t="s">
        <v>143</v>
      </c>
      <c r="C45" s="222"/>
      <c r="D45" s="302"/>
      <c r="E45" s="303"/>
      <c r="F45" s="311"/>
      <c r="G45" s="318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  <c r="AJ45" s="319"/>
      <c r="AK45" s="319"/>
      <c r="AL45" s="319"/>
      <c r="AM45" s="319"/>
      <c r="AN45" s="319"/>
      <c r="AO45" s="319"/>
      <c r="AP45" s="319"/>
      <c r="AQ45" s="319"/>
      <c r="AR45" s="319"/>
      <c r="AS45" s="319"/>
      <c r="AT45" s="319"/>
      <c r="AU45" s="319"/>
      <c r="AV45" s="319"/>
      <c r="AW45" s="319"/>
      <c r="AX45" s="319"/>
      <c r="AY45" s="319"/>
      <c r="AZ45" s="319"/>
      <c r="BA45" s="319"/>
      <c r="BB45" s="319"/>
      <c r="BC45" s="319"/>
      <c r="BD45" s="319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O45" s="319"/>
      <c r="BP45" s="319"/>
      <c r="BQ45" s="319"/>
      <c r="BR45" s="320"/>
      <c r="BS45" s="312"/>
      <c r="BT45" s="303"/>
      <c r="BU45" s="303"/>
      <c r="BV45" s="311"/>
      <c r="BW45" s="302"/>
      <c r="BX45" s="303"/>
      <c r="BY45" s="303"/>
      <c r="BZ45" s="304"/>
      <c r="CA45" s="308"/>
      <c r="CB45" s="309"/>
      <c r="CC45" s="309"/>
      <c r="CD45" s="309"/>
      <c r="CE45" s="309"/>
      <c r="CF45" s="310"/>
    </row>
    <row r="46" spans="2:84" ht="14.1" customHeight="1">
      <c r="B46" s="220"/>
      <c r="C46" s="223"/>
      <c r="D46" s="302"/>
      <c r="E46" s="303"/>
      <c r="F46" s="311"/>
      <c r="G46" s="321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22"/>
      <c r="BF46" s="322"/>
      <c r="BG46" s="322"/>
      <c r="BH46" s="322"/>
      <c r="BI46" s="322"/>
      <c r="BJ46" s="322"/>
      <c r="BK46" s="322"/>
      <c r="BL46" s="322"/>
      <c r="BM46" s="322"/>
      <c r="BN46" s="322"/>
      <c r="BO46" s="322"/>
      <c r="BP46" s="322"/>
      <c r="BQ46" s="322"/>
      <c r="BR46" s="323"/>
      <c r="BS46" s="312"/>
      <c r="BT46" s="303"/>
      <c r="BU46" s="303"/>
      <c r="BV46" s="311"/>
      <c r="BW46" s="302"/>
      <c r="BX46" s="303"/>
      <c r="BY46" s="303"/>
      <c r="BZ46" s="304"/>
      <c r="CA46" s="308"/>
      <c r="CB46" s="309"/>
      <c r="CC46" s="309"/>
      <c r="CD46" s="309"/>
      <c r="CE46" s="309"/>
      <c r="CF46" s="310"/>
    </row>
    <row r="47" spans="2:84" ht="14.1" customHeight="1">
      <c r="B47" s="220"/>
      <c r="C47" s="223"/>
      <c r="D47" s="302"/>
      <c r="E47" s="303"/>
      <c r="F47" s="311"/>
      <c r="G47" s="318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  <c r="AF47" s="319"/>
      <c r="AG47" s="319"/>
      <c r="AH47" s="319"/>
      <c r="AI47" s="319"/>
      <c r="AJ47" s="319"/>
      <c r="AK47" s="319"/>
      <c r="AL47" s="319"/>
      <c r="AM47" s="319"/>
      <c r="AN47" s="319"/>
      <c r="AO47" s="319"/>
      <c r="AP47" s="319"/>
      <c r="AQ47" s="319"/>
      <c r="AR47" s="319"/>
      <c r="AS47" s="319"/>
      <c r="AT47" s="319"/>
      <c r="AU47" s="319"/>
      <c r="AV47" s="319"/>
      <c r="AW47" s="319"/>
      <c r="AX47" s="319"/>
      <c r="AY47" s="319"/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20"/>
      <c r="BS47" s="312"/>
      <c r="BT47" s="303"/>
      <c r="BU47" s="303"/>
      <c r="BV47" s="311"/>
      <c r="BW47" s="302"/>
      <c r="BX47" s="303"/>
      <c r="BY47" s="303"/>
      <c r="BZ47" s="304"/>
      <c r="CA47" s="308"/>
      <c r="CB47" s="309"/>
      <c r="CC47" s="309"/>
      <c r="CD47" s="309"/>
      <c r="CE47" s="309"/>
      <c r="CF47" s="310"/>
    </row>
    <row r="48" spans="2:84" ht="14.1" customHeight="1">
      <c r="B48" s="220"/>
      <c r="C48" s="223"/>
      <c r="D48" s="302"/>
      <c r="E48" s="303"/>
      <c r="F48" s="311"/>
      <c r="G48" s="321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  <c r="AS48" s="322"/>
      <c r="AT48" s="322"/>
      <c r="AU48" s="322"/>
      <c r="AV48" s="322"/>
      <c r="AW48" s="322"/>
      <c r="AX48" s="322"/>
      <c r="AY48" s="322"/>
      <c r="AZ48" s="322"/>
      <c r="BA48" s="322"/>
      <c r="BB48" s="322"/>
      <c r="BC48" s="322"/>
      <c r="BD48" s="322"/>
      <c r="BE48" s="322"/>
      <c r="BF48" s="322"/>
      <c r="BG48" s="322"/>
      <c r="BH48" s="322"/>
      <c r="BI48" s="322"/>
      <c r="BJ48" s="322"/>
      <c r="BK48" s="322"/>
      <c r="BL48" s="322"/>
      <c r="BM48" s="322"/>
      <c r="BN48" s="322"/>
      <c r="BO48" s="322"/>
      <c r="BP48" s="322"/>
      <c r="BQ48" s="322"/>
      <c r="BR48" s="323"/>
      <c r="BS48" s="312"/>
      <c r="BT48" s="303"/>
      <c r="BU48" s="303"/>
      <c r="BV48" s="311"/>
      <c r="BW48" s="302"/>
      <c r="BX48" s="303"/>
      <c r="BY48" s="303"/>
      <c r="BZ48" s="304"/>
      <c r="CA48" s="308"/>
      <c r="CB48" s="309"/>
      <c r="CC48" s="309"/>
      <c r="CD48" s="309"/>
      <c r="CE48" s="309"/>
      <c r="CF48" s="310"/>
    </row>
    <row r="49" spans="2:84" ht="14.1" customHeight="1" thickBot="1">
      <c r="B49" s="221"/>
      <c r="C49" s="224"/>
      <c r="D49" s="302"/>
      <c r="E49" s="303"/>
      <c r="F49" s="311"/>
      <c r="G49" s="318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19"/>
      <c r="AG49" s="319"/>
      <c r="AH49" s="319"/>
      <c r="AI49" s="319"/>
      <c r="AJ49" s="319"/>
      <c r="AK49" s="319"/>
      <c r="AL49" s="319"/>
      <c r="AM49" s="319"/>
      <c r="AN49" s="319"/>
      <c r="AO49" s="319"/>
      <c r="AP49" s="319"/>
      <c r="AQ49" s="319"/>
      <c r="AR49" s="319"/>
      <c r="AS49" s="319"/>
      <c r="AT49" s="319"/>
      <c r="AU49" s="319"/>
      <c r="AV49" s="319"/>
      <c r="AW49" s="319"/>
      <c r="AX49" s="319"/>
      <c r="AY49" s="319"/>
      <c r="AZ49" s="319"/>
      <c r="BA49" s="319"/>
      <c r="BB49" s="319"/>
      <c r="BC49" s="319"/>
      <c r="BD49" s="319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O49" s="319"/>
      <c r="BP49" s="319"/>
      <c r="BQ49" s="319"/>
      <c r="BR49" s="320"/>
      <c r="BS49" s="312"/>
      <c r="BT49" s="303"/>
      <c r="BU49" s="303"/>
      <c r="BV49" s="311"/>
      <c r="BW49" s="302"/>
      <c r="BX49" s="303"/>
      <c r="BY49" s="303"/>
      <c r="BZ49" s="304"/>
      <c r="CA49" s="308"/>
      <c r="CB49" s="309"/>
      <c r="CC49" s="309"/>
      <c r="CD49" s="309"/>
      <c r="CE49" s="309"/>
      <c r="CF49" s="310"/>
    </row>
    <row r="50" spans="2:84" ht="14.1" customHeight="1">
      <c r="B50" s="225" t="s">
        <v>144</v>
      </c>
      <c r="C50" s="230"/>
      <c r="D50" s="302"/>
      <c r="E50" s="303"/>
      <c r="F50" s="311"/>
      <c r="G50" s="321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2"/>
      <c r="AA50" s="322"/>
      <c r="AB50" s="322"/>
      <c r="AC50" s="322"/>
      <c r="AD50" s="322"/>
      <c r="AE50" s="322"/>
      <c r="AF50" s="322"/>
      <c r="AG50" s="322"/>
      <c r="AH50" s="322"/>
      <c r="AI50" s="322"/>
      <c r="AJ50" s="322"/>
      <c r="AK50" s="322"/>
      <c r="AL50" s="322"/>
      <c r="AM50" s="322"/>
      <c r="AN50" s="322"/>
      <c r="AO50" s="322"/>
      <c r="AP50" s="322"/>
      <c r="AQ50" s="322"/>
      <c r="AR50" s="322"/>
      <c r="AS50" s="322"/>
      <c r="AT50" s="322"/>
      <c r="AU50" s="322"/>
      <c r="AV50" s="322"/>
      <c r="AW50" s="322"/>
      <c r="AX50" s="322"/>
      <c r="AY50" s="322"/>
      <c r="AZ50" s="322"/>
      <c r="BA50" s="322"/>
      <c r="BB50" s="322"/>
      <c r="BC50" s="322"/>
      <c r="BD50" s="322"/>
      <c r="BE50" s="322"/>
      <c r="BF50" s="322"/>
      <c r="BG50" s="322"/>
      <c r="BH50" s="322"/>
      <c r="BI50" s="322"/>
      <c r="BJ50" s="322"/>
      <c r="BK50" s="322"/>
      <c r="BL50" s="322"/>
      <c r="BM50" s="322"/>
      <c r="BN50" s="322"/>
      <c r="BO50" s="322"/>
      <c r="BP50" s="322"/>
      <c r="BQ50" s="322"/>
      <c r="BR50" s="323"/>
      <c r="BS50" s="312"/>
      <c r="BT50" s="303"/>
      <c r="BU50" s="303"/>
      <c r="BV50" s="311"/>
      <c r="BW50" s="302"/>
      <c r="BX50" s="303"/>
      <c r="BY50" s="303"/>
      <c r="BZ50" s="304"/>
      <c r="CA50" s="308"/>
      <c r="CB50" s="309"/>
      <c r="CC50" s="309"/>
      <c r="CD50" s="309"/>
      <c r="CE50" s="309"/>
      <c r="CF50" s="310"/>
    </row>
    <row r="51" spans="2:84" ht="14.1" customHeight="1">
      <c r="B51" s="226"/>
      <c r="C51" s="231"/>
      <c r="D51" s="302"/>
      <c r="E51" s="303"/>
      <c r="F51" s="311"/>
      <c r="G51" s="318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19"/>
      <c r="AI51" s="319"/>
      <c r="AJ51" s="319"/>
      <c r="AK51" s="319"/>
      <c r="AL51" s="319"/>
      <c r="AM51" s="319"/>
      <c r="AN51" s="319"/>
      <c r="AO51" s="319"/>
      <c r="AP51" s="319"/>
      <c r="AQ51" s="319"/>
      <c r="AR51" s="319"/>
      <c r="AS51" s="319"/>
      <c r="AT51" s="319"/>
      <c r="AU51" s="319"/>
      <c r="AV51" s="319"/>
      <c r="AW51" s="319"/>
      <c r="AX51" s="319"/>
      <c r="AY51" s="319"/>
      <c r="AZ51" s="319"/>
      <c r="BA51" s="319"/>
      <c r="BB51" s="319"/>
      <c r="BC51" s="319"/>
      <c r="BD51" s="319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20"/>
      <c r="BS51" s="312"/>
      <c r="BT51" s="303"/>
      <c r="BU51" s="303"/>
      <c r="BV51" s="311"/>
      <c r="BW51" s="302"/>
      <c r="BX51" s="303"/>
      <c r="BY51" s="303"/>
      <c r="BZ51" s="304"/>
      <c r="CA51" s="308"/>
      <c r="CB51" s="309"/>
      <c r="CC51" s="309"/>
      <c r="CD51" s="309"/>
      <c r="CE51" s="309"/>
      <c r="CF51" s="310"/>
    </row>
    <row r="52" spans="2:84" ht="14.1" customHeight="1">
      <c r="B52" s="226"/>
      <c r="C52" s="231"/>
      <c r="D52" s="302"/>
      <c r="E52" s="303"/>
      <c r="F52" s="311"/>
      <c r="G52" s="321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  <c r="BK52" s="322"/>
      <c r="BL52" s="322"/>
      <c r="BM52" s="322"/>
      <c r="BN52" s="322"/>
      <c r="BO52" s="322"/>
      <c r="BP52" s="322"/>
      <c r="BQ52" s="322"/>
      <c r="BR52" s="323"/>
      <c r="BS52" s="312"/>
      <c r="BT52" s="303"/>
      <c r="BU52" s="303"/>
      <c r="BV52" s="311"/>
      <c r="BW52" s="302"/>
      <c r="BX52" s="303"/>
      <c r="BY52" s="303"/>
      <c r="BZ52" s="304"/>
      <c r="CA52" s="308"/>
      <c r="CB52" s="309"/>
      <c r="CC52" s="309"/>
      <c r="CD52" s="309"/>
      <c r="CE52" s="309"/>
      <c r="CF52" s="310"/>
    </row>
    <row r="53" spans="2:84" ht="14.1" customHeight="1">
      <c r="B53" s="226"/>
      <c r="C53" s="231"/>
      <c r="D53" s="302"/>
      <c r="E53" s="303"/>
      <c r="F53" s="311"/>
      <c r="G53" s="318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  <c r="AD53" s="319"/>
      <c r="AE53" s="319"/>
      <c r="AF53" s="319"/>
      <c r="AG53" s="319"/>
      <c r="AH53" s="319"/>
      <c r="AI53" s="319"/>
      <c r="AJ53" s="319"/>
      <c r="AK53" s="319"/>
      <c r="AL53" s="319"/>
      <c r="AM53" s="319"/>
      <c r="AN53" s="319"/>
      <c r="AO53" s="319"/>
      <c r="AP53" s="319"/>
      <c r="AQ53" s="319"/>
      <c r="AR53" s="319"/>
      <c r="AS53" s="319"/>
      <c r="AT53" s="319"/>
      <c r="AU53" s="319"/>
      <c r="AV53" s="319"/>
      <c r="AW53" s="319"/>
      <c r="AX53" s="319"/>
      <c r="AY53" s="319"/>
      <c r="AZ53" s="319"/>
      <c r="BA53" s="319"/>
      <c r="BB53" s="319"/>
      <c r="BC53" s="319"/>
      <c r="BD53" s="319"/>
      <c r="BE53" s="319"/>
      <c r="BF53" s="319"/>
      <c r="BG53" s="319"/>
      <c r="BH53" s="319"/>
      <c r="BI53" s="319"/>
      <c r="BJ53" s="319"/>
      <c r="BK53" s="319"/>
      <c r="BL53" s="319"/>
      <c r="BM53" s="319"/>
      <c r="BN53" s="319"/>
      <c r="BO53" s="319"/>
      <c r="BP53" s="319"/>
      <c r="BQ53" s="319"/>
      <c r="BR53" s="320"/>
      <c r="BS53" s="312"/>
      <c r="BT53" s="303"/>
      <c r="BU53" s="303"/>
      <c r="BV53" s="311"/>
      <c r="BW53" s="302"/>
      <c r="BX53" s="303"/>
      <c r="BY53" s="303"/>
      <c r="BZ53" s="304"/>
      <c r="CA53" s="308"/>
      <c r="CB53" s="309"/>
      <c r="CC53" s="309"/>
      <c r="CD53" s="309"/>
      <c r="CE53" s="309"/>
      <c r="CF53" s="310"/>
    </row>
    <row r="54" spans="2:84" ht="14.1" customHeight="1">
      <c r="B54" s="226"/>
      <c r="C54" s="231"/>
      <c r="D54" s="302"/>
      <c r="E54" s="303"/>
      <c r="F54" s="311"/>
      <c r="G54" s="321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  <c r="AS54" s="322"/>
      <c r="AT54" s="322"/>
      <c r="AU54" s="322"/>
      <c r="AV54" s="322"/>
      <c r="AW54" s="322"/>
      <c r="AX54" s="322"/>
      <c r="AY54" s="322"/>
      <c r="AZ54" s="322"/>
      <c r="BA54" s="322"/>
      <c r="BB54" s="322"/>
      <c r="BC54" s="322"/>
      <c r="BD54" s="322"/>
      <c r="BE54" s="322"/>
      <c r="BF54" s="322"/>
      <c r="BG54" s="322"/>
      <c r="BH54" s="322"/>
      <c r="BI54" s="322"/>
      <c r="BJ54" s="322"/>
      <c r="BK54" s="322"/>
      <c r="BL54" s="322"/>
      <c r="BM54" s="322"/>
      <c r="BN54" s="322"/>
      <c r="BO54" s="322"/>
      <c r="BP54" s="322"/>
      <c r="BQ54" s="322"/>
      <c r="BR54" s="323"/>
      <c r="BS54" s="312"/>
      <c r="BT54" s="303"/>
      <c r="BU54" s="303"/>
      <c r="BV54" s="311"/>
      <c r="BW54" s="302"/>
      <c r="BX54" s="303"/>
      <c r="BY54" s="303"/>
      <c r="BZ54" s="304"/>
      <c r="CA54" s="308"/>
      <c r="CB54" s="309"/>
      <c r="CC54" s="309"/>
      <c r="CD54" s="309"/>
      <c r="CE54" s="309"/>
      <c r="CF54" s="310"/>
    </row>
    <row r="55" spans="2:84" ht="14.1" customHeight="1">
      <c r="B55" s="226"/>
      <c r="C55" s="231"/>
      <c r="D55" s="302"/>
      <c r="E55" s="303"/>
      <c r="F55" s="311"/>
      <c r="G55" s="318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  <c r="AJ55" s="319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/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19"/>
      <c r="BF55" s="319"/>
      <c r="BG55" s="319"/>
      <c r="BH55" s="319"/>
      <c r="BI55" s="319"/>
      <c r="BJ55" s="319"/>
      <c r="BK55" s="319"/>
      <c r="BL55" s="319"/>
      <c r="BM55" s="319"/>
      <c r="BN55" s="319"/>
      <c r="BO55" s="319"/>
      <c r="BP55" s="319"/>
      <c r="BQ55" s="319"/>
      <c r="BR55" s="320"/>
      <c r="BS55" s="312"/>
      <c r="BT55" s="303"/>
      <c r="BU55" s="303"/>
      <c r="BV55" s="311"/>
      <c r="BW55" s="302"/>
      <c r="BX55" s="303"/>
      <c r="BY55" s="303"/>
      <c r="BZ55" s="304"/>
      <c r="CA55" s="308"/>
      <c r="CB55" s="309"/>
      <c r="CC55" s="309"/>
      <c r="CD55" s="309"/>
      <c r="CE55" s="309"/>
      <c r="CF55" s="310"/>
    </row>
    <row r="56" spans="2:84" ht="14.1" customHeight="1" thickBot="1">
      <c r="B56" s="227"/>
      <c r="C56" s="232"/>
      <c r="D56" s="302"/>
      <c r="E56" s="303"/>
      <c r="F56" s="311"/>
      <c r="G56" s="321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322"/>
      <c r="AQ56" s="322"/>
      <c r="AR56" s="322"/>
      <c r="AS56" s="322"/>
      <c r="AT56" s="322"/>
      <c r="AU56" s="322"/>
      <c r="AV56" s="322"/>
      <c r="AW56" s="322"/>
      <c r="AX56" s="322"/>
      <c r="AY56" s="322"/>
      <c r="AZ56" s="322"/>
      <c r="BA56" s="322"/>
      <c r="BB56" s="322"/>
      <c r="BC56" s="322"/>
      <c r="BD56" s="322"/>
      <c r="BE56" s="322"/>
      <c r="BF56" s="322"/>
      <c r="BG56" s="322"/>
      <c r="BH56" s="322"/>
      <c r="BI56" s="322"/>
      <c r="BJ56" s="322"/>
      <c r="BK56" s="322"/>
      <c r="BL56" s="322"/>
      <c r="BM56" s="322"/>
      <c r="BN56" s="322"/>
      <c r="BO56" s="322"/>
      <c r="BP56" s="322"/>
      <c r="BQ56" s="322"/>
      <c r="BR56" s="323"/>
      <c r="BS56" s="312"/>
      <c r="BT56" s="303"/>
      <c r="BU56" s="303"/>
      <c r="BV56" s="311"/>
      <c r="BW56" s="302"/>
      <c r="BX56" s="303"/>
      <c r="BY56" s="303"/>
      <c r="BZ56" s="304"/>
      <c r="CA56" s="308"/>
      <c r="CB56" s="309"/>
      <c r="CC56" s="309"/>
      <c r="CD56" s="309"/>
      <c r="CE56" s="309"/>
      <c r="CF56" s="310"/>
    </row>
    <row r="57" spans="2:84" ht="14.1" customHeight="1" thickBot="1">
      <c r="B57" s="225" t="s">
        <v>152</v>
      </c>
      <c r="C57" s="230"/>
      <c r="D57" s="327"/>
      <c r="E57" s="328"/>
      <c r="F57" s="329"/>
      <c r="G57" s="324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25"/>
      <c r="BG57" s="325"/>
      <c r="BH57" s="325"/>
      <c r="BI57" s="325"/>
      <c r="BJ57" s="325"/>
      <c r="BK57" s="325"/>
      <c r="BL57" s="325"/>
      <c r="BM57" s="325"/>
      <c r="BN57" s="325"/>
      <c r="BO57" s="325"/>
      <c r="BP57" s="325"/>
      <c r="BQ57" s="325"/>
      <c r="BR57" s="326"/>
      <c r="BS57" s="330"/>
      <c r="BT57" s="328"/>
      <c r="BU57" s="328"/>
      <c r="BV57" s="329"/>
      <c r="BW57" s="327"/>
      <c r="BX57" s="328"/>
      <c r="BY57" s="328"/>
      <c r="BZ57" s="331"/>
      <c r="CA57" s="332"/>
      <c r="CB57" s="333"/>
      <c r="CC57" s="333"/>
      <c r="CD57" s="333"/>
      <c r="CE57" s="333"/>
      <c r="CF57" s="334"/>
    </row>
    <row r="58" spans="2:84" ht="14.1" customHeight="1" thickBot="1">
      <c r="B58" s="226"/>
      <c r="C58" s="231"/>
      <c r="D58" s="96"/>
      <c r="AV58" s="89"/>
      <c r="AW58" s="89"/>
      <c r="AX58" s="89"/>
      <c r="AY58" s="89"/>
      <c r="AZ58" s="97"/>
      <c r="BA58" s="89"/>
      <c r="BB58" s="89"/>
      <c r="BC58" s="89"/>
      <c r="BD58" s="89"/>
      <c r="BE58" s="89"/>
      <c r="BF58" s="89"/>
      <c r="BG58" s="89"/>
      <c r="BH58" s="89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89"/>
      <c r="BX58" s="89"/>
      <c r="BY58" s="89"/>
      <c r="BZ58" s="89"/>
      <c r="CA58" s="89"/>
      <c r="CB58" s="89"/>
      <c r="CC58" s="89"/>
      <c r="CD58" s="89"/>
      <c r="CE58" s="89"/>
      <c r="CF58" s="99"/>
    </row>
    <row r="59" spans="2:84" ht="14.1" customHeight="1" thickBot="1">
      <c r="B59" s="226"/>
      <c r="C59" s="231"/>
      <c r="D59" s="96"/>
      <c r="AV59" s="228"/>
      <c r="AW59" s="229"/>
      <c r="AX59" s="228"/>
      <c r="AY59" s="229"/>
      <c r="AZ59" s="228"/>
      <c r="BA59" s="229"/>
      <c r="BB59" s="228"/>
      <c r="BC59" s="229"/>
      <c r="BD59" s="228"/>
      <c r="BE59" s="233"/>
      <c r="BF59" s="229"/>
      <c r="BG59" s="234"/>
      <c r="BH59" s="235"/>
      <c r="BI59" s="239" t="s">
        <v>145</v>
      </c>
      <c r="BJ59" s="240"/>
      <c r="BK59" s="240"/>
      <c r="BL59" s="240"/>
      <c r="BM59" s="240"/>
      <c r="BN59" s="240"/>
      <c r="BO59" s="240"/>
      <c r="BP59" s="240"/>
      <c r="BQ59" s="240"/>
      <c r="BR59" s="240"/>
      <c r="BS59" s="240"/>
      <c r="BT59" s="240"/>
      <c r="BU59" s="240"/>
      <c r="BV59" s="240"/>
      <c r="BW59" s="240"/>
      <c r="BX59" s="240"/>
      <c r="BY59" s="240"/>
      <c r="BZ59" s="240"/>
      <c r="CA59" s="240"/>
      <c r="CB59" s="240"/>
      <c r="CC59" s="241"/>
      <c r="CD59" s="236" t="s">
        <v>148</v>
      </c>
      <c r="CE59" s="238"/>
      <c r="CF59" s="237"/>
    </row>
    <row r="60" spans="2:84" ht="14.1" customHeight="1" thickBot="1">
      <c r="B60" s="226"/>
      <c r="C60" s="231"/>
      <c r="D60" s="96"/>
      <c r="AV60" s="248"/>
      <c r="AW60" s="249"/>
      <c r="AX60" s="248"/>
      <c r="AY60" s="249"/>
      <c r="AZ60" s="248"/>
      <c r="BA60" s="249"/>
      <c r="BB60" s="248"/>
      <c r="BC60" s="249"/>
      <c r="BD60" s="248"/>
      <c r="BE60" s="250"/>
      <c r="BF60" s="249"/>
      <c r="BG60" s="251"/>
      <c r="BH60" s="252"/>
      <c r="BI60" s="242"/>
      <c r="BJ60" s="243"/>
      <c r="BK60" s="243"/>
      <c r="BL60" s="243"/>
      <c r="BM60" s="243"/>
      <c r="BN60" s="243"/>
      <c r="BO60" s="243"/>
      <c r="BP60" s="243"/>
      <c r="BQ60" s="243"/>
      <c r="BR60" s="243"/>
      <c r="BS60" s="243"/>
      <c r="BT60" s="243"/>
      <c r="BU60" s="243"/>
      <c r="BV60" s="243"/>
      <c r="BW60" s="243"/>
      <c r="BX60" s="243"/>
      <c r="BY60" s="243"/>
      <c r="BZ60" s="243"/>
      <c r="CA60" s="243"/>
      <c r="CB60" s="243"/>
      <c r="CC60" s="244"/>
      <c r="CD60" s="253" t="s">
        <v>153</v>
      </c>
      <c r="CE60" s="254"/>
      <c r="CF60" s="255"/>
    </row>
    <row r="61" spans="2:84" ht="14.1" customHeight="1" thickBot="1">
      <c r="B61" s="227"/>
      <c r="C61" s="232"/>
      <c r="D61" s="100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236" t="s">
        <v>146</v>
      </c>
      <c r="AW61" s="237"/>
      <c r="AX61" s="236" t="s">
        <v>147</v>
      </c>
      <c r="AY61" s="237"/>
      <c r="AZ61" s="236" t="s">
        <v>148</v>
      </c>
      <c r="BA61" s="237"/>
      <c r="BB61" s="236" t="s">
        <v>149</v>
      </c>
      <c r="BC61" s="237"/>
      <c r="BD61" s="236" t="s">
        <v>150</v>
      </c>
      <c r="BE61" s="238"/>
      <c r="BF61" s="237"/>
      <c r="BG61" s="236" t="s">
        <v>151</v>
      </c>
      <c r="BH61" s="237"/>
      <c r="BI61" s="245"/>
      <c r="BJ61" s="246"/>
      <c r="BK61" s="246"/>
      <c r="BL61" s="246"/>
      <c r="BM61" s="246"/>
      <c r="BN61" s="246"/>
      <c r="BO61" s="246"/>
      <c r="BP61" s="246"/>
      <c r="BQ61" s="246"/>
      <c r="BR61" s="246"/>
      <c r="BS61" s="246"/>
      <c r="BT61" s="246"/>
      <c r="BU61" s="246"/>
      <c r="BV61" s="246"/>
      <c r="BW61" s="246"/>
      <c r="BX61" s="246"/>
      <c r="BY61" s="246"/>
      <c r="BZ61" s="246"/>
      <c r="CA61" s="246"/>
      <c r="CB61" s="246"/>
      <c r="CC61" s="247"/>
      <c r="CD61" s="256"/>
      <c r="CE61" s="257"/>
      <c r="CF61" s="258"/>
    </row>
    <row r="62" spans="2:84" ht="14.1" customHeight="1">
      <c r="BW62" s="89" t="s">
        <v>154</v>
      </c>
    </row>
  </sheetData>
  <sheetProtection formatCells="0" insertHyperlinks="0" selectLockedCells="1" sort="0" autoFilter="0" pivotTables="0"/>
  <mergeCells count="157">
    <mergeCell ref="BD59:BF59"/>
    <mergeCell ref="BG59:BH59"/>
    <mergeCell ref="BI59:CC61"/>
    <mergeCell ref="CD59:CF59"/>
    <mergeCell ref="B57:B61"/>
    <mergeCell ref="C57:C61"/>
    <mergeCell ref="AV59:AW59"/>
    <mergeCell ref="AX59:AY59"/>
    <mergeCell ref="AZ59:BA59"/>
    <mergeCell ref="BB59:BC59"/>
    <mergeCell ref="CD60:CF61"/>
    <mergeCell ref="AV61:AW61"/>
    <mergeCell ref="AV60:AW60"/>
    <mergeCell ref="AX60:AY60"/>
    <mergeCell ref="AZ60:BA60"/>
    <mergeCell ref="BB60:BC60"/>
    <mergeCell ref="BD60:BF60"/>
    <mergeCell ref="BG60:BH60"/>
    <mergeCell ref="AX61:AY61"/>
    <mergeCell ref="AZ61:BA61"/>
    <mergeCell ref="BB61:BC61"/>
    <mergeCell ref="BD61:BF61"/>
    <mergeCell ref="BG61:BH61"/>
    <mergeCell ref="BW50:BZ51"/>
    <mergeCell ref="CA50:CF51"/>
    <mergeCell ref="D52:F53"/>
    <mergeCell ref="BS52:BV53"/>
    <mergeCell ref="BW52:BZ53"/>
    <mergeCell ref="CA52:CF53"/>
    <mergeCell ref="BW54:BZ55"/>
    <mergeCell ref="CA54:CF55"/>
    <mergeCell ref="D56:F57"/>
    <mergeCell ref="BS56:BV57"/>
    <mergeCell ref="BW56:BZ57"/>
    <mergeCell ref="CA56:CF57"/>
    <mergeCell ref="D54:F55"/>
    <mergeCell ref="BS54:BV55"/>
    <mergeCell ref="B50:B56"/>
    <mergeCell ref="C50:C56"/>
    <mergeCell ref="D50:F51"/>
    <mergeCell ref="BS50:BV51"/>
    <mergeCell ref="B45:B49"/>
    <mergeCell ref="C45:C49"/>
    <mergeCell ref="BS46:BV47"/>
    <mergeCell ref="G50:BR51"/>
    <mergeCell ref="G52:BR53"/>
    <mergeCell ref="G54:BR55"/>
    <mergeCell ref="G56:BR57"/>
    <mergeCell ref="BW46:BZ47"/>
    <mergeCell ref="CA46:CF47"/>
    <mergeCell ref="D48:F49"/>
    <mergeCell ref="BS48:BV49"/>
    <mergeCell ref="D46:F47"/>
    <mergeCell ref="BW48:BZ49"/>
    <mergeCell ref="CA48:CF49"/>
    <mergeCell ref="G46:BR47"/>
    <mergeCell ref="G48:BR49"/>
    <mergeCell ref="BW42:BZ43"/>
    <mergeCell ref="CA42:CF43"/>
    <mergeCell ref="D44:F45"/>
    <mergeCell ref="BS44:BV45"/>
    <mergeCell ref="BW44:BZ45"/>
    <mergeCell ref="CA44:CF45"/>
    <mergeCell ref="D42:F43"/>
    <mergeCell ref="BS42:BV43"/>
    <mergeCell ref="G42:BR43"/>
    <mergeCell ref="G44:BR45"/>
    <mergeCell ref="BW38:BZ39"/>
    <mergeCell ref="CA38:CF39"/>
    <mergeCell ref="D40:F41"/>
    <mergeCell ref="BS40:BV41"/>
    <mergeCell ref="BW40:BZ41"/>
    <mergeCell ref="CA40:CF41"/>
    <mergeCell ref="D38:F39"/>
    <mergeCell ref="BS38:BV39"/>
    <mergeCell ref="G38:BR39"/>
    <mergeCell ref="G40:BR41"/>
    <mergeCell ref="BW34:BZ35"/>
    <mergeCell ref="CA34:CF35"/>
    <mergeCell ref="D36:F37"/>
    <mergeCell ref="BS36:BV37"/>
    <mergeCell ref="BW36:BZ37"/>
    <mergeCell ref="CA36:CF37"/>
    <mergeCell ref="D34:F35"/>
    <mergeCell ref="BS34:BV35"/>
    <mergeCell ref="G34:BR35"/>
    <mergeCell ref="G36:BR37"/>
    <mergeCell ref="BW30:BZ31"/>
    <mergeCell ref="CA30:CF31"/>
    <mergeCell ref="D32:F33"/>
    <mergeCell ref="BS32:BV33"/>
    <mergeCell ref="BW32:BZ33"/>
    <mergeCell ref="CA32:CF33"/>
    <mergeCell ref="D30:F31"/>
    <mergeCell ref="BS30:BV31"/>
    <mergeCell ref="G30:BR31"/>
    <mergeCell ref="G32:BR33"/>
    <mergeCell ref="BW26:BZ27"/>
    <mergeCell ref="CA26:CF27"/>
    <mergeCell ref="D28:F29"/>
    <mergeCell ref="BS28:BV29"/>
    <mergeCell ref="BW28:BZ29"/>
    <mergeCell ref="CA28:CF29"/>
    <mergeCell ref="D26:F27"/>
    <mergeCell ref="BS26:BV27"/>
    <mergeCell ref="G26:BR27"/>
    <mergeCell ref="G28:BR29"/>
    <mergeCell ref="BW22:BZ23"/>
    <mergeCell ref="CA22:CF23"/>
    <mergeCell ref="D24:F25"/>
    <mergeCell ref="BS24:BV25"/>
    <mergeCell ref="BW24:BZ25"/>
    <mergeCell ref="CA24:CF25"/>
    <mergeCell ref="D22:F23"/>
    <mergeCell ref="BS22:BV23"/>
    <mergeCell ref="G22:BR23"/>
    <mergeCell ref="G24:BR25"/>
    <mergeCell ref="BW18:BZ19"/>
    <mergeCell ref="CA18:CF19"/>
    <mergeCell ref="D20:F21"/>
    <mergeCell ref="BS20:BV21"/>
    <mergeCell ref="BW20:BZ21"/>
    <mergeCell ref="CA20:CF21"/>
    <mergeCell ref="D18:F19"/>
    <mergeCell ref="BS18:BV19"/>
    <mergeCell ref="G18:BR19"/>
    <mergeCell ref="G20:BR21"/>
    <mergeCell ref="BW14:BZ15"/>
    <mergeCell ref="CA14:CF15"/>
    <mergeCell ref="D16:F17"/>
    <mergeCell ref="BS16:BV17"/>
    <mergeCell ref="BW16:BZ17"/>
    <mergeCell ref="CA16:CF17"/>
    <mergeCell ref="D14:F15"/>
    <mergeCell ref="BS14:BV15"/>
    <mergeCell ref="G14:BR15"/>
    <mergeCell ref="G16:BR17"/>
    <mergeCell ref="BW10:BZ11"/>
    <mergeCell ref="CA10:CF11"/>
    <mergeCell ref="D12:F13"/>
    <mergeCell ref="BS12:BV13"/>
    <mergeCell ref="BW12:BZ13"/>
    <mergeCell ref="CA12:CF13"/>
    <mergeCell ref="D10:F11"/>
    <mergeCell ref="BS10:BV11"/>
    <mergeCell ref="G10:BR11"/>
    <mergeCell ref="G12:BR13"/>
    <mergeCell ref="BW2:BZ7"/>
    <mergeCell ref="CA2:CF7"/>
    <mergeCell ref="D8:F9"/>
    <mergeCell ref="BS8:BV9"/>
    <mergeCell ref="BW8:BZ9"/>
    <mergeCell ref="CA8:CF9"/>
    <mergeCell ref="D2:F7"/>
    <mergeCell ref="BS2:BV7"/>
    <mergeCell ref="G2:BR7"/>
    <mergeCell ref="G8:BR9"/>
  </mergeCells>
  <printOptions verticalCentered="1"/>
  <pageMargins left="0" right="0" top="0" bottom="0" header="0" footer="0"/>
  <pageSetup paperSize="8" scale="96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/>
  <dimension ref="A1:J92"/>
  <sheetViews>
    <sheetView topLeftCell="B26" workbookViewId="0">
      <selection activeCell="C27" sqref="C27:G59"/>
    </sheetView>
  </sheetViews>
  <sheetFormatPr defaultColWidth="9.109375" defaultRowHeight="13.8"/>
  <cols>
    <col min="1" max="1" width="25" style="69" customWidth="1"/>
    <col min="2" max="2" width="22.88671875" style="71" customWidth="1"/>
    <col min="3" max="3" width="7.21875" style="144" customWidth="1"/>
    <col min="4" max="4" width="63" style="71" customWidth="1"/>
    <col min="5" max="5" width="29.88671875" style="73" hidden="1" customWidth="1"/>
    <col min="6" max="6" width="7.21875" style="140" customWidth="1"/>
    <col min="7" max="7" width="6.6640625" style="141" customWidth="1"/>
    <col min="8" max="8" width="16" style="73" hidden="1" customWidth="1"/>
    <col min="9" max="9" width="26.33203125" style="73" hidden="1" customWidth="1"/>
    <col min="10" max="10" width="20.109375" style="107" hidden="1" customWidth="1"/>
    <col min="11" max="11" width="8.5546875" style="72" customWidth="1"/>
    <col min="12" max="12" width="72.88671875" style="72" customWidth="1"/>
    <col min="13" max="13" width="22" style="72" customWidth="1"/>
    <col min="14" max="14" width="15" style="72" customWidth="1"/>
    <col min="15" max="15" width="20.109375" style="72" customWidth="1"/>
    <col min="16" max="16" width="23" style="72" customWidth="1"/>
    <col min="17" max="16384" width="9.109375" style="72"/>
  </cols>
  <sheetData>
    <row r="1" spans="1:10" s="70" customFormat="1" ht="41.4">
      <c r="A1" s="69" t="s">
        <v>137</v>
      </c>
      <c r="B1" s="69" t="s">
        <v>184</v>
      </c>
      <c r="C1" s="143"/>
      <c r="D1" s="69" t="s">
        <v>140</v>
      </c>
      <c r="E1" s="69" t="s">
        <v>141</v>
      </c>
      <c r="F1" s="69" t="s">
        <v>204</v>
      </c>
      <c r="G1" s="69" t="s">
        <v>183</v>
      </c>
      <c r="H1" s="69" t="s">
        <v>202</v>
      </c>
      <c r="I1" s="69" t="s">
        <v>203</v>
      </c>
      <c r="J1" s="69" t="s">
        <v>204</v>
      </c>
    </row>
    <row r="2" spans="1:10">
      <c r="A2" s="69" t="s">
        <v>139</v>
      </c>
      <c r="B2" s="71" t="s">
        <v>178</v>
      </c>
      <c r="D2" s="71" t="s">
        <v>165</v>
      </c>
      <c r="E2" s="74"/>
      <c r="H2" s="71"/>
      <c r="I2" s="71"/>
    </row>
    <row r="3" spans="1:10">
      <c r="D3" s="71" t="s">
        <v>129</v>
      </c>
      <c r="E3" s="74" t="s">
        <v>242</v>
      </c>
      <c r="H3" s="71"/>
      <c r="I3" s="71"/>
    </row>
    <row r="4" spans="1:10">
      <c r="B4" s="71" t="s">
        <v>178</v>
      </c>
      <c r="D4" s="71" t="s">
        <v>130</v>
      </c>
      <c r="E4" s="74" t="s">
        <v>191</v>
      </c>
      <c r="H4" s="71"/>
      <c r="I4" s="71"/>
    </row>
    <row r="5" spans="1:10">
      <c r="B5" s="71" t="s">
        <v>178</v>
      </c>
      <c r="D5" s="71" t="s">
        <v>136</v>
      </c>
      <c r="E5" s="74" t="s">
        <v>231</v>
      </c>
      <c r="H5" s="71"/>
      <c r="I5" s="71"/>
    </row>
    <row r="6" spans="1:10">
      <c r="D6" s="71" t="s">
        <v>166</v>
      </c>
      <c r="E6" s="74" t="s">
        <v>232</v>
      </c>
      <c r="H6" s="71"/>
      <c r="I6" s="71"/>
    </row>
    <row r="7" spans="1:10">
      <c r="D7" s="71" t="s">
        <v>222</v>
      </c>
      <c r="E7" s="75">
        <v>2500</v>
      </c>
      <c r="H7" s="71"/>
      <c r="I7" s="71"/>
    </row>
    <row r="8" spans="1:10">
      <c r="D8" s="71" t="s">
        <v>133</v>
      </c>
      <c r="E8" s="75">
        <v>2000</v>
      </c>
      <c r="H8" s="71"/>
      <c r="I8" s="71"/>
    </row>
    <row r="9" spans="1:10">
      <c r="D9" s="71" t="s">
        <v>134</v>
      </c>
      <c r="E9" s="75">
        <v>4500</v>
      </c>
      <c r="H9" s="71"/>
      <c r="I9" s="71"/>
    </row>
    <row r="10" spans="1:10">
      <c r="D10" s="71" t="s">
        <v>135</v>
      </c>
      <c r="E10" s="75">
        <v>1200</v>
      </c>
      <c r="H10" s="71"/>
      <c r="I10" s="71"/>
    </row>
    <row r="11" spans="1:10">
      <c r="B11" s="71" t="s">
        <v>178</v>
      </c>
      <c r="D11" s="71" t="s">
        <v>131</v>
      </c>
      <c r="E11" s="74" t="s">
        <v>243</v>
      </c>
      <c r="H11" s="71"/>
      <c r="I11" s="71"/>
    </row>
    <row r="12" spans="1:10">
      <c r="B12" s="71" t="s">
        <v>178</v>
      </c>
      <c r="D12" s="71" t="s">
        <v>68</v>
      </c>
      <c r="E12" s="76">
        <f ca="1">TODAY()</f>
        <v>45694</v>
      </c>
      <c r="H12" s="71"/>
      <c r="I12" s="71"/>
    </row>
    <row r="13" spans="1:10">
      <c r="B13" s="71" t="s">
        <v>178</v>
      </c>
      <c r="D13" s="71" t="s">
        <v>163</v>
      </c>
      <c r="E13" s="74"/>
      <c r="H13" s="71"/>
      <c r="I13" s="71"/>
    </row>
    <row r="14" spans="1:10">
      <c r="B14" s="71" t="s">
        <v>178</v>
      </c>
      <c r="D14" s="71" t="s">
        <v>187</v>
      </c>
      <c r="E14" s="74"/>
      <c r="H14" s="71"/>
      <c r="I14" s="71"/>
    </row>
    <row r="15" spans="1:10">
      <c r="B15" s="71" t="s">
        <v>178</v>
      </c>
      <c r="D15" s="71" t="s">
        <v>164</v>
      </c>
      <c r="E15" s="74" t="s">
        <v>244</v>
      </c>
      <c r="H15" s="71"/>
      <c r="I15" s="71"/>
    </row>
    <row r="16" spans="1:10">
      <c r="D16" s="71" t="s">
        <v>205</v>
      </c>
      <c r="E16" s="74" t="s">
        <v>213</v>
      </c>
      <c r="H16" s="71"/>
      <c r="I16" s="71"/>
    </row>
    <row r="17" spans="1:10">
      <c r="B17" s="71" t="s">
        <v>178</v>
      </c>
      <c r="D17" s="71" t="s">
        <v>206</v>
      </c>
      <c r="E17" s="74" t="s">
        <v>214</v>
      </c>
      <c r="H17" s="71"/>
      <c r="I17" s="71"/>
    </row>
    <row r="18" spans="1:10">
      <c r="B18" s="71" t="s">
        <v>178</v>
      </c>
      <c r="D18" s="71" t="s">
        <v>208</v>
      </c>
      <c r="E18" s="74" t="s">
        <v>214</v>
      </c>
      <c r="H18" s="71"/>
      <c r="I18" s="71"/>
    </row>
    <row r="19" spans="1:10">
      <c r="B19" s="71" t="s">
        <v>178</v>
      </c>
      <c r="D19" s="71" t="s">
        <v>209</v>
      </c>
      <c r="E19" s="74" t="s">
        <v>214</v>
      </c>
      <c r="H19" s="71"/>
      <c r="I19" s="71"/>
    </row>
    <row r="20" spans="1:10">
      <c r="B20" s="71" t="s">
        <v>178</v>
      </c>
      <c r="D20" s="71" t="s">
        <v>210</v>
      </c>
      <c r="E20" s="74" t="s">
        <v>214</v>
      </c>
      <c r="H20" s="71"/>
      <c r="I20" s="71"/>
    </row>
    <row r="21" spans="1:10">
      <c r="B21" s="71" t="s">
        <v>178</v>
      </c>
      <c r="D21" s="71" t="s">
        <v>215</v>
      </c>
      <c r="E21" s="74" t="s">
        <v>214</v>
      </c>
      <c r="H21" s="71"/>
      <c r="I21" s="71"/>
    </row>
    <row r="22" spans="1:10">
      <c r="B22" s="71" t="s">
        <v>178</v>
      </c>
      <c r="D22" s="71" t="s">
        <v>216</v>
      </c>
      <c r="E22" s="74" t="s">
        <v>214</v>
      </c>
      <c r="H22" s="71"/>
      <c r="I22" s="71"/>
    </row>
    <row r="23" spans="1:10">
      <c r="B23" s="71" t="s">
        <v>178</v>
      </c>
      <c r="D23" s="71" t="s">
        <v>207</v>
      </c>
      <c r="E23" s="74" t="s">
        <v>214</v>
      </c>
      <c r="H23" s="71"/>
      <c r="I23" s="71"/>
    </row>
    <row r="24" spans="1:10">
      <c r="B24" s="71" t="s">
        <v>178</v>
      </c>
      <c r="D24" s="71" t="s">
        <v>211</v>
      </c>
      <c r="E24" s="74" t="s">
        <v>214</v>
      </c>
      <c r="H24" s="71"/>
      <c r="I24" s="71"/>
    </row>
    <row r="25" spans="1:10">
      <c r="B25" s="71" t="s">
        <v>178</v>
      </c>
      <c r="D25" s="71" t="s">
        <v>212</v>
      </c>
      <c r="E25" s="74" t="s">
        <v>214</v>
      </c>
      <c r="H25" s="71"/>
      <c r="I25" s="71"/>
    </row>
    <row r="26" spans="1:10" ht="14.4" thickBot="1">
      <c r="C26" s="149"/>
      <c r="D26" s="150" t="s">
        <v>233</v>
      </c>
      <c r="E26" s="151" t="s">
        <v>213</v>
      </c>
      <c r="F26" s="152"/>
      <c r="G26" s="153"/>
      <c r="H26" s="71"/>
      <c r="I26" s="71"/>
    </row>
    <row r="27" spans="1:10" s="70" customFormat="1" ht="27.6">
      <c r="A27" s="69" t="s">
        <v>137</v>
      </c>
      <c r="B27" s="145" t="s">
        <v>184</v>
      </c>
      <c r="C27" s="163" t="s">
        <v>255</v>
      </c>
      <c r="D27" s="164" t="s">
        <v>46</v>
      </c>
      <c r="E27" s="164" t="s">
        <v>180</v>
      </c>
      <c r="F27" s="164" t="s">
        <v>185</v>
      </c>
      <c r="G27" s="165" t="s">
        <v>67</v>
      </c>
      <c r="H27" s="147" t="s">
        <v>181</v>
      </c>
      <c r="I27" s="69" t="s">
        <v>182</v>
      </c>
      <c r="J27" s="69" t="s">
        <v>185</v>
      </c>
    </row>
    <row r="28" spans="1:10">
      <c r="A28" s="69" t="str">
        <f>IF(ISBLANK(VLOOKUP($E$4,'#Служ_'!$D$2:$J$6,2,FALSE))," ",VLOOKUP($E$4,'#Служ_'!$D$2:$J$6,2,FALSE))</f>
        <v>Корпус</v>
      </c>
      <c r="B28" s="146"/>
      <c r="C28" s="166" t="s">
        <v>261</v>
      </c>
      <c r="D28" s="158" t="s">
        <v>193</v>
      </c>
      <c r="E28" s="159"/>
      <c r="F28" s="160" t="str">
        <f t="shared" ref="F28:F34" si="0">IF(E28&gt;0,"шт","")</f>
        <v/>
      </c>
      <c r="G28" s="167"/>
      <c r="H28" s="148"/>
      <c r="J28" s="71" t="str">
        <f t="shared" ref="J28:J34" si="1">IF(I28&gt;0,"шт","")</f>
        <v/>
      </c>
    </row>
    <row r="29" spans="1:10" ht="28.2" customHeight="1">
      <c r="B29" s="146"/>
      <c r="C29" s="166" t="s">
        <v>262</v>
      </c>
      <c r="D29" s="161" t="s">
        <v>256</v>
      </c>
      <c r="E29" s="159">
        <v>80000</v>
      </c>
      <c r="F29" s="160" t="str">
        <f t="shared" si="0"/>
        <v>шт</v>
      </c>
      <c r="G29" s="167">
        <v>1</v>
      </c>
      <c r="H29" s="148">
        <f t="shared" ref="H29:H33" si="2">E29*G29</f>
        <v>80000</v>
      </c>
      <c r="I29" s="73">
        <f>H29*1.3</f>
        <v>104000</v>
      </c>
      <c r="J29" s="71" t="str">
        <f t="shared" si="1"/>
        <v>шт</v>
      </c>
    </row>
    <row r="30" spans="1:10" ht="29.4" customHeight="1">
      <c r="B30" s="146"/>
      <c r="C30" s="166" t="s">
        <v>263</v>
      </c>
      <c r="D30" s="161" t="s">
        <v>257</v>
      </c>
      <c r="E30" s="159">
        <v>5000</v>
      </c>
      <c r="F30" s="160" t="str">
        <f t="shared" si="0"/>
        <v>шт</v>
      </c>
      <c r="G30" s="167">
        <v>1</v>
      </c>
      <c r="H30" s="148">
        <f t="shared" si="2"/>
        <v>5000</v>
      </c>
      <c r="I30" s="73">
        <f>H30*1.3</f>
        <v>6500</v>
      </c>
      <c r="J30" s="71" t="str">
        <f t="shared" si="1"/>
        <v>шт</v>
      </c>
    </row>
    <row r="31" spans="1:10" ht="16.8" customHeight="1">
      <c r="B31" s="146"/>
      <c r="C31" s="166" t="s">
        <v>264</v>
      </c>
      <c r="D31" s="161" t="s">
        <v>258</v>
      </c>
      <c r="E31" s="159">
        <v>38000</v>
      </c>
      <c r="F31" s="160" t="str">
        <f t="shared" si="0"/>
        <v>шт</v>
      </c>
      <c r="G31" s="167">
        <v>1</v>
      </c>
      <c r="H31" s="148">
        <f t="shared" si="2"/>
        <v>38000</v>
      </c>
      <c r="I31" s="73">
        <f>H31*1.3</f>
        <v>49400</v>
      </c>
      <c r="J31" s="71" t="str">
        <f t="shared" si="1"/>
        <v>шт</v>
      </c>
    </row>
    <row r="32" spans="1:10" ht="16.8" customHeight="1">
      <c r="B32" s="146"/>
      <c r="C32" s="166" t="s">
        <v>265</v>
      </c>
      <c r="D32" s="161" t="s">
        <v>259</v>
      </c>
      <c r="E32" s="159">
        <v>5000</v>
      </c>
      <c r="F32" s="160" t="str">
        <f t="shared" si="0"/>
        <v>шт</v>
      </c>
      <c r="G32" s="167">
        <v>1</v>
      </c>
      <c r="H32" s="148">
        <f t="shared" si="2"/>
        <v>5000</v>
      </c>
      <c r="I32" s="73">
        <f>H32*1.3</f>
        <v>6500</v>
      </c>
      <c r="J32" s="71" t="str">
        <f t="shared" si="1"/>
        <v>шт</v>
      </c>
    </row>
    <row r="33" spans="1:10" ht="16.8" hidden="1" customHeight="1">
      <c r="B33" s="146" t="s">
        <v>178</v>
      </c>
      <c r="C33" s="166"/>
      <c r="D33" s="161" t="s">
        <v>221</v>
      </c>
      <c r="E33" s="159">
        <f>SUM(E29:E30)*0.04</f>
        <v>3400</v>
      </c>
      <c r="F33" s="160"/>
      <c r="G33" s="167">
        <v>1</v>
      </c>
      <c r="H33" s="148">
        <f t="shared" si="2"/>
        <v>3400</v>
      </c>
      <c r="I33" s="73">
        <f>H33</f>
        <v>3400</v>
      </c>
      <c r="J33" s="71"/>
    </row>
    <row r="34" spans="1:10" hidden="1">
      <c r="B34" s="146"/>
      <c r="C34" s="166"/>
      <c r="D34" s="162"/>
      <c r="E34" s="159"/>
      <c r="F34" s="160" t="str">
        <f t="shared" si="0"/>
        <v/>
      </c>
      <c r="G34" s="167"/>
      <c r="H34" s="148"/>
      <c r="J34" s="71" t="str">
        <f t="shared" si="1"/>
        <v/>
      </c>
    </row>
    <row r="35" spans="1:10" ht="28.8" customHeight="1">
      <c r="A35" s="69" t="str">
        <f>IF(ISBLANK(VLOOKUP($E$4,'#Служ_'!$D$2:$J$6,3,FALSE))," ",VLOOKUP($E$4,'#Служ_'!$D$2:$J$6,3,FALSE))</f>
        <v>Отсек высоковольтного выключателя</v>
      </c>
      <c r="B35" s="146"/>
      <c r="C35" s="168" t="s">
        <v>266</v>
      </c>
      <c r="D35" s="158" t="str">
        <f>IF(ISBLANK(VLOOKUP($E$4,'#Служ_'!$D$2:$J$6,3,FALSE))," ",VLOOKUP($E$4,'#Служ_'!$D$2:$J$6,3,FALSE))</f>
        <v>Отсек высоковольтного выключателя</v>
      </c>
      <c r="E35" s="159"/>
      <c r="F35" s="160"/>
      <c r="G35" s="167"/>
      <c r="H35" s="148"/>
      <c r="J35" s="71"/>
    </row>
    <row r="36" spans="1:10" ht="27.6">
      <c r="B36" s="146"/>
      <c r="C36" s="166" t="s">
        <v>267</v>
      </c>
      <c r="D36" s="162" t="s">
        <v>241</v>
      </c>
      <c r="E36" s="159">
        <v>145000</v>
      </c>
      <c r="F36" s="160" t="str">
        <f t="shared" ref="F36:F65" si="3">IF(E36&gt;0,"шт","")</f>
        <v>шт</v>
      </c>
      <c r="G36" s="167">
        <v>1</v>
      </c>
      <c r="H36" s="148">
        <f>(E36*G36)</f>
        <v>145000</v>
      </c>
      <c r="I36" s="73">
        <f t="shared" ref="I36:I45" si="4">H36*1.25</f>
        <v>181250</v>
      </c>
      <c r="J36" s="71" t="str">
        <f t="shared" ref="J36:J65" si="5">IF(I36&gt;0,"шт","")</f>
        <v>шт</v>
      </c>
    </row>
    <row r="37" spans="1:10">
      <c r="B37" s="146"/>
      <c r="C37" s="166" t="s">
        <v>268</v>
      </c>
      <c r="D37" s="162" t="s">
        <v>247</v>
      </c>
      <c r="E37" s="159">
        <v>45000</v>
      </c>
      <c r="F37" s="160" t="str">
        <f t="shared" si="3"/>
        <v>шт</v>
      </c>
      <c r="G37" s="167">
        <v>1</v>
      </c>
      <c r="H37" s="148">
        <f t="shared" ref="H37:H45" si="6">E37*G37</f>
        <v>45000</v>
      </c>
      <c r="I37" s="73">
        <f t="shared" si="4"/>
        <v>56250</v>
      </c>
      <c r="J37" s="71" t="str">
        <f t="shared" si="5"/>
        <v>шт</v>
      </c>
    </row>
    <row r="38" spans="1:10">
      <c r="B38" s="146"/>
      <c r="C38" s="166" t="s">
        <v>269</v>
      </c>
      <c r="D38" s="162" t="s">
        <v>248</v>
      </c>
      <c r="E38" s="159">
        <v>27500</v>
      </c>
      <c r="F38" s="160" t="str">
        <f t="shared" si="3"/>
        <v>шт</v>
      </c>
      <c r="G38" s="167">
        <v>1</v>
      </c>
      <c r="H38" s="148">
        <f t="shared" si="6"/>
        <v>27500</v>
      </c>
      <c r="I38" s="73">
        <f t="shared" si="4"/>
        <v>34375</v>
      </c>
      <c r="J38" s="71" t="str">
        <f t="shared" si="5"/>
        <v>шт</v>
      </c>
    </row>
    <row r="39" spans="1:10">
      <c r="B39" s="146"/>
      <c r="C39" s="166" t="s">
        <v>270</v>
      </c>
      <c r="D39" s="162" t="s">
        <v>246</v>
      </c>
      <c r="E39" s="159">
        <v>19000</v>
      </c>
      <c r="F39" s="160" t="str">
        <f t="shared" si="3"/>
        <v>шт</v>
      </c>
      <c r="G39" s="167">
        <v>2</v>
      </c>
      <c r="H39" s="148">
        <f t="shared" si="6"/>
        <v>38000</v>
      </c>
      <c r="I39" s="73">
        <f t="shared" si="4"/>
        <v>47500</v>
      </c>
      <c r="J39" s="71" t="str">
        <f t="shared" si="5"/>
        <v>шт</v>
      </c>
    </row>
    <row r="40" spans="1:10">
      <c r="B40" s="146"/>
      <c r="C40" s="166" t="s">
        <v>271</v>
      </c>
      <c r="D40" s="162" t="s">
        <v>237</v>
      </c>
      <c r="E40" s="159">
        <v>92300</v>
      </c>
      <c r="F40" s="160" t="str">
        <f t="shared" si="3"/>
        <v>шт</v>
      </c>
      <c r="G40" s="167">
        <v>1</v>
      </c>
      <c r="H40" s="148">
        <f t="shared" si="6"/>
        <v>92300</v>
      </c>
      <c r="I40" s="73">
        <f t="shared" si="4"/>
        <v>115375</v>
      </c>
      <c r="J40" s="71" t="str">
        <f t="shared" si="5"/>
        <v>шт</v>
      </c>
    </row>
    <row r="41" spans="1:10">
      <c r="B41" s="146"/>
      <c r="C41" s="166" t="s">
        <v>272</v>
      </c>
      <c r="D41" s="162" t="s">
        <v>238</v>
      </c>
      <c r="E41" s="159">
        <v>42500</v>
      </c>
      <c r="F41" s="160" t="str">
        <f t="shared" si="3"/>
        <v>шт</v>
      </c>
      <c r="G41" s="167">
        <v>1</v>
      </c>
      <c r="H41" s="148">
        <f t="shared" si="6"/>
        <v>42500</v>
      </c>
      <c r="I41" s="73">
        <f t="shared" si="4"/>
        <v>53125</v>
      </c>
      <c r="J41" s="71" t="str">
        <f t="shared" si="5"/>
        <v>шт</v>
      </c>
    </row>
    <row r="42" spans="1:10">
      <c r="B42" s="146"/>
      <c r="C42" s="166" t="s">
        <v>273</v>
      </c>
      <c r="D42" s="162" t="s">
        <v>239</v>
      </c>
      <c r="E42" s="159">
        <v>2900</v>
      </c>
      <c r="F42" s="160" t="str">
        <f t="shared" si="3"/>
        <v>шт</v>
      </c>
      <c r="G42" s="167">
        <v>6</v>
      </c>
      <c r="H42" s="148">
        <f t="shared" si="6"/>
        <v>17400</v>
      </c>
      <c r="I42" s="73">
        <f t="shared" si="4"/>
        <v>21750</v>
      </c>
      <c r="J42" s="71" t="str">
        <f t="shared" si="5"/>
        <v>шт</v>
      </c>
    </row>
    <row r="43" spans="1:10">
      <c r="B43" s="146"/>
      <c r="C43" s="166" t="s">
        <v>274</v>
      </c>
      <c r="D43" s="162" t="s">
        <v>224</v>
      </c>
      <c r="E43" s="159">
        <v>2900</v>
      </c>
      <c r="F43" s="160" t="str">
        <f t="shared" si="3"/>
        <v>шт</v>
      </c>
      <c r="G43" s="167">
        <v>6</v>
      </c>
      <c r="H43" s="148">
        <f t="shared" si="6"/>
        <v>17400</v>
      </c>
      <c r="I43" s="73">
        <f t="shared" si="4"/>
        <v>21750</v>
      </c>
      <c r="J43" s="71" t="str">
        <f t="shared" si="5"/>
        <v>шт</v>
      </c>
    </row>
    <row r="44" spans="1:10">
      <c r="B44" s="146"/>
      <c r="C44" s="166" t="s">
        <v>275</v>
      </c>
      <c r="D44" s="162" t="s">
        <v>225</v>
      </c>
      <c r="E44" s="159">
        <v>1200</v>
      </c>
      <c r="F44" s="160" t="str">
        <f t="shared" si="3"/>
        <v>шт</v>
      </c>
      <c r="G44" s="167">
        <v>6</v>
      </c>
      <c r="H44" s="148">
        <f t="shared" si="6"/>
        <v>7200</v>
      </c>
      <c r="I44" s="73">
        <f t="shared" si="4"/>
        <v>9000</v>
      </c>
      <c r="J44" s="71" t="str">
        <f t="shared" si="5"/>
        <v>шт</v>
      </c>
    </row>
    <row r="45" spans="1:10">
      <c r="B45" s="146"/>
      <c r="C45" s="166" t="s">
        <v>276</v>
      </c>
      <c r="D45" s="162" t="s">
        <v>223</v>
      </c>
      <c r="E45" s="159">
        <v>4100</v>
      </c>
      <c r="F45" s="160" t="str">
        <f t="shared" si="3"/>
        <v>шт</v>
      </c>
      <c r="G45" s="167">
        <v>1</v>
      </c>
      <c r="H45" s="148">
        <f t="shared" si="6"/>
        <v>4100</v>
      </c>
      <c r="I45" s="73">
        <f t="shared" si="4"/>
        <v>5125</v>
      </c>
      <c r="J45" s="71" t="str">
        <f t="shared" si="5"/>
        <v>шт</v>
      </c>
    </row>
    <row r="46" spans="1:10">
      <c r="A46" s="69" t="str">
        <f>IF(ISBLANK(VLOOKUP($E$4,'#Служ_'!$D$2:$J$6,4,FALSE))," ",VLOOKUP($E$4,'#Служ_'!$D$2:$J$6,4,FALSE))</f>
        <v>Отсек РЗА</v>
      </c>
      <c r="B46" s="146"/>
      <c r="C46" s="168" t="s">
        <v>277</v>
      </c>
      <c r="D46" s="158" t="str">
        <f>IF(ISBLANK(VLOOKUP($E$4,'#Служ_'!$D$2:$J$6,4,FALSE))," ",VLOOKUP($E$4,'#Служ_'!$D$2:$J$6,4,FALSE))</f>
        <v>Отсек РЗА</v>
      </c>
      <c r="E46" s="159"/>
      <c r="F46" s="160" t="str">
        <f t="shared" si="3"/>
        <v/>
      </c>
      <c r="G46" s="167"/>
      <c r="H46" s="148"/>
      <c r="J46" s="71" t="str">
        <f t="shared" si="5"/>
        <v/>
      </c>
    </row>
    <row r="47" spans="1:10">
      <c r="B47" s="146"/>
      <c r="C47" s="166" t="s">
        <v>278</v>
      </c>
      <c r="D47" s="162" t="s">
        <v>234</v>
      </c>
      <c r="E47" s="159">
        <v>55000</v>
      </c>
      <c r="F47" s="160" t="str">
        <f t="shared" si="3"/>
        <v>шт</v>
      </c>
      <c r="G47" s="167">
        <v>1</v>
      </c>
      <c r="H47" s="148">
        <f t="shared" ref="H47:H49" si="7">E47*G47</f>
        <v>55000</v>
      </c>
      <c r="I47" s="73">
        <f>H47*1.25</f>
        <v>68750</v>
      </c>
      <c r="J47" s="71" t="str">
        <f t="shared" si="5"/>
        <v>шт</v>
      </c>
    </row>
    <row r="48" spans="1:10">
      <c r="B48" s="146"/>
      <c r="C48" s="166" t="s">
        <v>279</v>
      </c>
      <c r="D48" s="162" t="s">
        <v>240</v>
      </c>
      <c r="E48" s="159">
        <v>1500</v>
      </c>
      <c r="F48" s="160" t="str">
        <f t="shared" si="3"/>
        <v>шт</v>
      </c>
      <c r="G48" s="167">
        <v>1</v>
      </c>
      <c r="H48" s="148">
        <f t="shared" si="7"/>
        <v>1500</v>
      </c>
      <c r="I48" s="73">
        <f>H48*1.25</f>
        <v>1875</v>
      </c>
      <c r="J48" s="71" t="str">
        <f t="shared" si="5"/>
        <v>шт</v>
      </c>
    </row>
    <row r="49" spans="1:10">
      <c r="B49" s="146"/>
      <c r="C49" s="166" t="s">
        <v>280</v>
      </c>
      <c r="D49" s="162" t="s">
        <v>235</v>
      </c>
      <c r="E49" s="159">
        <v>1500</v>
      </c>
      <c r="F49" s="160" t="str">
        <f t="shared" si="3"/>
        <v>шт</v>
      </c>
      <c r="G49" s="167">
        <v>1</v>
      </c>
      <c r="H49" s="148">
        <f t="shared" si="7"/>
        <v>1500</v>
      </c>
      <c r="I49" s="73">
        <f>H49*1.25</f>
        <v>1875</v>
      </c>
      <c r="J49" s="71" t="str">
        <f t="shared" si="5"/>
        <v>шт</v>
      </c>
    </row>
    <row r="50" spans="1:10" hidden="1">
      <c r="B50" s="146"/>
      <c r="C50" s="166" t="s">
        <v>281</v>
      </c>
      <c r="D50" s="162"/>
      <c r="E50" s="159"/>
      <c r="F50" s="160" t="str">
        <f t="shared" si="3"/>
        <v/>
      </c>
      <c r="G50" s="167"/>
      <c r="H50" s="148"/>
      <c r="J50" s="71" t="str">
        <f t="shared" si="5"/>
        <v/>
      </c>
    </row>
    <row r="51" spans="1:10">
      <c r="A51" s="69" t="str">
        <f>IF(ISBLANK(VLOOKUP($E$4,'#Служ_'!$D$2:$J$6,5,FALSE))," ",VLOOKUP($E$4,'#Служ_'!$D$2:$J$6,5,FALSE))</f>
        <v>Прочее</v>
      </c>
      <c r="B51" s="146"/>
      <c r="C51" s="168" t="s">
        <v>282</v>
      </c>
      <c r="D51" s="158" t="s">
        <v>260</v>
      </c>
      <c r="E51" s="159"/>
      <c r="F51" s="160" t="str">
        <f t="shared" si="3"/>
        <v/>
      </c>
      <c r="G51" s="167"/>
      <c r="H51" s="148"/>
      <c r="J51" s="71" t="str">
        <f t="shared" si="5"/>
        <v/>
      </c>
    </row>
    <row r="52" spans="1:10">
      <c r="B52" s="146"/>
      <c r="C52" s="166" t="s">
        <v>283</v>
      </c>
      <c r="D52" s="162" t="s">
        <v>226</v>
      </c>
      <c r="E52" s="159">
        <v>2000</v>
      </c>
      <c r="F52" s="160" t="str">
        <f t="shared" si="3"/>
        <v>шт</v>
      </c>
      <c r="G52" s="167">
        <v>1</v>
      </c>
      <c r="H52" s="148">
        <f t="shared" ref="H52:H58" si="8">E52*G52</f>
        <v>2000</v>
      </c>
      <c r="I52" s="73">
        <f t="shared" ref="I52:I60" si="9">H52*1.25</f>
        <v>2500</v>
      </c>
      <c r="J52" s="71" t="str">
        <f t="shared" si="5"/>
        <v>шт</v>
      </c>
    </row>
    <row r="53" spans="1:10">
      <c r="B53" s="146"/>
      <c r="C53" s="166" t="s">
        <v>284</v>
      </c>
      <c r="D53" s="162" t="s">
        <v>227</v>
      </c>
      <c r="E53" s="159">
        <v>2000</v>
      </c>
      <c r="F53" s="160" t="str">
        <f t="shared" si="3"/>
        <v>шт</v>
      </c>
      <c r="G53" s="167">
        <v>1</v>
      </c>
      <c r="H53" s="148">
        <f t="shared" si="8"/>
        <v>2000</v>
      </c>
      <c r="I53" s="73">
        <f t="shared" si="9"/>
        <v>2500</v>
      </c>
      <c r="J53" s="71" t="str">
        <f t="shared" si="5"/>
        <v>шт</v>
      </c>
    </row>
    <row r="54" spans="1:10">
      <c r="B54" s="146"/>
      <c r="C54" s="166" t="s">
        <v>286</v>
      </c>
      <c r="D54" s="162" t="s">
        <v>228</v>
      </c>
      <c r="E54" s="159">
        <v>1500</v>
      </c>
      <c r="F54" s="160" t="str">
        <f t="shared" si="3"/>
        <v>шт</v>
      </c>
      <c r="G54" s="167">
        <v>2</v>
      </c>
      <c r="H54" s="148">
        <f t="shared" si="8"/>
        <v>3000</v>
      </c>
      <c r="I54" s="73">
        <f t="shared" si="9"/>
        <v>3750</v>
      </c>
      <c r="J54" s="71" t="str">
        <f t="shared" si="5"/>
        <v>шт</v>
      </c>
    </row>
    <row r="55" spans="1:10">
      <c r="B55" s="146"/>
      <c r="C55" s="166" t="s">
        <v>287</v>
      </c>
      <c r="D55" s="162" t="s">
        <v>251</v>
      </c>
      <c r="E55" s="159">
        <v>3500</v>
      </c>
      <c r="F55" s="160" t="str">
        <f t="shared" si="3"/>
        <v>шт</v>
      </c>
      <c r="G55" s="167">
        <v>1</v>
      </c>
      <c r="H55" s="148">
        <f t="shared" si="8"/>
        <v>3500</v>
      </c>
      <c r="I55" s="73">
        <f t="shared" si="9"/>
        <v>4375</v>
      </c>
      <c r="J55" s="71" t="str">
        <f t="shared" si="5"/>
        <v>шт</v>
      </c>
    </row>
    <row r="56" spans="1:10">
      <c r="B56" s="146"/>
      <c r="C56" s="166" t="s">
        <v>288</v>
      </c>
      <c r="D56" s="162" t="s">
        <v>252</v>
      </c>
      <c r="E56" s="159">
        <v>15000</v>
      </c>
      <c r="F56" s="160" t="str">
        <f t="shared" si="3"/>
        <v>шт</v>
      </c>
      <c r="G56" s="167">
        <v>1</v>
      </c>
      <c r="H56" s="148">
        <f t="shared" si="8"/>
        <v>15000</v>
      </c>
      <c r="I56" s="73">
        <f t="shared" si="9"/>
        <v>18750</v>
      </c>
      <c r="J56" s="71" t="str">
        <f t="shared" si="5"/>
        <v>шт</v>
      </c>
    </row>
    <row r="57" spans="1:10" hidden="1">
      <c r="B57" s="146"/>
      <c r="C57" s="166" t="s">
        <v>285</v>
      </c>
      <c r="D57" s="162" t="s">
        <v>249</v>
      </c>
      <c r="E57" s="159">
        <v>2110</v>
      </c>
      <c r="F57" s="160" t="str">
        <f t="shared" si="3"/>
        <v>шт</v>
      </c>
      <c r="G57" s="167">
        <v>15</v>
      </c>
      <c r="H57" s="148">
        <f t="shared" si="8"/>
        <v>31650</v>
      </c>
      <c r="I57" s="73">
        <f t="shared" si="9"/>
        <v>39562.5</v>
      </c>
      <c r="J57" s="71" t="str">
        <f t="shared" si="5"/>
        <v>шт</v>
      </c>
    </row>
    <row r="58" spans="1:10" hidden="1">
      <c r="B58" s="146"/>
      <c r="C58" s="166" t="s">
        <v>289</v>
      </c>
      <c r="D58" s="162" t="s">
        <v>250</v>
      </c>
      <c r="E58" s="159">
        <v>4000</v>
      </c>
      <c r="F58" s="160" t="str">
        <f t="shared" si="3"/>
        <v>шт</v>
      </c>
      <c r="G58" s="167">
        <v>6</v>
      </c>
      <c r="H58" s="148">
        <f t="shared" si="8"/>
        <v>24000</v>
      </c>
      <c r="I58" s="73">
        <f t="shared" si="9"/>
        <v>30000</v>
      </c>
      <c r="J58" s="71" t="str">
        <f t="shared" si="5"/>
        <v>шт</v>
      </c>
    </row>
    <row r="59" spans="1:10" ht="97.2" thickBot="1">
      <c r="B59" s="146" t="s">
        <v>178</v>
      </c>
      <c r="C59" s="169" t="s">
        <v>290</v>
      </c>
      <c r="D59" s="170" t="s">
        <v>253</v>
      </c>
      <c r="E59" s="171">
        <v>10000</v>
      </c>
      <c r="F59" s="172" t="str">
        <f t="shared" si="3"/>
        <v>шт</v>
      </c>
      <c r="G59" s="173">
        <v>1</v>
      </c>
      <c r="H59" s="148">
        <f>E59*G59</f>
        <v>10000</v>
      </c>
      <c r="I59" s="73">
        <f t="shared" si="9"/>
        <v>12500</v>
      </c>
      <c r="J59" s="71" t="str">
        <f t="shared" si="5"/>
        <v>шт</v>
      </c>
    </row>
    <row r="60" spans="1:10" hidden="1">
      <c r="C60" s="154"/>
      <c r="D60" s="155" t="s">
        <v>229</v>
      </c>
      <c r="E60" s="156">
        <v>30</v>
      </c>
      <c r="F60" s="157" t="str">
        <f t="shared" si="3"/>
        <v>шт</v>
      </c>
      <c r="G60" s="157">
        <v>100</v>
      </c>
      <c r="H60" s="73">
        <f>E60*G60</f>
        <v>3000</v>
      </c>
      <c r="I60" s="73">
        <f t="shared" si="9"/>
        <v>3750</v>
      </c>
      <c r="J60" s="71" t="str">
        <f t="shared" si="5"/>
        <v>шт</v>
      </c>
    </row>
    <row r="61" spans="1:10">
      <c r="F61" s="141" t="str">
        <f t="shared" si="3"/>
        <v/>
      </c>
      <c r="J61" s="71" t="str">
        <f t="shared" si="5"/>
        <v/>
      </c>
    </row>
    <row r="62" spans="1:10">
      <c r="A62" s="69" t="str">
        <f>IF(ISBLANK(VLOOKUP($E$4,'#Служ_'!$D$2:$J$6,7,FALSE))," ",VLOOKUP($E$4,'#Служ_'!$D$2:$J$6,7,FALSE))</f>
        <v xml:space="preserve"> </v>
      </c>
      <c r="F62" s="141" t="str">
        <f t="shared" si="3"/>
        <v/>
      </c>
      <c r="J62" s="71" t="str">
        <f t="shared" si="5"/>
        <v/>
      </c>
    </row>
    <row r="63" spans="1:10">
      <c r="B63" s="71" t="s">
        <v>178</v>
      </c>
      <c r="F63" s="141" t="str">
        <f t="shared" si="3"/>
        <v/>
      </c>
      <c r="J63" s="71" t="str">
        <f t="shared" si="5"/>
        <v/>
      </c>
    </row>
    <row r="64" spans="1:10">
      <c r="F64" s="141" t="str">
        <f t="shared" si="3"/>
        <v/>
      </c>
      <c r="J64" s="71" t="str">
        <f t="shared" si="5"/>
        <v/>
      </c>
    </row>
    <row r="65" spans="1:10">
      <c r="F65" s="141" t="str">
        <f t="shared" si="3"/>
        <v/>
      </c>
      <c r="J65" s="71" t="str">
        <f t="shared" si="5"/>
        <v/>
      </c>
    </row>
    <row r="66" spans="1:10" s="70" customFormat="1" ht="27.6">
      <c r="A66" s="69" t="s">
        <v>137</v>
      </c>
      <c r="B66" s="69" t="s">
        <v>184</v>
      </c>
      <c r="C66" s="143"/>
      <c r="D66" s="69" t="s">
        <v>46</v>
      </c>
      <c r="E66" s="69" t="s">
        <v>69</v>
      </c>
      <c r="F66" s="69" t="s">
        <v>185</v>
      </c>
      <c r="G66" s="69" t="s">
        <v>67</v>
      </c>
      <c r="H66" s="69" t="s">
        <v>70</v>
      </c>
      <c r="I66" s="69" t="s">
        <v>75</v>
      </c>
      <c r="J66" s="69" t="s">
        <v>185</v>
      </c>
    </row>
    <row r="67" spans="1:10">
      <c r="A67" s="69" t="s">
        <v>138</v>
      </c>
      <c r="B67" s="71" t="s">
        <v>178</v>
      </c>
      <c r="D67" s="71" t="s">
        <v>76</v>
      </c>
      <c r="F67" s="141" t="str">
        <f>IF(E67&gt;0,"шт","")</f>
        <v/>
      </c>
      <c r="H67" s="73">
        <f>SUM(H28:H62)*0.05</f>
        <v>35997.5</v>
      </c>
      <c r="J67" s="71" t="str">
        <f>IF(I67&gt;0,"шт","")</f>
        <v/>
      </c>
    </row>
    <row r="68" spans="1:10">
      <c r="B68" s="71" t="s">
        <v>178</v>
      </c>
      <c r="D68" s="71" t="s">
        <v>71</v>
      </c>
      <c r="F68" s="141" t="str">
        <f>IF(E68&gt;0,"шт","")</f>
        <v/>
      </c>
      <c r="H68" s="73">
        <f>SUM(H29:H63)</f>
        <v>719950</v>
      </c>
      <c r="J68" s="71" t="str">
        <f>IF(I68&gt;0,"шт","")</f>
        <v/>
      </c>
    </row>
    <row r="69" spans="1:10">
      <c r="B69" s="71" t="s">
        <v>178</v>
      </c>
      <c r="D69" s="71" t="s">
        <v>74</v>
      </c>
      <c r="F69" s="141" t="str">
        <f>IF(E69&gt;0,"шт","")</f>
        <v/>
      </c>
      <c r="H69" s="73">
        <f>SUM(I29:I61)+H67</f>
        <v>941485</v>
      </c>
      <c r="J69" s="71" t="str">
        <f>IF(I69&gt;0,"шт","")</f>
        <v/>
      </c>
    </row>
    <row r="70" spans="1:10">
      <c r="B70" s="71" t="s">
        <v>178</v>
      </c>
      <c r="F70" s="141" t="str">
        <f>IF(E70&gt;0,"шт","")</f>
        <v/>
      </c>
      <c r="J70" s="71" t="str">
        <f>IF(I70&gt;0,"шт","")</f>
        <v/>
      </c>
    </row>
    <row r="71" spans="1:10">
      <c r="B71" s="71" t="s">
        <v>178</v>
      </c>
      <c r="F71" s="141" t="str">
        <f>IF(E71&gt;0,"шт","")</f>
        <v/>
      </c>
      <c r="J71" s="71" t="str">
        <f>IF(I71&gt;0,"шт","")</f>
        <v/>
      </c>
    </row>
    <row r="72" spans="1:10">
      <c r="F72" s="141"/>
      <c r="J72" s="71"/>
    </row>
    <row r="73" spans="1:10">
      <c r="F73" s="141"/>
      <c r="J73" s="71"/>
    </row>
    <row r="74" spans="1:10">
      <c r="F74" s="141"/>
      <c r="J74" s="71"/>
    </row>
    <row r="75" spans="1:10">
      <c r="F75" s="141"/>
      <c r="J75" s="71"/>
    </row>
    <row r="76" spans="1:10">
      <c r="F76" s="141"/>
      <c r="J76" s="71"/>
    </row>
    <row r="77" spans="1:10">
      <c r="F77" s="141"/>
      <c r="J77" s="71"/>
    </row>
    <row r="78" spans="1:10">
      <c r="F78" s="141"/>
      <c r="J78" s="71"/>
    </row>
    <row r="79" spans="1:10">
      <c r="F79" s="142"/>
      <c r="J79" s="73"/>
    </row>
    <row r="80" spans="1:10">
      <c r="F80" s="142"/>
      <c r="J80" s="73"/>
    </row>
    <row r="81" spans="6:10">
      <c r="F81" s="142"/>
      <c r="J81" s="73"/>
    </row>
    <row r="82" spans="6:10">
      <c r="F82" s="142"/>
      <c r="J82" s="73"/>
    </row>
    <row r="83" spans="6:10">
      <c r="F83" s="141"/>
      <c r="J83" s="71"/>
    </row>
    <row r="84" spans="6:10">
      <c r="F84" s="141"/>
      <c r="J84" s="71"/>
    </row>
    <row r="85" spans="6:10">
      <c r="F85" s="141"/>
      <c r="J85" s="71"/>
    </row>
    <row r="86" spans="6:10">
      <c r="F86" s="141"/>
      <c r="J86" s="71"/>
    </row>
    <row r="87" spans="6:10">
      <c r="F87" s="141"/>
      <c r="J87" s="71"/>
    </row>
    <row r="88" spans="6:10">
      <c r="F88" s="141"/>
      <c r="J88" s="71"/>
    </row>
    <row r="89" spans="6:10">
      <c r="F89" s="141"/>
      <c r="J89" s="71"/>
    </row>
    <row r="90" spans="6:10">
      <c r="F90" s="141"/>
      <c r="J90" s="71"/>
    </row>
    <row r="91" spans="6:10">
      <c r="F91" s="141"/>
      <c r="J91" s="71"/>
    </row>
    <row r="92" spans="6:10">
      <c r="F92" s="141"/>
      <c r="J92" s="71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'#Служ_'!$A$2:$A$5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2:J5"/>
  <sheetViews>
    <sheetView workbookViewId="0">
      <selection activeCell="E9" sqref="E9"/>
    </sheetView>
  </sheetViews>
  <sheetFormatPr defaultRowHeight="14.4"/>
  <cols>
    <col min="5" max="5" width="7" bestFit="1" customWidth="1"/>
    <col min="6" max="6" width="33.88671875" bestFit="1" customWidth="1"/>
    <col min="7" max="7" width="16.6640625" bestFit="1" customWidth="1"/>
    <col min="8" max="8" width="7.33203125" bestFit="1" customWidth="1"/>
  </cols>
  <sheetData>
    <row r="2" spans="1:10">
      <c r="A2" t="s">
        <v>190</v>
      </c>
      <c r="D2" t="s">
        <v>190</v>
      </c>
      <c r="E2" t="s">
        <v>193</v>
      </c>
      <c r="F2" t="s">
        <v>194</v>
      </c>
      <c r="G2" t="s">
        <v>195</v>
      </c>
      <c r="H2" t="s">
        <v>200</v>
      </c>
      <c r="I2" t="s">
        <v>196</v>
      </c>
    </row>
    <row r="3" spans="1:10">
      <c r="A3" t="s">
        <v>191</v>
      </c>
      <c r="D3" t="s">
        <v>191</v>
      </c>
      <c r="E3" t="s">
        <v>193</v>
      </c>
      <c r="F3" t="s">
        <v>198</v>
      </c>
      <c r="G3" t="s">
        <v>199</v>
      </c>
      <c r="H3" t="s">
        <v>200</v>
      </c>
    </row>
    <row r="4" spans="1:10">
      <c r="A4" t="s">
        <v>132</v>
      </c>
      <c r="D4" t="s">
        <v>132</v>
      </c>
      <c r="E4" t="s">
        <v>193</v>
      </c>
      <c r="F4" t="s">
        <v>197</v>
      </c>
      <c r="G4" t="s">
        <v>73</v>
      </c>
      <c r="H4" t="s">
        <v>72</v>
      </c>
      <c r="I4" t="s">
        <v>200</v>
      </c>
      <c r="J4" t="s">
        <v>201</v>
      </c>
    </row>
    <row r="5" spans="1:10">
      <c r="A5" t="s">
        <v>192</v>
      </c>
      <c r="D5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/>
  <dimension ref="A1:H91"/>
  <sheetViews>
    <sheetView topLeftCell="A58" zoomScale="85" zoomScaleNormal="85" workbookViewId="0">
      <selection activeCell="C31" sqref="C31"/>
    </sheetView>
  </sheetViews>
  <sheetFormatPr defaultColWidth="9.109375" defaultRowHeight="13.8"/>
  <cols>
    <col min="1" max="1" width="25" style="69" customWidth="1"/>
    <col min="2" max="2" width="22.88671875" style="71" customWidth="1"/>
    <col min="3" max="3" width="92.77734375" style="71" customWidth="1"/>
    <col min="4" max="4" width="29.88671875" style="73" customWidth="1"/>
    <col min="5" max="5" width="16.33203125" style="71" customWidth="1"/>
    <col min="6" max="6" width="16" style="73" bestFit="1" customWidth="1"/>
    <col min="7" max="7" width="26.33203125" style="73" customWidth="1"/>
    <col min="8" max="8" width="20.109375" style="107" customWidth="1"/>
    <col min="9" max="9" width="8.5546875" style="72" customWidth="1"/>
    <col min="10" max="10" width="72.88671875" style="72" customWidth="1"/>
    <col min="11" max="11" width="22" style="72" customWidth="1"/>
    <col min="12" max="12" width="15" style="72" customWidth="1"/>
    <col min="13" max="13" width="20.109375" style="72" customWidth="1"/>
    <col min="14" max="14" width="23" style="72" customWidth="1"/>
    <col min="15" max="16384" width="9.109375" style="72"/>
  </cols>
  <sheetData>
    <row r="1" spans="1:8" s="70" customFormat="1" ht="27.6">
      <c r="A1" s="69" t="s">
        <v>137</v>
      </c>
      <c r="B1" s="69" t="s">
        <v>184</v>
      </c>
      <c r="C1" s="69" t="s">
        <v>140</v>
      </c>
      <c r="D1" s="69" t="s">
        <v>141</v>
      </c>
      <c r="E1" s="69" t="s">
        <v>183</v>
      </c>
      <c r="F1" s="69" t="s">
        <v>202</v>
      </c>
      <c r="G1" s="69" t="s">
        <v>203</v>
      </c>
      <c r="H1" s="69" t="s">
        <v>204</v>
      </c>
    </row>
    <row r="2" spans="1:8">
      <c r="A2" s="69" t="s">
        <v>139</v>
      </c>
      <c r="B2" s="71" t="s">
        <v>178</v>
      </c>
      <c r="C2" s="71" t="s">
        <v>165</v>
      </c>
      <c r="D2" s="74"/>
      <c r="F2" s="71"/>
      <c r="G2" s="71"/>
    </row>
    <row r="3" spans="1:8">
      <c r="C3" s="71" t="s">
        <v>129</v>
      </c>
      <c r="D3" s="74" t="s">
        <v>242</v>
      </c>
      <c r="F3" s="71"/>
      <c r="G3" s="71"/>
    </row>
    <row r="4" spans="1:8">
      <c r="B4" s="71" t="s">
        <v>178</v>
      </c>
      <c r="C4" s="71" t="s">
        <v>130</v>
      </c>
      <c r="D4" s="106" t="s">
        <v>191</v>
      </c>
      <c r="F4" s="71"/>
      <c r="G4" s="71"/>
    </row>
    <row r="5" spans="1:8">
      <c r="B5" s="71" t="s">
        <v>178</v>
      </c>
      <c r="C5" s="71" t="s">
        <v>136</v>
      </c>
      <c r="D5" s="74" t="s">
        <v>231</v>
      </c>
      <c r="F5" s="71"/>
      <c r="G5" s="71"/>
    </row>
    <row r="6" spans="1:8">
      <c r="C6" s="71" t="s">
        <v>166</v>
      </c>
      <c r="D6" s="74" t="s">
        <v>254</v>
      </c>
      <c r="F6" s="71"/>
      <c r="G6" s="71"/>
    </row>
    <row r="7" spans="1:8">
      <c r="C7" s="71" t="s">
        <v>222</v>
      </c>
      <c r="D7" s="75">
        <v>2500</v>
      </c>
      <c r="F7" s="71"/>
      <c r="G7" s="71"/>
    </row>
    <row r="8" spans="1:8">
      <c r="C8" s="71" t="s">
        <v>133</v>
      </c>
      <c r="D8" s="75">
        <v>2000</v>
      </c>
      <c r="F8" s="71"/>
      <c r="G8" s="71"/>
    </row>
    <row r="9" spans="1:8">
      <c r="C9" s="71" t="s">
        <v>134</v>
      </c>
      <c r="D9" s="75">
        <v>4500</v>
      </c>
      <c r="F9" s="71"/>
      <c r="G9" s="71"/>
    </row>
    <row r="10" spans="1:8">
      <c r="C10" s="71" t="s">
        <v>135</v>
      </c>
      <c r="D10" s="75">
        <v>1200</v>
      </c>
      <c r="F10" s="71"/>
      <c r="G10" s="71"/>
    </row>
    <row r="11" spans="1:8">
      <c r="B11" s="71" t="s">
        <v>178</v>
      </c>
      <c r="C11" s="71" t="s">
        <v>131</v>
      </c>
      <c r="D11" s="74" t="s">
        <v>243</v>
      </c>
      <c r="F11" s="71"/>
      <c r="G11" s="71"/>
    </row>
    <row r="12" spans="1:8">
      <c r="B12" s="71" t="s">
        <v>178</v>
      </c>
      <c r="C12" s="71" t="s">
        <v>68</v>
      </c>
      <c r="D12" s="76">
        <f ca="1">TODAY()</f>
        <v>45694</v>
      </c>
      <c r="F12" s="71"/>
      <c r="G12" s="71"/>
    </row>
    <row r="13" spans="1:8">
      <c r="B13" s="71" t="s">
        <v>178</v>
      </c>
      <c r="C13" s="71" t="s">
        <v>163</v>
      </c>
      <c r="D13" s="74"/>
      <c r="F13" s="71"/>
      <c r="G13" s="71"/>
    </row>
    <row r="14" spans="1:8">
      <c r="B14" s="71" t="s">
        <v>178</v>
      </c>
      <c r="C14" s="71" t="s">
        <v>187</v>
      </c>
      <c r="D14" s="74"/>
      <c r="F14" s="71"/>
      <c r="G14" s="71"/>
    </row>
    <row r="15" spans="1:8">
      <c r="B15" s="71" t="s">
        <v>178</v>
      </c>
      <c r="C15" s="71" t="s">
        <v>164</v>
      </c>
      <c r="D15" s="74" t="s">
        <v>244</v>
      </c>
      <c r="F15" s="71"/>
      <c r="G15" s="71"/>
    </row>
    <row r="16" spans="1:8">
      <c r="C16" s="71" t="s">
        <v>205</v>
      </c>
      <c r="D16" s="74" t="s">
        <v>213</v>
      </c>
      <c r="F16" s="71"/>
      <c r="G16" s="71"/>
    </row>
    <row r="17" spans="1:8">
      <c r="B17" s="71" t="s">
        <v>178</v>
      </c>
      <c r="C17" s="71" t="s">
        <v>206</v>
      </c>
      <c r="D17" s="74" t="s">
        <v>214</v>
      </c>
      <c r="F17" s="71"/>
      <c r="G17" s="71"/>
    </row>
    <row r="18" spans="1:8">
      <c r="B18" s="71" t="s">
        <v>178</v>
      </c>
      <c r="C18" s="71" t="s">
        <v>208</v>
      </c>
      <c r="D18" s="74" t="s">
        <v>214</v>
      </c>
      <c r="F18" s="71"/>
      <c r="G18" s="71"/>
    </row>
    <row r="19" spans="1:8">
      <c r="B19" s="71" t="s">
        <v>178</v>
      </c>
      <c r="C19" s="71" t="s">
        <v>209</v>
      </c>
      <c r="D19" s="74" t="s">
        <v>214</v>
      </c>
      <c r="F19" s="71"/>
      <c r="G19" s="71"/>
    </row>
    <row r="20" spans="1:8">
      <c r="B20" s="71" t="s">
        <v>178</v>
      </c>
      <c r="C20" s="71" t="s">
        <v>210</v>
      </c>
      <c r="D20" s="74" t="s">
        <v>214</v>
      </c>
      <c r="F20" s="71"/>
      <c r="G20" s="71"/>
    </row>
    <row r="21" spans="1:8">
      <c r="B21" s="71" t="s">
        <v>178</v>
      </c>
      <c r="C21" s="71" t="s">
        <v>215</v>
      </c>
      <c r="D21" s="74" t="s">
        <v>214</v>
      </c>
      <c r="F21" s="71"/>
      <c r="G21" s="71"/>
    </row>
    <row r="22" spans="1:8">
      <c r="B22" s="71" t="s">
        <v>178</v>
      </c>
      <c r="C22" s="71" t="s">
        <v>216</v>
      </c>
      <c r="D22" s="74" t="s">
        <v>214</v>
      </c>
      <c r="F22" s="71"/>
      <c r="G22" s="71"/>
    </row>
    <row r="23" spans="1:8">
      <c r="B23" s="71" t="s">
        <v>178</v>
      </c>
      <c r="C23" s="71" t="s">
        <v>207</v>
      </c>
      <c r="D23" s="74" t="s">
        <v>214</v>
      </c>
      <c r="F23" s="71"/>
      <c r="G23" s="71"/>
    </row>
    <row r="24" spans="1:8">
      <c r="B24" s="71" t="s">
        <v>178</v>
      </c>
      <c r="C24" s="71" t="s">
        <v>211</v>
      </c>
      <c r="D24" s="74" t="s">
        <v>214</v>
      </c>
      <c r="F24" s="71"/>
      <c r="G24" s="71"/>
    </row>
    <row r="25" spans="1:8">
      <c r="B25" s="71" t="s">
        <v>178</v>
      </c>
      <c r="C25" s="71" t="s">
        <v>212</v>
      </c>
      <c r="D25" s="74" t="s">
        <v>214</v>
      </c>
      <c r="F25" s="71"/>
      <c r="G25" s="71"/>
    </row>
    <row r="26" spans="1:8">
      <c r="C26" s="71" t="s">
        <v>233</v>
      </c>
      <c r="D26" s="74" t="s">
        <v>213</v>
      </c>
      <c r="F26" s="71"/>
      <c r="G26" s="71"/>
    </row>
    <row r="27" spans="1:8" s="70" customFormat="1" ht="27.6">
      <c r="A27" s="69" t="s">
        <v>137</v>
      </c>
      <c r="B27" s="69" t="s">
        <v>184</v>
      </c>
      <c r="C27" s="69" t="s">
        <v>46</v>
      </c>
      <c r="D27" s="69" t="s">
        <v>180</v>
      </c>
      <c r="E27" s="69" t="s">
        <v>179</v>
      </c>
      <c r="F27" s="69" t="s">
        <v>181</v>
      </c>
      <c r="G27" s="69" t="s">
        <v>182</v>
      </c>
      <c r="H27" s="69" t="s">
        <v>185</v>
      </c>
    </row>
    <row r="28" spans="1:8" s="105" customFormat="1">
      <c r="A28" s="102" t="str">
        <f>IF(ISBLANK(VLOOKUP($D$4,'#Служ_'!$D$2:$J$6,2,FALSE))," ",VLOOKUP($D$4,'#Служ_'!$D$2:$J$6,2,FALSE))</f>
        <v>Корпус</v>
      </c>
      <c r="B28" s="103"/>
      <c r="C28" s="103"/>
      <c r="D28" s="104"/>
      <c r="E28" s="103"/>
      <c r="F28" s="104"/>
      <c r="G28" s="104"/>
      <c r="H28" s="103" t="str">
        <f t="shared" ref="H28:H34" si="0">IF(G28&gt;0,"шт","")</f>
        <v/>
      </c>
    </row>
    <row r="29" spans="1:8" ht="16.8" customHeight="1">
      <c r="A29" s="136"/>
      <c r="B29" s="137"/>
      <c r="C29" s="137" t="s">
        <v>219</v>
      </c>
      <c r="D29" s="138">
        <v>80000</v>
      </c>
      <c r="E29" s="139">
        <v>1</v>
      </c>
      <c r="F29" s="138">
        <f t="shared" ref="F29:F33" si="1">D29*E29</f>
        <v>80000</v>
      </c>
      <c r="G29" s="138">
        <f>F29*1.3</f>
        <v>104000</v>
      </c>
      <c r="H29" s="71" t="str">
        <f t="shared" si="0"/>
        <v>шт</v>
      </c>
    </row>
    <row r="30" spans="1:8" ht="16.8" customHeight="1">
      <c r="A30" s="136"/>
      <c r="B30" s="137"/>
      <c r="C30" s="137" t="s">
        <v>220</v>
      </c>
      <c r="D30" s="138">
        <v>5000</v>
      </c>
      <c r="E30" s="139">
        <v>1</v>
      </c>
      <c r="F30" s="138">
        <f t="shared" si="1"/>
        <v>5000</v>
      </c>
      <c r="G30" s="138">
        <f>F30*1.3</f>
        <v>6500</v>
      </c>
      <c r="H30" s="71" t="str">
        <f t="shared" si="0"/>
        <v>шт</v>
      </c>
    </row>
    <row r="31" spans="1:8" ht="16.8" customHeight="1">
      <c r="A31" s="136"/>
      <c r="B31" s="137"/>
      <c r="C31" s="137" t="s">
        <v>245</v>
      </c>
      <c r="D31" s="138">
        <v>38000</v>
      </c>
      <c r="E31" s="139">
        <v>1</v>
      </c>
      <c r="F31" s="138">
        <f t="shared" si="1"/>
        <v>38000</v>
      </c>
      <c r="G31" s="138">
        <f>F31*1.3</f>
        <v>49400</v>
      </c>
      <c r="H31" s="71" t="str">
        <f t="shared" si="0"/>
        <v>шт</v>
      </c>
    </row>
    <row r="32" spans="1:8" ht="16.8" customHeight="1">
      <c r="A32" s="136"/>
      <c r="B32" s="137"/>
      <c r="C32" s="137" t="s">
        <v>236</v>
      </c>
      <c r="D32" s="138">
        <v>5000</v>
      </c>
      <c r="E32" s="139">
        <v>1</v>
      </c>
      <c r="F32" s="138">
        <f t="shared" si="1"/>
        <v>5000</v>
      </c>
      <c r="G32" s="138">
        <f>F32*1.3</f>
        <v>6500</v>
      </c>
      <c r="H32" s="71" t="str">
        <f t="shared" si="0"/>
        <v>шт</v>
      </c>
    </row>
    <row r="33" spans="1:8" ht="16.8" customHeight="1">
      <c r="A33" s="136"/>
      <c r="B33" s="137" t="s">
        <v>178</v>
      </c>
      <c r="C33" s="137" t="s">
        <v>221</v>
      </c>
      <c r="D33" s="138">
        <f>SUM(D29:D30)*0.04</f>
        <v>3400</v>
      </c>
      <c r="E33" s="139">
        <v>1</v>
      </c>
      <c r="F33" s="138">
        <f t="shared" si="1"/>
        <v>3400</v>
      </c>
      <c r="G33" s="138">
        <f>F33</f>
        <v>3400</v>
      </c>
      <c r="H33" s="71"/>
    </row>
    <row r="34" spans="1:8">
      <c r="H34" s="71" t="str">
        <f t="shared" si="0"/>
        <v/>
      </c>
    </row>
    <row r="35" spans="1:8" s="105" customFormat="1" ht="28.8" customHeight="1">
      <c r="A35" s="102" t="str">
        <f>IF(ISBLANK(VLOOKUP($D$4,'#Служ_'!$D$2:$J$6,3,FALSE))," ",VLOOKUP($D$4,'#Служ_'!$D$2:$J$6,3,FALSE))</f>
        <v>Отсек высоковольтного выключателя</v>
      </c>
      <c r="B35" s="103"/>
      <c r="C35" s="103"/>
      <c r="D35" s="104"/>
      <c r="E35" s="103"/>
      <c r="F35" s="104"/>
      <c r="G35" s="104"/>
      <c r="H35" s="103"/>
    </row>
    <row r="36" spans="1:8" ht="27.6">
      <c r="A36" s="136"/>
      <c r="B36" s="137"/>
      <c r="C36" s="137" t="s">
        <v>241</v>
      </c>
      <c r="D36" s="138">
        <v>145000</v>
      </c>
      <c r="E36" s="137">
        <v>1</v>
      </c>
      <c r="F36" s="138">
        <f>(D36*E36)</f>
        <v>145000</v>
      </c>
      <c r="G36" s="138">
        <f t="shared" ref="G36:G46" si="2">F36*1.25</f>
        <v>181250</v>
      </c>
      <c r="H36" s="71" t="str">
        <f t="shared" ref="H36:H64" si="3">IF(G36&gt;0,"шт","")</f>
        <v>шт</v>
      </c>
    </row>
    <row r="37" spans="1:8">
      <c r="A37" s="136"/>
      <c r="B37" s="137"/>
      <c r="C37" s="137" t="s">
        <v>247</v>
      </c>
      <c r="D37" s="138">
        <v>45000</v>
      </c>
      <c r="E37" s="137">
        <v>1</v>
      </c>
      <c r="F37" s="138">
        <f t="shared" ref="F37:F46" si="4">D37*E37</f>
        <v>45000</v>
      </c>
      <c r="G37" s="138">
        <f t="shared" si="2"/>
        <v>56250</v>
      </c>
      <c r="H37" s="71" t="str">
        <f t="shared" si="3"/>
        <v>шт</v>
      </c>
    </row>
    <row r="38" spans="1:8">
      <c r="A38" s="136"/>
      <c r="B38" s="137"/>
      <c r="C38" s="137" t="s">
        <v>248</v>
      </c>
      <c r="D38" s="138">
        <v>27500</v>
      </c>
      <c r="E38" s="137">
        <v>1</v>
      </c>
      <c r="F38" s="138">
        <f t="shared" si="4"/>
        <v>27500</v>
      </c>
      <c r="G38" s="138">
        <f t="shared" si="2"/>
        <v>34375</v>
      </c>
      <c r="H38" s="71" t="str">
        <f t="shared" si="3"/>
        <v>шт</v>
      </c>
    </row>
    <row r="39" spans="1:8">
      <c r="A39" s="136"/>
      <c r="B39" s="137"/>
      <c r="C39" s="137" t="s">
        <v>246</v>
      </c>
      <c r="D39" s="138">
        <v>19000</v>
      </c>
      <c r="E39" s="137">
        <v>2</v>
      </c>
      <c r="F39" s="138">
        <f t="shared" si="4"/>
        <v>38000</v>
      </c>
      <c r="G39" s="138">
        <f t="shared" si="2"/>
        <v>47500</v>
      </c>
      <c r="H39" s="71" t="str">
        <f t="shared" si="3"/>
        <v>шт</v>
      </c>
    </row>
    <row r="40" spans="1:8">
      <c r="A40" s="136"/>
      <c r="B40" s="137"/>
      <c r="C40" s="137" t="s">
        <v>230</v>
      </c>
      <c r="D40" s="138">
        <v>6000</v>
      </c>
      <c r="E40" s="137">
        <v>1</v>
      </c>
      <c r="F40" s="138">
        <f t="shared" si="4"/>
        <v>6000</v>
      </c>
      <c r="G40" s="138">
        <f t="shared" si="2"/>
        <v>7500</v>
      </c>
      <c r="H40" s="71" t="str">
        <f t="shared" si="3"/>
        <v>шт</v>
      </c>
    </row>
    <row r="41" spans="1:8">
      <c r="A41" s="136"/>
      <c r="B41" s="137"/>
      <c r="C41" s="137" t="s">
        <v>237</v>
      </c>
      <c r="D41" s="138">
        <v>92300</v>
      </c>
      <c r="E41" s="137">
        <v>1</v>
      </c>
      <c r="F41" s="138">
        <f t="shared" si="4"/>
        <v>92300</v>
      </c>
      <c r="G41" s="138">
        <f t="shared" si="2"/>
        <v>115375</v>
      </c>
      <c r="H41" s="71" t="str">
        <f t="shared" si="3"/>
        <v>шт</v>
      </c>
    </row>
    <row r="42" spans="1:8">
      <c r="A42" s="136"/>
      <c r="B42" s="137"/>
      <c r="C42" s="137" t="s">
        <v>238</v>
      </c>
      <c r="D42" s="138">
        <v>42500</v>
      </c>
      <c r="E42" s="137">
        <v>1</v>
      </c>
      <c r="F42" s="138">
        <f t="shared" si="4"/>
        <v>42500</v>
      </c>
      <c r="G42" s="138">
        <f t="shared" si="2"/>
        <v>53125</v>
      </c>
      <c r="H42" s="71" t="str">
        <f t="shared" si="3"/>
        <v>шт</v>
      </c>
    </row>
    <row r="43" spans="1:8">
      <c r="A43" s="136"/>
      <c r="B43" s="137"/>
      <c r="C43" s="137" t="s">
        <v>239</v>
      </c>
      <c r="D43" s="138">
        <v>2900</v>
      </c>
      <c r="E43" s="137">
        <v>6</v>
      </c>
      <c r="F43" s="138">
        <f t="shared" si="4"/>
        <v>17400</v>
      </c>
      <c r="G43" s="138">
        <f t="shared" si="2"/>
        <v>21750</v>
      </c>
      <c r="H43" s="71" t="str">
        <f t="shared" si="3"/>
        <v>шт</v>
      </c>
    </row>
    <row r="44" spans="1:8">
      <c r="A44" s="136"/>
      <c r="B44" s="137"/>
      <c r="C44" s="137" t="s">
        <v>224</v>
      </c>
      <c r="D44" s="138">
        <v>2900</v>
      </c>
      <c r="E44" s="137">
        <v>3</v>
      </c>
      <c r="F44" s="138">
        <f t="shared" si="4"/>
        <v>8700</v>
      </c>
      <c r="G44" s="138">
        <f t="shared" si="2"/>
        <v>10875</v>
      </c>
      <c r="H44" s="71" t="str">
        <f t="shared" si="3"/>
        <v>шт</v>
      </c>
    </row>
    <row r="45" spans="1:8">
      <c r="A45" s="136"/>
      <c r="B45" s="137"/>
      <c r="C45" s="137" t="s">
        <v>225</v>
      </c>
      <c r="D45" s="138">
        <v>1200</v>
      </c>
      <c r="E45" s="137">
        <v>3</v>
      </c>
      <c r="F45" s="138">
        <f t="shared" si="4"/>
        <v>3600</v>
      </c>
      <c r="G45" s="138">
        <f t="shared" si="2"/>
        <v>4500</v>
      </c>
      <c r="H45" s="71" t="str">
        <f t="shared" si="3"/>
        <v>шт</v>
      </c>
    </row>
    <row r="46" spans="1:8">
      <c r="A46" s="136"/>
      <c r="B46" s="137"/>
      <c r="C46" s="137" t="s">
        <v>223</v>
      </c>
      <c r="D46" s="138">
        <v>4100</v>
      </c>
      <c r="E46" s="137">
        <v>1</v>
      </c>
      <c r="F46" s="138">
        <f t="shared" si="4"/>
        <v>4100</v>
      </c>
      <c r="G46" s="138">
        <f t="shared" si="2"/>
        <v>5125</v>
      </c>
      <c r="H46" s="71" t="str">
        <f t="shared" si="3"/>
        <v>шт</v>
      </c>
    </row>
    <row r="47" spans="1:8" s="105" customFormat="1">
      <c r="A47" s="102" t="str">
        <f>IF(ISBLANK(VLOOKUP($D$4,'#Служ_'!$D$2:$J$6,4,FALSE))," ",VLOOKUP($D$4,'#Служ_'!$D$2:$J$6,4,FALSE))</f>
        <v>Отсек РЗА</v>
      </c>
      <c r="B47" s="103"/>
      <c r="C47" s="103"/>
      <c r="D47" s="104"/>
      <c r="E47" s="103"/>
      <c r="F47" s="104"/>
      <c r="G47" s="104"/>
      <c r="H47" s="103" t="str">
        <f t="shared" si="3"/>
        <v/>
      </c>
    </row>
    <row r="48" spans="1:8">
      <c r="A48" s="136"/>
      <c r="B48" s="137"/>
      <c r="C48" s="137" t="s">
        <v>234</v>
      </c>
      <c r="D48" s="138">
        <v>55000</v>
      </c>
      <c r="E48" s="137">
        <v>1</v>
      </c>
      <c r="F48" s="138">
        <f t="shared" ref="F48:F50" si="5">D48*E48</f>
        <v>55000</v>
      </c>
      <c r="G48" s="138">
        <f>F48*1.25</f>
        <v>68750</v>
      </c>
      <c r="H48" s="71" t="str">
        <f t="shared" si="3"/>
        <v>шт</v>
      </c>
    </row>
    <row r="49" spans="1:8">
      <c r="A49" s="136"/>
      <c r="B49" s="137"/>
      <c r="C49" s="137" t="s">
        <v>240</v>
      </c>
      <c r="D49" s="138">
        <v>1500</v>
      </c>
      <c r="E49" s="137">
        <v>1</v>
      </c>
      <c r="F49" s="138">
        <f t="shared" si="5"/>
        <v>1500</v>
      </c>
      <c r="G49" s="138">
        <f>F49*1.25</f>
        <v>1875</v>
      </c>
      <c r="H49" s="71" t="str">
        <f t="shared" si="3"/>
        <v>шт</v>
      </c>
    </row>
    <row r="50" spans="1:8">
      <c r="A50" s="136"/>
      <c r="B50" s="137"/>
      <c r="C50" s="137" t="s">
        <v>235</v>
      </c>
      <c r="D50" s="138">
        <v>1500</v>
      </c>
      <c r="E50" s="137">
        <v>1</v>
      </c>
      <c r="F50" s="138">
        <f t="shared" si="5"/>
        <v>1500</v>
      </c>
      <c r="G50" s="138">
        <f>F50*1.25</f>
        <v>1875</v>
      </c>
      <c r="H50" s="71" t="str">
        <f t="shared" si="3"/>
        <v>шт</v>
      </c>
    </row>
    <row r="51" spans="1:8">
      <c r="H51" s="71" t="str">
        <f t="shared" si="3"/>
        <v/>
      </c>
    </row>
    <row r="52" spans="1:8" s="105" customFormat="1">
      <c r="A52" s="102" t="str">
        <f>IF(ISBLANK(VLOOKUP($D$4,'#Служ_'!$D$2:$J$6,5,FALSE))," ",VLOOKUP($D$4,'#Служ_'!$D$2:$J$6,5,FALSE))</f>
        <v>Прочее</v>
      </c>
      <c r="B52" s="103"/>
      <c r="C52" s="103"/>
      <c r="D52" s="104"/>
      <c r="E52" s="103"/>
      <c r="F52" s="104"/>
      <c r="G52" s="104"/>
      <c r="H52" s="103" t="str">
        <f t="shared" si="3"/>
        <v/>
      </c>
    </row>
    <row r="53" spans="1:8">
      <c r="A53" s="136"/>
      <c r="B53" s="137"/>
      <c r="C53" s="137" t="s">
        <v>226</v>
      </c>
      <c r="D53" s="138">
        <v>2000</v>
      </c>
      <c r="E53" s="137">
        <v>1</v>
      </c>
      <c r="F53" s="138">
        <f t="shared" ref="F53:F57" si="6">D53*E53</f>
        <v>2000</v>
      </c>
      <c r="G53" s="138">
        <f t="shared" ref="G53:G59" si="7">F53*1.25</f>
        <v>2500</v>
      </c>
      <c r="H53" s="71" t="str">
        <f t="shared" si="3"/>
        <v>шт</v>
      </c>
    </row>
    <row r="54" spans="1:8">
      <c r="A54" s="136"/>
      <c r="B54" s="137"/>
      <c r="C54" s="137" t="s">
        <v>227</v>
      </c>
      <c r="D54" s="138">
        <v>2000</v>
      </c>
      <c r="E54" s="137">
        <v>1</v>
      </c>
      <c r="F54" s="138">
        <f t="shared" si="6"/>
        <v>2000</v>
      </c>
      <c r="G54" s="138">
        <f t="shared" si="7"/>
        <v>2500</v>
      </c>
      <c r="H54" s="71" t="str">
        <f t="shared" si="3"/>
        <v>шт</v>
      </c>
    </row>
    <row r="55" spans="1:8">
      <c r="A55" s="136"/>
      <c r="B55" s="137"/>
      <c r="C55" s="137" t="s">
        <v>228</v>
      </c>
      <c r="D55" s="138">
        <v>1500</v>
      </c>
      <c r="E55" s="137">
        <v>2</v>
      </c>
      <c r="F55" s="138">
        <f t="shared" si="6"/>
        <v>3000</v>
      </c>
      <c r="G55" s="138">
        <f t="shared" si="7"/>
        <v>3750</v>
      </c>
      <c r="H55" s="71" t="str">
        <f t="shared" si="3"/>
        <v>шт</v>
      </c>
    </row>
    <row r="56" spans="1:8">
      <c r="A56" s="136"/>
      <c r="B56" s="137"/>
      <c r="C56" s="137" t="s">
        <v>251</v>
      </c>
      <c r="D56" s="138">
        <v>3500</v>
      </c>
      <c r="E56" s="137">
        <v>1</v>
      </c>
      <c r="F56" s="138">
        <f t="shared" si="6"/>
        <v>3500</v>
      </c>
      <c r="G56" s="138">
        <f t="shared" si="7"/>
        <v>4375</v>
      </c>
      <c r="H56" s="71" t="str">
        <f t="shared" si="3"/>
        <v>шт</v>
      </c>
    </row>
    <row r="57" spans="1:8">
      <c r="A57" s="136"/>
      <c r="B57" s="137"/>
      <c r="C57" s="137" t="s">
        <v>252</v>
      </c>
      <c r="D57" s="138">
        <v>15000</v>
      </c>
      <c r="E57" s="137">
        <v>1</v>
      </c>
      <c r="F57" s="138">
        <f t="shared" si="6"/>
        <v>15000</v>
      </c>
      <c r="G57" s="138">
        <f t="shared" si="7"/>
        <v>18750</v>
      </c>
      <c r="H57" s="71" t="str">
        <f t="shared" si="3"/>
        <v>шт</v>
      </c>
    </row>
    <row r="58" spans="1:8" ht="55.2">
      <c r="A58" s="136"/>
      <c r="B58" s="137" t="s">
        <v>178</v>
      </c>
      <c r="C58" s="137" t="s">
        <v>253</v>
      </c>
      <c r="D58" s="138">
        <v>10000</v>
      </c>
      <c r="E58" s="137">
        <v>1</v>
      </c>
      <c r="F58" s="138">
        <f>D58*E58</f>
        <v>10000</v>
      </c>
      <c r="G58" s="138">
        <f t="shared" si="7"/>
        <v>12500</v>
      </c>
      <c r="H58" s="71" t="str">
        <f t="shared" si="3"/>
        <v>шт</v>
      </c>
    </row>
    <row r="59" spans="1:8">
      <c r="A59" s="136"/>
      <c r="B59" s="137"/>
      <c r="C59" s="137" t="s">
        <v>229</v>
      </c>
      <c r="D59" s="138">
        <v>30</v>
      </c>
      <c r="E59" s="137">
        <v>100</v>
      </c>
      <c r="F59" s="138">
        <f>D59*E59</f>
        <v>3000</v>
      </c>
      <c r="G59" s="138">
        <f t="shared" si="7"/>
        <v>3750</v>
      </c>
      <c r="H59" s="71" t="str">
        <f t="shared" si="3"/>
        <v>шт</v>
      </c>
    </row>
    <row r="60" spans="1:8">
      <c r="H60" s="71" t="str">
        <f t="shared" si="3"/>
        <v/>
      </c>
    </row>
    <row r="61" spans="1:8" s="105" customFormat="1">
      <c r="A61" s="102" t="str">
        <f>IF(ISBLANK(VLOOKUP($D$4,'#Служ_'!$D$2:$J$6,7,FALSE))," ",VLOOKUP($D$4,'#Служ_'!$D$2:$J$6,7,FALSE))</f>
        <v xml:space="preserve"> </v>
      </c>
      <c r="B61" s="103"/>
      <c r="C61" s="103"/>
      <c r="D61" s="104"/>
      <c r="E61" s="103"/>
      <c r="F61" s="104"/>
      <c r="G61" s="104"/>
      <c r="H61" s="103" t="str">
        <f t="shared" si="3"/>
        <v/>
      </c>
    </row>
    <row r="62" spans="1:8">
      <c r="B62" s="71" t="s">
        <v>178</v>
      </c>
      <c r="H62" s="71" t="str">
        <f t="shared" si="3"/>
        <v/>
      </c>
    </row>
    <row r="63" spans="1:8">
      <c r="H63" s="71" t="str">
        <f t="shared" si="3"/>
        <v/>
      </c>
    </row>
    <row r="64" spans="1:8">
      <c r="H64" s="71" t="str">
        <f t="shared" si="3"/>
        <v/>
      </c>
    </row>
    <row r="65" spans="1:8" s="70" customFormat="1" ht="27.6">
      <c r="A65" s="69" t="s">
        <v>137</v>
      </c>
      <c r="B65" s="69" t="s">
        <v>184</v>
      </c>
      <c r="C65" s="69" t="s">
        <v>46</v>
      </c>
      <c r="D65" s="69" t="s">
        <v>69</v>
      </c>
      <c r="E65" s="69" t="s">
        <v>67</v>
      </c>
      <c r="F65" s="69" t="s">
        <v>70</v>
      </c>
      <c r="G65" s="69" t="s">
        <v>75</v>
      </c>
      <c r="H65" s="69" t="s">
        <v>185</v>
      </c>
    </row>
    <row r="66" spans="1:8">
      <c r="A66" s="69" t="s">
        <v>138</v>
      </c>
      <c r="B66" s="71" t="s">
        <v>178</v>
      </c>
      <c r="C66" s="71" t="s">
        <v>76</v>
      </c>
      <c r="F66" s="73">
        <f>SUM(F28:F61)*0.05</f>
        <v>32900</v>
      </c>
      <c r="H66" s="71" t="str">
        <f>IF(G66&gt;0,"шт","")</f>
        <v/>
      </c>
    </row>
    <row r="67" spans="1:8">
      <c r="B67" s="71" t="s">
        <v>178</v>
      </c>
      <c r="C67" s="71" t="s">
        <v>71</v>
      </c>
      <c r="F67" s="73">
        <f>SUM(F29:F62)</f>
        <v>658000</v>
      </c>
      <c r="H67" s="71" t="str">
        <f>IF(G67&gt;0,"шт","")</f>
        <v/>
      </c>
    </row>
    <row r="68" spans="1:8">
      <c r="B68" s="71" t="s">
        <v>178</v>
      </c>
      <c r="C68" s="71" t="s">
        <v>74</v>
      </c>
      <c r="F68" s="73">
        <f>SUM(G29:G60)+F66</f>
        <v>860950</v>
      </c>
      <c r="H68" s="71" t="str">
        <f>IF(G68&gt;0,"шт","")</f>
        <v/>
      </c>
    </row>
    <row r="69" spans="1:8">
      <c r="B69" s="71" t="s">
        <v>178</v>
      </c>
      <c r="H69" s="71" t="str">
        <f>IF(G69&gt;0,"шт","")</f>
        <v/>
      </c>
    </row>
    <row r="70" spans="1:8">
      <c r="B70" s="71" t="s">
        <v>178</v>
      </c>
      <c r="H70" s="71" t="str">
        <f>IF(G70&gt;0,"шт","")</f>
        <v/>
      </c>
    </row>
    <row r="71" spans="1:8">
      <c r="H71" s="71"/>
    </row>
    <row r="72" spans="1:8">
      <c r="H72" s="71"/>
    </row>
    <row r="73" spans="1:8">
      <c r="H73" s="71"/>
    </row>
    <row r="74" spans="1:8">
      <c r="H74" s="71"/>
    </row>
    <row r="75" spans="1:8">
      <c r="H75" s="71"/>
    </row>
    <row r="76" spans="1:8">
      <c r="H76" s="71"/>
    </row>
    <row r="77" spans="1:8">
      <c r="H77" s="71"/>
    </row>
    <row r="78" spans="1:8">
      <c r="H78" s="73"/>
    </row>
    <row r="79" spans="1:8">
      <c r="H79" s="73"/>
    </row>
    <row r="80" spans="1:8">
      <c r="H80" s="73"/>
    </row>
    <row r="81" spans="8:8">
      <c r="H81" s="73"/>
    </row>
    <row r="82" spans="8:8">
      <c r="H82" s="71"/>
    </row>
    <row r="83" spans="8:8">
      <c r="H83" s="71"/>
    </row>
    <row r="84" spans="8:8">
      <c r="H84" s="71"/>
    </row>
    <row r="85" spans="8:8">
      <c r="H85" s="71"/>
    </row>
    <row r="86" spans="8:8">
      <c r="H86" s="71"/>
    </row>
    <row r="87" spans="8:8">
      <c r="H87" s="71"/>
    </row>
    <row r="88" spans="8:8">
      <c r="H88" s="71"/>
    </row>
    <row r="89" spans="8:8">
      <c r="H89" s="71"/>
    </row>
    <row r="90" spans="8:8">
      <c r="H90" s="71"/>
    </row>
    <row r="91" spans="8:8">
      <c r="H91" s="7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'#Служ_'!$A$2:$A$5</xm:f>
          </x14:formula1>
          <xm:sqref>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9"/>
  <dimension ref="A1:J91"/>
  <sheetViews>
    <sheetView topLeftCell="A16" workbookViewId="0">
      <selection activeCell="C27" sqref="C27:G58"/>
    </sheetView>
  </sheetViews>
  <sheetFormatPr defaultColWidth="9.109375" defaultRowHeight="13.8"/>
  <cols>
    <col min="1" max="1" width="25" style="69" customWidth="1"/>
    <col min="2" max="2" width="22.88671875" style="71" customWidth="1"/>
    <col min="3" max="3" width="8" style="144" customWidth="1"/>
    <col min="4" max="4" width="66.6640625" style="71" customWidth="1"/>
    <col min="5" max="5" width="29.88671875" style="73" hidden="1" customWidth="1"/>
    <col min="6" max="6" width="6.6640625" style="140" customWidth="1"/>
    <col min="7" max="7" width="7.109375" style="141" customWidth="1"/>
    <col min="8" max="8" width="16" style="73" hidden="1" customWidth="1"/>
    <col min="9" max="9" width="26.33203125" style="73" hidden="1" customWidth="1"/>
    <col min="10" max="10" width="20.109375" style="107" hidden="1" customWidth="1"/>
    <col min="11" max="11" width="8.5546875" style="72" customWidth="1"/>
    <col min="12" max="12" width="72.88671875" style="72" customWidth="1"/>
    <col min="13" max="13" width="22" style="72" customWidth="1"/>
    <col min="14" max="14" width="15" style="72" customWidth="1"/>
    <col min="15" max="15" width="20.109375" style="72" customWidth="1"/>
    <col min="16" max="16" width="23" style="72" customWidth="1"/>
    <col min="17" max="16384" width="9.109375" style="72"/>
  </cols>
  <sheetData>
    <row r="1" spans="1:10" s="70" customFormat="1" ht="41.4">
      <c r="A1" s="69" t="s">
        <v>137</v>
      </c>
      <c r="B1" s="69" t="s">
        <v>184</v>
      </c>
      <c r="C1" s="143"/>
      <c r="D1" s="69" t="s">
        <v>140</v>
      </c>
      <c r="E1" s="69" t="s">
        <v>141</v>
      </c>
      <c r="F1" s="69" t="s">
        <v>204</v>
      </c>
      <c r="G1" s="69" t="s">
        <v>183</v>
      </c>
      <c r="H1" s="69" t="s">
        <v>202</v>
      </c>
      <c r="I1" s="69" t="s">
        <v>203</v>
      </c>
      <c r="J1" s="69" t="s">
        <v>204</v>
      </c>
    </row>
    <row r="2" spans="1:10">
      <c r="A2" s="69" t="s">
        <v>139</v>
      </c>
      <c r="B2" s="71" t="s">
        <v>178</v>
      </c>
      <c r="D2" s="71" t="s">
        <v>165</v>
      </c>
      <c r="E2" s="74"/>
      <c r="H2" s="71"/>
      <c r="I2" s="71"/>
    </row>
    <row r="3" spans="1:10">
      <c r="D3" s="71" t="s">
        <v>129</v>
      </c>
      <c r="E3" s="74" t="s">
        <v>242</v>
      </c>
      <c r="H3" s="71"/>
      <c r="I3" s="71"/>
    </row>
    <row r="4" spans="1:10">
      <c r="B4" s="71" t="s">
        <v>178</v>
      </c>
      <c r="D4" s="71" t="s">
        <v>130</v>
      </c>
      <c r="E4" s="74" t="s">
        <v>191</v>
      </c>
      <c r="H4" s="71"/>
      <c r="I4" s="71"/>
    </row>
    <row r="5" spans="1:10">
      <c r="B5" s="71" t="s">
        <v>178</v>
      </c>
      <c r="D5" s="71" t="s">
        <v>136</v>
      </c>
      <c r="E5" s="74" t="s">
        <v>231</v>
      </c>
      <c r="H5" s="71"/>
      <c r="I5" s="71"/>
    </row>
    <row r="6" spans="1:10">
      <c r="D6" s="71" t="s">
        <v>166</v>
      </c>
      <c r="E6" s="74" t="s">
        <v>254</v>
      </c>
      <c r="H6" s="71"/>
      <c r="I6" s="71"/>
    </row>
    <row r="7" spans="1:10">
      <c r="D7" s="71" t="s">
        <v>222</v>
      </c>
      <c r="E7" s="75">
        <v>2500</v>
      </c>
      <c r="H7" s="71"/>
      <c r="I7" s="71"/>
    </row>
    <row r="8" spans="1:10">
      <c r="D8" s="71" t="s">
        <v>133</v>
      </c>
      <c r="E8" s="75">
        <v>2000</v>
      </c>
      <c r="H8" s="71"/>
      <c r="I8" s="71"/>
    </row>
    <row r="9" spans="1:10">
      <c r="D9" s="71" t="s">
        <v>134</v>
      </c>
      <c r="E9" s="75">
        <v>4500</v>
      </c>
      <c r="H9" s="71"/>
      <c r="I9" s="71"/>
    </row>
    <row r="10" spans="1:10">
      <c r="D10" s="71" t="s">
        <v>135</v>
      </c>
      <c r="E10" s="75">
        <v>1200</v>
      </c>
      <c r="H10" s="71"/>
      <c r="I10" s="71"/>
    </row>
    <row r="11" spans="1:10">
      <c r="B11" s="71" t="s">
        <v>178</v>
      </c>
      <c r="D11" s="71" t="s">
        <v>131</v>
      </c>
      <c r="E11" s="74" t="s">
        <v>243</v>
      </c>
      <c r="H11" s="71"/>
      <c r="I11" s="71"/>
    </row>
    <row r="12" spans="1:10">
      <c r="B12" s="71" t="s">
        <v>178</v>
      </c>
      <c r="D12" s="71" t="s">
        <v>68</v>
      </c>
      <c r="E12" s="76">
        <f ca="1">TODAY()</f>
        <v>45694</v>
      </c>
      <c r="H12" s="71"/>
      <c r="I12" s="71"/>
    </row>
    <row r="13" spans="1:10">
      <c r="B13" s="71" t="s">
        <v>178</v>
      </c>
      <c r="D13" s="71" t="s">
        <v>163</v>
      </c>
      <c r="E13" s="74"/>
      <c r="H13" s="71"/>
      <c r="I13" s="71"/>
    </row>
    <row r="14" spans="1:10">
      <c r="B14" s="71" t="s">
        <v>178</v>
      </c>
      <c r="D14" s="71" t="s">
        <v>187</v>
      </c>
      <c r="E14" s="74"/>
      <c r="H14" s="71"/>
      <c r="I14" s="71"/>
    </row>
    <row r="15" spans="1:10">
      <c r="B15" s="71" t="s">
        <v>178</v>
      </c>
      <c r="D15" s="71" t="s">
        <v>164</v>
      </c>
      <c r="E15" s="74" t="s">
        <v>244</v>
      </c>
      <c r="H15" s="71"/>
      <c r="I15" s="71"/>
    </row>
    <row r="16" spans="1:10">
      <c r="D16" s="71" t="s">
        <v>205</v>
      </c>
      <c r="E16" s="74" t="s">
        <v>213</v>
      </c>
      <c r="H16" s="71"/>
      <c r="I16" s="71"/>
    </row>
    <row r="17" spans="1:10">
      <c r="B17" s="71" t="s">
        <v>178</v>
      </c>
      <c r="D17" s="71" t="s">
        <v>206</v>
      </c>
      <c r="E17" s="74" t="s">
        <v>214</v>
      </c>
      <c r="H17" s="71"/>
      <c r="I17" s="71"/>
    </row>
    <row r="18" spans="1:10">
      <c r="B18" s="71" t="s">
        <v>178</v>
      </c>
      <c r="D18" s="71" t="s">
        <v>208</v>
      </c>
      <c r="E18" s="74" t="s">
        <v>214</v>
      </c>
      <c r="H18" s="71"/>
      <c r="I18" s="71"/>
    </row>
    <row r="19" spans="1:10">
      <c r="B19" s="71" t="s">
        <v>178</v>
      </c>
      <c r="D19" s="71" t="s">
        <v>209</v>
      </c>
      <c r="E19" s="74" t="s">
        <v>214</v>
      </c>
      <c r="H19" s="71"/>
      <c r="I19" s="71"/>
    </row>
    <row r="20" spans="1:10">
      <c r="B20" s="71" t="s">
        <v>178</v>
      </c>
      <c r="D20" s="71" t="s">
        <v>210</v>
      </c>
      <c r="E20" s="74" t="s">
        <v>214</v>
      </c>
      <c r="H20" s="71"/>
      <c r="I20" s="71"/>
    </row>
    <row r="21" spans="1:10">
      <c r="B21" s="71" t="s">
        <v>178</v>
      </c>
      <c r="D21" s="71" t="s">
        <v>215</v>
      </c>
      <c r="E21" s="74" t="s">
        <v>214</v>
      </c>
      <c r="H21" s="71"/>
      <c r="I21" s="71"/>
    </row>
    <row r="22" spans="1:10">
      <c r="B22" s="71" t="s">
        <v>178</v>
      </c>
      <c r="D22" s="71" t="s">
        <v>216</v>
      </c>
      <c r="E22" s="74" t="s">
        <v>214</v>
      </c>
      <c r="H22" s="71"/>
      <c r="I22" s="71"/>
    </row>
    <row r="23" spans="1:10">
      <c r="B23" s="71" t="s">
        <v>178</v>
      </c>
      <c r="D23" s="71" t="s">
        <v>207</v>
      </c>
      <c r="E23" s="74" t="s">
        <v>214</v>
      </c>
      <c r="H23" s="71"/>
      <c r="I23" s="71"/>
    </row>
    <row r="24" spans="1:10">
      <c r="B24" s="71" t="s">
        <v>178</v>
      </c>
      <c r="D24" s="71" t="s">
        <v>211</v>
      </c>
      <c r="E24" s="74" t="s">
        <v>214</v>
      </c>
      <c r="H24" s="71"/>
      <c r="I24" s="71"/>
    </row>
    <row r="25" spans="1:10">
      <c r="B25" s="71" t="s">
        <v>178</v>
      </c>
      <c r="D25" s="71" t="s">
        <v>212</v>
      </c>
      <c r="E25" s="74" t="s">
        <v>214</v>
      </c>
      <c r="H25" s="71"/>
      <c r="I25" s="71"/>
    </row>
    <row r="26" spans="1:10" ht="14.4" thickBot="1">
      <c r="C26" s="149"/>
      <c r="D26" s="150" t="s">
        <v>233</v>
      </c>
      <c r="E26" s="151" t="s">
        <v>213</v>
      </c>
      <c r="F26" s="152"/>
      <c r="G26" s="153"/>
      <c r="H26" s="71"/>
      <c r="I26" s="71"/>
    </row>
    <row r="27" spans="1:10" s="70" customFormat="1" ht="27.6">
      <c r="A27" s="69" t="s">
        <v>137</v>
      </c>
      <c r="B27" s="145" t="s">
        <v>184</v>
      </c>
      <c r="C27" s="163" t="s">
        <v>255</v>
      </c>
      <c r="D27" s="164" t="s">
        <v>46</v>
      </c>
      <c r="E27" s="164" t="s">
        <v>180</v>
      </c>
      <c r="F27" s="164" t="s">
        <v>185</v>
      </c>
      <c r="G27" s="165" t="s">
        <v>67</v>
      </c>
      <c r="H27" s="147" t="s">
        <v>181</v>
      </c>
      <c r="I27" s="69" t="s">
        <v>182</v>
      </c>
      <c r="J27" s="69" t="s">
        <v>185</v>
      </c>
    </row>
    <row r="28" spans="1:10">
      <c r="A28" s="69" t="str">
        <f>IF(ISBLANK(VLOOKUP($E$4,'#Служ_'!$D$2:$J$6,2,FALSE))," ",VLOOKUP($E$4,'#Служ_'!$D$2:$J$6,2,FALSE))</f>
        <v>Корпус</v>
      </c>
      <c r="B28" s="146"/>
      <c r="C28" s="168">
        <v>1</v>
      </c>
      <c r="D28" s="158" t="str">
        <f>IF(ISBLANK(VLOOKUP($E$4,'#Служ_'!$D$2:$J$6,2,FALSE))," ",VLOOKUP($E$4,'#Служ_'!$D$2:$J$6,2,FALSE))</f>
        <v>Корпус</v>
      </c>
      <c r="E28" s="159"/>
      <c r="F28" s="160" t="str">
        <f t="shared" ref="F28:F34" si="0">IF(E28&gt;0,"шт","")</f>
        <v/>
      </c>
      <c r="G28" s="167"/>
      <c r="H28" s="148"/>
      <c r="J28" s="71" t="str">
        <f t="shared" ref="J28:J34" si="1">IF(I28&gt;0,"шт","")</f>
        <v/>
      </c>
    </row>
    <row r="29" spans="1:10" ht="16.8" customHeight="1">
      <c r="B29" s="146"/>
      <c r="C29" s="166" t="s">
        <v>262</v>
      </c>
      <c r="D29" s="161" t="s">
        <v>256</v>
      </c>
      <c r="E29" s="159">
        <v>80000</v>
      </c>
      <c r="F29" s="160" t="str">
        <f t="shared" si="0"/>
        <v>шт</v>
      </c>
      <c r="G29" s="167">
        <v>1</v>
      </c>
      <c r="H29" s="148">
        <f t="shared" ref="H29:H33" si="2">E29*G29</f>
        <v>80000</v>
      </c>
      <c r="I29" s="73">
        <f>H29*1.3</f>
        <v>104000</v>
      </c>
      <c r="J29" s="71" t="str">
        <f t="shared" si="1"/>
        <v>шт</v>
      </c>
    </row>
    <row r="30" spans="1:10" ht="16.8" customHeight="1">
      <c r="B30" s="146"/>
      <c r="C30" s="166" t="s">
        <v>263</v>
      </c>
      <c r="D30" s="161" t="s">
        <v>257</v>
      </c>
      <c r="E30" s="159">
        <v>5000</v>
      </c>
      <c r="F30" s="160" t="str">
        <f t="shared" si="0"/>
        <v>шт</v>
      </c>
      <c r="G30" s="167">
        <v>1</v>
      </c>
      <c r="H30" s="148">
        <f t="shared" si="2"/>
        <v>5000</v>
      </c>
      <c r="I30" s="73">
        <f>H30*1.3</f>
        <v>6500</v>
      </c>
      <c r="J30" s="71" t="str">
        <f t="shared" si="1"/>
        <v>шт</v>
      </c>
    </row>
    <row r="31" spans="1:10" ht="16.8" customHeight="1">
      <c r="B31" s="146"/>
      <c r="C31" s="166" t="s">
        <v>264</v>
      </c>
      <c r="D31" s="161" t="s">
        <v>258</v>
      </c>
      <c r="E31" s="159">
        <v>38000</v>
      </c>
      <c r="F31" s="160" t="str">
        <f t="shared" si="0"/>
        <v>шт</v>
      </c>
      <c r="G31" s="167">
        <v>1</v>
      </c>
      <c r="H31" s="148">
        <f t="shared" si="2"/>
        <v>38000</v>
      </c>
      <c r="I31" s="73">
        <f>H31*1.3</f>
        <v>49400</v>
      </c>
      <c r="J31" s="71" t="str">
        <f t="shared" si="1"/>
        <v>шт</v>
      </c>
    </row>
    <row r="32" spans="1:10" ht="16.8" customHeight="1">
      <c r="B32" s="146"/>
      <c r="C32" s="166" t="s">
        <v>265</v>
      </c>
      <c r="D32" s="161" t="s">
        <v>259</v>
      </c>
      <c r="E32" s="159">
        <v>5000</v>
      </c>
      <c r="F32" s="160" t="str">
        <f t="shared" si="0"/>
        <v>шт</v>
      </c>
      <c r="G32" s="167">
        <v>1</v>
      </c>
      <c r="H32" s="148">
        <f t="shared" si="2"/>
        <v>5000</v>
      </c>
      <c r="I32" s="73">
        <f>H32*1.3</f>
        <v>6500</v>
      </c>
      <c r="J32" s="71" t="str">
        <f t="shared" si="1"/>
        <v>шт</v>
      </c>
    </row>
    <row r="33" spans="1:10" ht="16.8" hidden="1" customHeight="1">
      <c r="B33" s="146" t="s">
        <v>178</v>
      </c>
      <c r="C33" s="166" t="s">
        <v>291</v>
      </c>
      <c r="D33" s="162" t="s">
        <v>221</v>
      </c>
      <c r="E33" s="159">
        <f>SUM(E29:E30)*0.04</f>
        <v>3400</v>
      </c>
      <c r="F33" s="160"/>
      <c r="G33" s="167">
        <v>1</v>
      </c>
      <c r="H33" s="148">
        <f t="shared" si="2"/>
        <v>3400</v>
      </c>
      <c r="I33" s="73">
        <f>H33</f>
        <v>3400</v>
      </c>
      <c r="J33" s="71"/>
    </row>
    <row r="34" spans="1:10" hidden="1">
      <c r="B34" s="146"/>
      <c r="C34" s="166"/>
      <c r="D34" s="162"/>
      <c r="E34" s="159"/>
      <c r="F34" s="160" t="str">
        <f t="shared" si="0"/>
        <v/>
      </c>
      <c r="G34" s="167"/>
      <c r="H34" s="148"/>
      <c r="J34" s="71" t="str">
        <f t="shared" si="1"/>
        <v/>
      </c>
    </row>
    <row r="35" spans="1:10" ht="28.8" customHeight="1">
      <c r="A35" s="69" t="str">
        <f>IF(ISBLANK(VLOOKUP($E$4,'#Служ_'!$D$2:$J$6,3,FALSE))," ",VLOOKUP($E$4,'#Служ_'!$D$2:$J$6,3,FALSE))</f>
        <v>Отсек высоковольтного выключателя</v>
      </c>
      <c r="B35" s="146"/>
      <c r="C35" s="168" t="s">
        <v>266</v>
      </c>
      <c r="D35" s="158" t="str">
        <f>IF(ISBLANK(VLOOKUP($E$4,'#Служ_'!$D$2:$J$6,3,FALSE))," ",VLOOKUP($E$4,'#Служ_'!$D$2:$J$6,3,FALSE))</f>
        <v>Отсек высоковольтного выключателя</v>
      </c>
      <c r="E35" s="159"/>
      <c r="F35" s="160"/>
      <c r="G35" s="167"/>
      <c r="H35" s="148"/>
      <c r="J35" s="71"/>
    </row>
    <row r="36" spans="1:10" ht="27.6">
      <c r="B36" s="146"/>
      <c r="C36" s="166" t="s">
        <v>267</v>
      </c>
      <c r="D36" s="162" t="s">
        <v>241</v>
      </c>
      <c r="E36" s="159">
        <v>145000</v>
      </c>
      <c r="F36" s="160" t="str">
        <f t="shared" ref="F36:F64" si="3">IF(E36&gt;0,"шт","")</f>
        <v>шт</v>
      </c>
      <c r="G36" s="167">
        <v>1</v>
      </c>
      <c r="H36" s="148">
        <f>(E36*G36)</f>
        <v>145000</v>
      </c>
      <c r="I36" s="73">
        <f t="shared" ref="I36:I46" si="4">H36*1.25</f>
        <v>181250</v>
      </c>
      <c r="J36" s="71" t="str">
        <f t="shared" ref="J36:J64" si="5">IF(I36&gt;0,"шт","")</f>
        <v>шт</v>
      </c>
    </row>
    <row r="37" spans="1:10">
      <c r="B37" s="146"/>
      <c r="C37" s="166" t="s">
        <v>268</v>
      </c>
      <c r="D37" s="162" t="s">
        <v>247</v>
      </c>
      <c r="E37" s="159">
        <v>45000</v>
      </c>
      <c r="F37" s="160" t="str">
        <f t="shared" si="3"/>
        <v>шт</v>
      </c>
      <c r="G37" s="167">
        <v>1</v>
      </c>
      <c r="H37" s="148">
        <f t="shared" ref="H37:H46" si="6">E37*G37</f>
        <v>45000</v>
      </c>
      <c r="I37" s="73">
        <f t="shared" si="4"/>
        <v>56250</v>
      </c>
      <c r="J37" s="71" t="str">
        <f t="shared" si="5"/>
        <v>шт</v>
      </c>
    </row>
    <row r="38" spans="1:10">
      <c r="B38" s="146"/>
      <c r="C38" s="166" t="s">
        <v>269</v>
      </c>
      <c r="D38" s="162" t="s">
        <v>248</v>
      </c>
      <c r="E38" s="159">
        <v>27500</v>
      </c>
      <c r="F38" s="160" t="str">
        <f t="shared" si="3"/>
        <v>шт</v>
      </c>
      <c r="G38" s="167">
        <v>1</v>
      </c>
      <c r="H38" s="148">
        <f t="shared" si="6"/>
        <v>27500</v>
      </c>
      <c r="I38" s="73">
        <f t="shared" si="4"/>
        <v>34375</v>
      </c>
      <c r="J38" s="71" t="str">
        <f t="shared" si="5"/>
        <v>шт</v>
      </c>
    </row>
    <row r="39" spans="1:10">
      <c r="B39" s="146"/>
      <c r="C39" s="166" t="s">
        <v>270</v>
      </c>
      <c r="D39" s="162" t="s">
        <v>246</v>
      </c>
      <c r="E39" s="159">
        <v>19000</v>
      </c>
      <c r="F39" s="160" t="str">
        <f t="shared" si="3"/>
        <v>шт</v>
      </c>
      <c r="G39" s="167">
        <v>2</v>
      </c>
      <c r="H39" s="148">
        <f t="shared" si="6"/>
        <v>38000</v>
      </c>
      <c r="I39" s="73">
        <f t="shared" si="4"/>
        <v>47500</v>
      </c>
      <c r="J39" s="71" t="str">
        <f t="shared" si="5"/>
        <v>шт</v>
      </c>
    </row>
    <row r="40" spans="1:10">
      <c r="B40" s="146"/>
      <c r="C40" s="166" t="s">
        <v>271</v>
      </c>
      <c r="D40" s="162" t="s">
        <v>230</v>
      </c>
      <c r="E40" s="159">
        <v>6000</v>
      </c>
      <c r="F40" s="160" t="str">
        <f t="shared" si="3"/>
        <v>шт</v>
      </c>
      <c r="G40" s="167">
        <v>1</v>
      </c>
      <c r="H40" s="148">
        <f t="shared" si="6"/>
        <v>6000</v>
      </c>
      <c r="I40" s="73">
        <f t="shared" si="4"/>
        <v>7500</v>
      </c>
      <c r="J40" s="71" t="str">
        <f t="shared" si="5"/>
        <v>шт</v>
      </c>
    </row>
    <row r="41" spans="1:10">
      <c r="B41" s="146"/>
      <c r="C41" s="166" t="s">
        <v>272</v>
      </c>
      <c r="D41" s="162" t="s">
        <v>237</v>
      </c>
      <c r="E41" s="159">
        <v>92300</v>
      </c>
      <c r="F41" s="160" t="str">
        <f t="shared" si="3"/>
        <v>шт</v>
      </c>
      <c r="G41" s="167">
        <v>1</v>
      </c>
      <c r="H41" s="148">
        <f t="shared" si="6"/>
        <v>92300</v>
      </c>
      <c r="I41" s="73">
        <f t="shared" si="4"/>
        <v>115375</v>
      </c>
      <c r="J41" s="71" t="str">
        <f t="shared" si="5"/>
        <v>шт</v>
      </c>
    </row>
    <row r="42" spans="1:10">
      <c r="B42" s="146"/>
      <c r="C42" s="166" t="s">
        <v>273</v>
      </c>
      <c r="D42" s="162" t="s">
        <v>238</v>
      </c>
      <c r="E42" s="159">
        <v>42500</v>
      </c>
      <c r="F42" s="160" t="str">
        <f t="shared" si="3"/>
        <v>шт</v>
      </c>
      <c r="G42" s="167">
        <v>1</v>
      </c>
      <c r="H42" s="148">
        <f t="shared" si="6"/>
        <v>42500</v>
      </c>
      <c r="I42" s="73">
        <f t="shared" si="4"/>
        <v>53125</v>
      </c>
      <c r="J42" s="71" t="str">
        <f t="shared" si="5"/>
        <v>шт</v>
      </c>
    </row>
    <row r="43" spans="1:10">
      <c r="B43" s="146"/>
      <c r="C43" s="166" t="s">
        <v>274</v>
      </c>
      <c r="D43" s="162" t="s">
        <v>239</v>
      </c>
      <c r="E43" s="159">
        <v>2900</v>
      </c>
      <c r="F43" s="160" t="str">
        <f t="shared" si="3"/>
        <v>шт</v>
      </c>
      <c r="G43" s="167">
        <v>6</v>
      </c>
      <c r="H43" s="148">
        <f t="shared" si="6"/>
        <v>17400</v>
      </c>
      <c r="I43" s="73">
        <f t="shared" si="4"/>
        <v>21750</v>
      </c>
      <c r="J43" s="71" t="str">
        <f t="shared" si="5"/>
        <v>шт</v>
      </c>
    </row>
    <row r="44" spans="1:10">
      <c r="B44" s="146"/>
      <c r="C44" s="166" t="s">
        <v>275</v>
      </c>
      <c r="D44" s="162" t="s">
        <v>224</v>
      </c>
      <c r="E44" s="159">
        <v>2900</v>
      </c>
      <c r="F44" s="160" t="str">
        <f t="shared" si="3"/>
        <v>шт</v>
      </c>
      <c r="G44" s="167">
        <v>3</v>
      </c>
      <c r="H44" s="148">
        <f t="shared" si="6"/>
        <v>8700</v>
      </c>
      <c r="I44" s="73">
        <f t="shared" si="4"/>
        <v>10875</v>
      </c>
      <c r="J44" s="71" t="str">
        <f t="shared" si="5"/>
        <v>шт</v>
      </c>
    </row>
    <row r="45" spans="1:10">
      <c r="B45" s="146"/>
      <c r="C45" s="166" t="s">
        <v>276</v>
      </c>
      <c r="D45" s="162" t="s">
        <v>225</v>
      </c>
      <c r="E45" s="159">
        <v>1200</v>
      </c>
      <c r="F45" s="160" t="str">
        <f t="shared" si="3"/>
        <v>шт</v>
      </c>
      <c r="G45" s="167">
        <v>3</v>
      </c>
      <c r="H45" s="148">
        <f t="shared" si="6"/>
        <v>3600</v>
      </c>
      <c r="I45" s="73">
        <f t="shared" si="4"/>
        <v>4500</v>
      </c>
      <c r="J45" s="71" t="str">
        <f t="shared" si="5"/>
        <v>шт</v>
      </c>
    </row>
    <row r="46" spans="1:10">
      <c r="B46" s="146"/>
      <c r="C46" s="166" t="s">
        <v>292</v>
      </c>
      <c r="D46" s="162" t="s">
        <v>223</v>
      </c>
      <c r="E46" s="159">
        <v>4100</v>
      </c>
      <c r="F46" s="160" t="str">
        <f t="shared" si="3"/>
        <v>шт</v>
      </c>
      <c r="G46" s="167">
        <v>1</v>
      </c>
      <c r="H46" s="148">
        <f t="shared" si="6"/>
        <v>4100</v>
      </c>
      <c r="I46" s="73">
        <f t="shared" si="4"/>
        <v>5125</v>
      </c>
      <c r="J46" s="71" t="str">
        <f t="shared" si="5"/>
        <v>шт</v>
      </c>
    </row>
    <row r="47" spans="1:10">
      <c r="A47" s="69" t="str">
        <f>IF(ISBLANK(VLOOKUP($E$4,'#Служ_'!$D$2:$J$6,4,FALSE))," ",VLOOKUP($E$4,'#Служ_'!$D$2:$J$6,4,FALSE))</f>
        <v>Отсек РЗА</v>
      </c>
      <c r="B47" s="146"/>
      <c r="C47" s="168" t="s">
        <v>277</v>
      </c>
      <c r="D47" s="158" t="str">
        <f>IF(ISBLANK(VLOOKUP($E$4,'#Служ_'!$D$2:$J$6,4,FALSE))," ",VLOOKUP($E$4,'#Служ_'!$D$2:$J$6,4,FALSE))</f>
        <v>Отсек РЗА</v>
      </c>
      <c r="E47" s="159"/>
      <c r="F47" s="160" t="str">
        <f t="shared" si="3"/>
        <v/>
      </c>
      <c r="G47" s="167"/>
      <c r="H47" s="148"/>
      <c r="J47" s="71" t="str">
        <f t="shared" si="5"/>
        <v/>
      </c>
    </row>
    <row r="48" spans="1:10">
      <c r="B48" s="146"/>
      <c r="C48" s="166" t="s">
        <v>278</v>
      </c>
      <c r="D48" s="162" t="s">
        <v>234</v>
      </c>
      <c r="E48" s="159">
        <v>55000</v>
      </c>
      <c r="F48" s="160" t="str">
        <f t="shared" si="3"/>
        <v>шт</v>
      </c>
      <c r="G48" s="167">
        <v>1</v>
      </c>
      <c r="H48" s="148">
        <f t="shared" ref="H48:H50" si="7">E48*G48</f>
        <v>55000</v>
      </c>
      <c r="I48" s="73">
        <f>H48*1.25</f>
        <v>68750</v>
      </c>
      <c r="J48" s="71" t="str">
        <f t="shared" si="5"/>
        <v>шт</v>
      </c>
    </row>
    <row r="49" spans="1:10">
      <c r="B49" s="146"/>
      <c r="C49" s="166" t="s">
        <v>279</v>
      </c>
      <c r="D49" s="162" t="s">
        <v>240</v>
      </c>
      <c r="E49" s="159">
        <v>1500</v>
      </c>
      <c r="F49" s="160" t="str">
        <f t="shared" si="3"/>
        <v>шт</v>
      </c>
      <c r="G49" s="167">
        <v>1</v>
      </c>
      <c r="H49" s="148">
        <f t="shared" si="7"/>
        <v>1500</v>
      </c>
      <c r="I49" s="73">
        <f>H49*1.25</f>
        <v>1875</v>
      </c>
      <c r="J49" s="71" t="str">
        <f t="shared" si="5"/>
        <v>шт</v>
      </c>
    </row>
    <row r="50" spans="1:10">
      <c r="B50" s="146"/>
      <c r="C50" s="166" t="s">
        <v>280</v>
      </c>
      <c r="D50" s="162" t="s">
        <v>235</v>
      </c>
      <c r="E50" s="159">
        <v>1500</v>
      </c>
      <c r="F50" s="160" t="str">
        <f t="shared" si="3"/>
        <v>шт</v>
      </c>
      <c r="G50" s="167">
        <v>1</v>
      </c>
      <c r="H50" s="148">
        <f t="shared" si="7"/>
        <v>1500</v>
      </c>
      <c r="I50" s="73">
        <f>H50*1.25</f>
        <v>1875</v>
      </c>
      <c r="J50" s="71" t="str">
        <f t="shared" si="5"/>
        <v>шт</v>
      </c>
    </row>
    <row r="51" spans="1:10" hidden="1">
      <c r="B51" s="146"/>
      <c r="C51" s="166"/>
      <c r="D51" s="162"/>
      <c r="E51" s="159"/>
      <c r="F51" s="160" t="str">
        <f t="shared" si="3"/>
        <v/>
      </c>
      <c r="G51" s="167"/>
      <c r="H51" s="148"/>
      <c r="J51" s="71" t="str">
        <f t="shared" si="5"/>
        <v/>
      </c>
    </row>
    <row r="52" spans="1:10">
      <c r="A52" s="69" t="str">
        <f>IF(ISBLANK(VLOOKUP($E$4,'#Служ_'!$D$2:$J$6,5,FALSE))," ",VLOOKUP($E$4,'#Служ_'!$D$2:$J$6,5,FALSE))</f>
        <v>Прочее</v>
      </c>
      <c r="B52" s="146"/>
      <c r="C52" s="168" t="s">
        <v>282</v>
      </c>
      <c r="D52" s="158" t="s">
        <v>260</v>
      </c>
      <c r="E52" s="159"/>
      <c r="F52" s="160" t="str">
        <f t="shared" si="3"/>
        <v/>
      </c>
      <c r="G52" s="167"/>
      <c r="H52" s="148"/>
      <c r="J52" s="71" t="str">
        <f t="shared" si="5"/>
        <v/>
      </c>
    </row>
    <row r="53" spans="1:10">
      <c r="B53" s="146"/>
      <c r="C53" s="166" t="s">
        <v>283</v>
      </c>
      <c r="D53" s="162" t="s">
        <v>226</v>
      </c>
      <c r="E53" s="159">
        <v>2000</v>
      </c>
      <c r="F53" s="160" t="str">
        <f t="shared" si="3"/>
        <v>шт</v>
      </c>
      <c r="G53" s="167">
        <v>1</v>
      </c>
      <c r="H53" s="148">
        <f t="shared" ref="H53:H57" si="8">E53*G53</f>
        <v>2000</v>
      </c>
      <c r="I53" s="73">
        <f t="shared" ref="I53:I59" si="9">H53*1.25</f>
        <v>2500</v>
      </c>
      <c r="J53" s="71" t="str">
        <f t="shared" si="5"/>
        <v>шт</v>
      </c>
    </row>
    <row r="54" spans="1:10">
      <c r="B54" s="146"/>
      <c r="C54" s="166" t="s">
        <v>284</v>
      </c>
      <c r="D54" s="162" t="s">
        <v>227</v>
      </c>
      <c r="E54" s="159">
        <v>2000</v>
      </c>
      <c r="F54" s="160" t="str">
        <f t="shared" si="3"/>
        <v>шт</v>
      </c>
      <c r="G54" s="167">
        <v>1</v>
      </c>
      <c r="H54" s="148">
        <f t="shared" si="8"/>
        <v>2000</v>
      </c>
      <c r="I54" s="73">
        <f t="shared" si="9"/>
        <v>2500</v>
      </c>
      <c r="J54" s="71" t="str">
        <f t="shared" si="5"/>
        <v>шт</v>
      </c>
    </row>
    <row r="55" spans="1:10">
      <c r="B55" s="146"/>
      <c r="C55" s="166" t="s">
        <v>286</v>
      </c>
      <c r="D55" s="162" t="s">
        <v>228</v>
      </c>
      <c r="E55" s="159">
        <v>1500</v>
      </c>
      <c r="F55" s="160" t="str">
        <f t="shared" si="3"/>
        <v>шт</v>
      </c>
      <c r="G55" s="167">
        <v>2</v>
      </c>
      <c r="H55" s="148">
        <f t="shared" si="8"/>
        <v>3000</v>
      </c>
      <c r="I55" s="73">
        <f t="shared" si="9"/>
        <v>3750</v>
      </c>
      <c r="J55" s="71" t="str">
        <f t="shared" si="5"/>
        <v>шт</v>
      </c>
    </row>
    <row r="56" spans="1:10">
      <c r="B56" s="146"/>
      <c r="C56" s="166" t="s">
        <v>287</v>
      </c>
      <c r="D56" s="162" t="s">
        <v>251</v>
      </c>
      <c r="E56" s="159">
        <v>3500</v>
      </c>
      <c r="F56" s="160" t="str">
        <f t="shared" si="3"/>
        <v>шт</v>
      </c>
      <c r="G56" s="167">
        <v>1</v>
      </c>
      <c r="H56" s="148">
        <f t="shared" si="8"/>
        <v>3500</v>
      </c>
      <c r="I56" s="73">
        <f t="shared" si="9"/>
        <v>4375</v>
      </c>
      <c r="J56" s="71" t="str">
        <f t="shared" si="5"/>
        <v>шт</v>
      </c>
    </row>
    <row r="57" spans="1:10">
      <c r="B57" s="146"/>
      <c r="C57" s="166" t="s">
        <v>288</v>
      </c>
      <c r="D57" s="162" t="s">
        <v>252</v>
      </c>
      <c r="E57" s="159">
        <v>15000</v>
      </c>
      <c r="F57" s="160" t="str">
        <f t="shared" si="3"/>
        <v>шт</v>
      </c>
      <c r="G57" s="167">
        <v>1</v>
      </c>
      <c r="H57" s="148">
        <f t="shared" si="8"/>
        <v>15000</v>
      </c>
      <c r="I57" s="73">
        <f t="shared" si="9"/>
        <v>18750</v>
      </c>
      <c r="J57" s="71" t="str">
        <f t="shared" si="5"/>
        <v>шт</v>
      </c>
    </row>
    <row r="58" spans="1:10" ht="97.2" thickBot="1">
      <c r="B58" s="146" t="s">
        <v>178</v>
      </c>
      <c r="C58" s="169" t="s">
        <v>285</v>
      </c>
      <c r="D58" s="170" t="s">
        <v>253</v>
      </c>
      <c r="E58" s="171">
        <v>10000</v>
      </c>
      <c r="F58" s="172" t="str">
        <f t="shared" si="3"/>
        <v>шт</v>
      </c>
      <c r="G58" s="173">
        <v>1</v>
      </c>
      <c r="H58" s="148">
        <f>E58*G58</f>
        <v>10000</v>
      </c>
      <c r="I58" s="73">
        <f t="shared" si="9"/>
        <v>12500</v>
      </c>
      <c r="J58" s="71" t="str">
        <f t="shared" si="5"/>
        <v>шт</v>
      </c>
    </row>
    <row r="59" spans="1:10" hidden="1">
      <c r="C59" s="154"/>
      <c r="D59" s="155" t="s">
        <v>229</v>
      </c>
      <c r="E59" s="156">
        <v>30</v>
      </c>
      <c r="F59" s="157" t="str">
        <f t="shared" si="3"/>
        <v>шт</v>
      </c>
      <c r="G59" s="157">
        <v>100</v>
      </c>
      <c r="H59" s="73">
        <f>E59*G59</f>
        <v>3000</v>
      </c>
      <c r="I59" s="73">
        <f t="shared" si="9"/>
        <v>3750</v>
      </c>
      <c r="J59" s="71" t="str">
        <f t="shared" si="5"/>
        <v>шт</v>
      </c>
    </row>
    <row r="60" spans="1:10">
      <c r="F60" s="141" t="str">
        <f t="shared" si="3"/>
        <v/>
      </c>
      <c r="J60" s="71" t="str">
        <f t="shared" si="5"/>
        <v/>
      </c>
    </row>
    <row r="61" spans="1:10">
      <c r="A61" s="69" t="str">
        <f>IF(ISBLANK(VLOOKUP($E$4,'#Служ_'!$D$2:$J$6,7,FALSE))," ",VLOOKUP($E$4,'#Служ_'!$D$2:$J$6,7,FALSE))</f>
        <v xml:space="preserve"> </v>
      </c>
      <c r="F61" s="141" t="str">
        <f t="shared" si="3"/>
        <v/>
      </c>
      <c r="J61" s="71" t="str">
        <f t="shared" si="5"/>
        <v/>
      </c>
    </row>
    <row r="62" spans="1:10">
      <c r="B62" s="71" t="s">
        <v>178</v>
      </c>
      <c r="F62" s="141" t="str">
        <f t="shared" si="3"/>
        <v/>
      </c>
      <c r="J62" s="71" t="str">
        <f t="shared" si="5"/>
        <v/>
      </c>
    </row>
    <row r="63" spans="1:10">
      <c r="F63" s="141" t="str">
        <f t="shared" si="3"/>
        <v/>
      </c>
      <c r="J63" s="71" t="str">
        <f t="shared" si="5"/>
        <v/>
      </c>
    </row>
    <row r="64" spans="1:10">
      <c r="F64" s="141" t="str">
        <f t="shared" si="3"/>
        <v/>
      </c>
      <c r="J64" s="71" t="str">
        <f t="shared" si="5"/>
        <v/>
      </c>
    </row>
    <row r="65" spans="1:10" s="70" customFormat="1" ht="27.6">
      <c r="A65" s="69" t="s">
        <v>137</v>
      </c>
      <c r="B65" s="69" t="s">
        <v>184</v>
      </c>
      <c r="C65" s="143"/>
      <c r="D65" s="69" t="s">
        <v>46</v>
      </c>
      <c r="E65" s="69" t="s">
        <v>69</v>
      </c>
      <c r="F65" s="69" t="s">
        <v>185</v>
      </c>
      <c r="G65" s="69" t="s">
        <v>67</v>
      </c>
      <c r="H65" s="69" t="s">
        <v>70</v>
      </c>
      <c r="I65" s="69" t="s">
        <v>75</v>
      </c>
      <c r="J65" s="69" t="s">
        <v>185</v>
      </c>
    </row>
    <row r="66" spans="1:10">
      <c r="A66" s="69" t="s">
        <v>138</v>
      </c>
      <c r="B66" s="71" t="s">
        <v>178</v>
      </c>
      <c r="D66" s="71" t="s">
        <v>76</v>
      </c>
      <c r="F66" s="141" t="str">
        <f>IF(E66&gt;0,"шт","")</f>
        <v/>
      </c>
      <c r="H66" s="73">
        <f>SUM(H28:H61)*0.05</f>
        <v>32900</v>
      </c>
      <c r="J66" s="71" t="str">
        <f>IF(I66&gt;0,"шт","")</f>
        <v/>
      </c>
    </row>
    <row r="67" spans="1:10">
      <c r="B67" s="71" t="s">
        <v>178</v>
      </c>
      <c r="D67" s="71" t="s">
        <v>71</v>
      </c>
      <c r="F67" s="141" t="str">
        <f>IF(E67&gt;0,"шт","")</f>
        <v/>
      </c>
      <c r="H67" s="73">
        <f>SUM(H29:H62)</f>
        <v>658000</v>
      </c>
      <c r="J67" s="71" t="str">
        <f>IF(I67&gt;0,"шт","")</f>
        <v/>
      </c>
    </row>
    <row r="68" spans="1:10">
      <c r="B68" s="71" t="s">
        <v>178</v>
      </c>
      <c r="D68" s="71" t="s">
        <v>74</v>
      </c>
      <c r="F68" s="141" t="str">
        <f>IF(E68&gt;0,"шт","")</f>
        <v/>
      </c>
      <c r="H68" s="73">
        <f>SUM(I29:I60)+H66</f>
        <v>860950</v>
      </c>
      <c r="J68" s="71" t="str">
        <f>IF(I68&gt;0,"шт","")</f>
        <v/>
      </c>
    </row>
    <row r="69" spans="1:10">
      <c r="B69" s="71" t="s">
        <v>178</v>
      </c>
      <c r="F69" s="141" t="str">
        <f>IF(E69&gt;0,"шт","")</f>
        <v/>
      </c>
      <c r="J69" s="71" t="str">
        <f>IF(I69&gt;0,"шт","")</f>
        <v/>
      </c>
    </row>
    <row r="70" spans="1:10">
      <c r="B70" s="71" t="s">
        <v>178</v>
      </c>
      <c r="F70" s="141" t="str">
        <f>IF(E70&gt;0,"шт","")</f>
        <v/>
      </c>
      <c r="J70" s="71" t="str">
        <f>IF(I70&gt;0,"шт","")</f>
        <v/>
      </c>
    </row>
    <row r="71" spans="1:10">
      <c r="F71" s="141"/>
      <c r="J71" s="71"/>
    </row>
    <row r="72" spans="1:10">
      <c r="F72" s="141"/>
      <c r="J72" s="71"/>
    </row>
    <row r="73" spans="1:10">
      <c r="F73" s="141"/>
      <c r="J73" s="71"/>
    </row>
    <row r="74" spans="1:10">
      <c r="F74" s="141"/>
      <c r="J74" s="71"/>
    </row>
    <row r="75" spans="1:10">
      <c r="F75" s="141"/>
      <c r="J75" s="71"/>
    </row>
    <row r="76" spans="1:10">
      <c r="F76" s="141"/>
      <c r="J76" s="71"/>
    </row>
    <row r="77" spans="1:10">
      <c r="F77" s="141"/>
      <c r="J77" s="71"/>
    </row>
    <row r="78" spans="1:10">
      <c r="F78" s="142"/>
      <c r="J78" s="73"/>
    </row>
    <row r="79" spans="1:10">
      <c r="F79" s="142"/>
      <c r="J79" s="73"/>
    </row>
    <row r="80" spans="1:10">
      <c r="F80" s="142"/>
      <c r="J80" s="73"/>
    </row>
    <row r="81" spans="6:10">
      <c r="F81" s="142"/>
      <c r="J81" s="73"/>
    </row>
    <row r="82" spans="6:10">
      <c r="F82" s="141"/>
      <c r="J82" s="71"/>
    </row>
    <row r="83" spans="6:10">
      <c r="F83" s="141"/>
      <c r="J83" s="71"/>
    </row>
    <row r="84" spans="6:10">
      <c r="F84" s="141"/>
      <c r="J84" s="71"/>
    </row>
    <row r="85" spans="6:10">
      <c r="F85" s="141"/>
      <c r="J85" s="71"/>
    </row>
    <row r="86" spans="6:10">
      <c r="F86" s="141"/>
      <c r="J86" s="71"/>
    </row>
    <row r="87" spans="6:10">
      <c r="F87" s="141"/>
      <c r="J87" s="71"/>
    </row>
    <row r="88" spans="6:10">
      <c r="F88" s="141"/>
      <c r="J88" s="71"/>
    </row>
    <row r="89" spans="6:10">
      <c r="F89" s="141"/>
      <c r="J89" s="71"/>
    </row>
    <row r="90" spans="6:10">
      <c r="F90" s="141"/>
      <c r="J90" s="71"/>
    </row>
    <row r="91" spans="6:10">
      <c r="F91" s="141"/>
      <c r="J91" s="7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'#Служ_'!$A$2:$A$5</xm:f>
          </x14:formula1>
          <xm:sqref>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2">
    <pageSetUpPr fitToPage="1"/>
  </sheetPr>
  <dimension ref="B1:O68"/>
  <sheetViews>
    <sheetView zoomScale="115" zoomScaleNormal="115" workbookViewId="0">
      <selection activeCell="F6" sqref="F6"/>
    </sheetView>
  </sheetViews>
  <sheetFormatPr defaultRowHeight="14.4"/>
  <cols>
    <col min="1" max="1" width="1.88671875" customWidth="1"/>
    <col min="2" max="2" width="1.6640625" customWidth="1"/>
    <col min="3" max="3" width="6.6640625" customWidth="1"/>
    <col min="4" max="4" width="10.33203125" customWidth="1"/>
    <col min="5" max="5" width="11" customWidth="1"/>
    <col min="6" max="6" width="10.33203125" customWidth="1"/>
    <col min="7" max="7" width="10.88671875" customWidth="1"/>
    <col min="8" max="8" width="8.6640625" customWidth="1"/>
    <col min="9" max="9" width="8.109375" customWidth="1"/>
    <col min="10" max="10" width="9.6640625" customWidth="1"/>
    <col min="11" max="11" width="10.33203125" customWidth="1"/>
    <col min="12" max="12" width="9.33203125" customWidth="1"/>
    <col min="13" max="13" width="10.109375" customWidth="1"/>
    <col min="15" max="15" width="1.33203125" customWidth="1"/>
  </cols>
  <sheetData>
    <row r="1" spans="2:15" ht="21">
      <c r="C1" s="190" t="s">
        <v>34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2:15" ht="15" customHeight="1">
      <c r="C2" s="191" t="s">
        <v>35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2:15" ht="8.25" customHeight="1" thickBot="1"/>
    <row r="4" spans="2:15" ht="17.25" customHeight="1" thickBot="1">
      <c r="B4" s="14"/>
      <c r="C4" s="175" t="s">
        <v>15</v>
      </c>
      <c r="D4" s="175"/>
      <c r="E4" s="175"/>
      <c r="F4" s="175"/>
      <c r="G4" s="175"/>
      <c r="H4" s="175"/>
      <c r="I4" s="176"/>
      <c r="J4" s="40"/>
      <c r="K4" s="40"/>
      <c r="L4" s="40"/>
      <c r="N4" s="182" t="s">
        <v>65</v>
      </c>
      <c r="O4" s="182"/>
    </row>
    <row r="5" spans="2:15" ht="9" customHeight="1" thickBo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ht="18.600000000000001" thickBot="1">
      <c r="B6" s="8"/>
      <c r="C6" s="17" t="s">
        <v>22</v>
      </c>
      <c r="H6" s="184" t="s">
        <v>0</v>
      </c>
      <c r="I6" s="185"/>
      <c r="J6" s="185"/>
      <c r="K6" s="185"/>
      <c r="L6" s="186"/>
      <c r="M6" s="25">
        <v>60</v>
      </c>
      <c r="N6" s="23" t="s">
        <v>6</v>
      </c>
      <c r="O6" s="9"/>
    </row>
    <row r="7" spans="2:15" ht="18.600000000000001" thickBot="1">
      <c r="B7" s="8"/>
      <c r="C7" s="13" t="s">
        <v>26</v>
      </c>
      <c r="E7" s="24">
        <v>3</v>
      </c>
      <c r="F7" t="s">
        <v>9</v>
      </c>
      <c r="H7" s="184" t="s">
        <v>2</v>
      </c>
      <c r="I7" s="185"/>
      <c r="J7" s="185"/>
      <c r="K7" s="185"/>
      <c r="L7" s="186"/>
      <c r="M7" s="25">
        <v>2</v>
      </c>
      <c r="N7" s="23" t="s">
        <v>5</v>
      </c>
      <c r="O7" s="9"/>
    </row>
    <row r="8" spans="2:15" ht="18.600000000000001" thickBot="1">
      <c r="B8" s="8"/>
      <c r="C8" s="13" t="s">
        <v>27</v>
      </c>
      <c r="E8" s="24">
        <v>2.4</v>
      </c>
      <c r="F8" t="s">
        <v>9</v>
      </c>
      <c r="H8" s="35"/>
      <c r="I8" s="16"/>
      <c r="J8" s="16"/>
      <c r="K8" s="16"/>
      <c r="L8" s="16"/>
      <c r="M8" s="13"/>
      <c r="O8" s="9"/>
    </row>
    <row r="9" spans="2:15" ht="18.600000000000001" thickBot="1">
      <c r="B9" s="8"/>
      <c r="C9" s="13" t="s">
        <v>28</v>
      </c>
      <c r="E9" s="24">
        <v>2.4500000000000002</v>
      </c>
      <c r="F9" t="s">
        <v>9</v>
      </c>
      <c r="H9" s="184" t="s">
        <v>1</v>
      </c>
      <c r="I9" s="185"/>
      <c r="J9" s="185"/>
      <c r="K9" s="185"/>
      <c r="L9" s="186"/>
      <c r="M9" s="25">
        <v>80</v>
      </c>
      <c r="N9" s="23" t="s">
        <v>6</v>
      </c>
      <c r="O9" s="9"/>
    </row>
    <row r="10" spans="2:15" ht="18.600000000000001" thickBot="1">
      <c r="B10" s="8"/>
      <c r="C10" s="17" t="s">
        <v>23</v>
      </c>
      <c r="H10" s="184" t="s">
        <v>36</v>
      </c>
      <c r="I10" s="185"/>
      <c r="J10" s="185"/>
      <c r="K10" s="185"/>
      <c r="L10" s="186"/>
      <c r="M10" s="25">
        <v>7.05</v>
      </c>
      <c r="N10" s="23" t="s">
        <v>16</v>
      </c>
      <c r="O10" s="9"/>
    </row>
    <row r="11" spans="2:15" ht="18.600000000000001" thickBot="1">
      <c r="B11" s="8"/>
      <c r="C11" s="178" t="s">
        <v>54</v>
      </c>
      <c r="D11" s="178"/>
      <c r="E11" s="197"/>
      <c r="F11" s="27">
        <v>8</v>
      </c>
      <c r="H11" s="35"/>
      <c r="I11" s="16"/>
      <c r="J11" s="16"/>
      <c r="K11" s="16"/>
      <c r="L11" s="16"/>
      <c r="M11" s="13"/>
      <c r="N11" s="53"/>
      <c r="O11" s="9"/>
    </row>
    <row r="12" spans="2:15" ht="18.600000000000001" thickBot="1">
      <c r="B12" s="8"/>
      <c r="C12" s="178" t="s">
        <v>24</v>
      </c>
      <c r="D12" s="178"/>
      <c r="E12" s="178"/>
      <c r="F12" s="38">
        <v>1</v>
      </c>
      <c r="H12" s="184" t="s">
        <v>40</v>
      </c>
      <c r="I12" s="185"/>
      <c r="J12" s="185"/>
      <c r="K12" s="185"/>
      <c r="L12" s="186"/>
      <c r="M12" s="25">
        <v>740</v>
      </c>
      <c r="N12" s="23" t="s">
        <v>13</v>
      </c>
      <c r="O12" s="9"/>
    </row>
    <row r="13" spans="2:15" ht="18.600000000000001" thickBot="1">
      <c r="B13" s="8"/>
      <c r="C13" s="178" t="s">
        <v>25</v>
      </c>
      <c r="D13" s="178"/>
      <c r="E13" s="178"/>
      <c r="F13" s="27">
        <v>2</v>
      </c>
      <c r="H13" s="184" t="s">
        <v>51</v>
      </c>
      <c r="I13" s="185"/>
      <c r="J13" s="185"/>
      <c r="K13" s="185"/>
      <c r="L13" s="186"/>
      <c r="M13" s="25">
        <v>0.2</v>
      </c>
      <c r="N13" s="32" t="s">
        <v>52</v>
      </c>
      <c r="O13" s="9"/>
    </row>
    <row r="14" spans="2:15" ht="7.5" customHeight="1" thickBot="1">
      <c r="B14" s="8"/>
      <c r="C14" s="20"/>
      <c r="H14" s="35"/>
      <c r="I14" s="1"/>
      <c r="J14" s="1"/>
      <c r="K14" s="1"/>
      <c r="L14" s="1"/>
      <c r="O14" s="9"/>
    </row>
    <row r="15" spans="2:15" ht="18.600000000000001" thickBot="1">
      <c r="B15" s="8"/>
      <c r="C15" s="178" t="s">
        <v>55</v>
      </c>
      <c r="D15" s="178"/>
      <c r="E15" s="197"/>
      <c r="F15" s="27">
        <v>0</v>
      </c>
      <c r="H15" s="184" t="s">
        <v>61</v>
      </c>
      <c r="I15" s="185"/>
      <c r="J15" s="185"/>
      <c r="K15" s="185"/>
      <c r="L15" s="186"/>
      <c r="M15" s="26">
        <v>1.6</v>
      </c>
      <c r="O15" s="9"/>
    </row>
    <row r="16" spans="2:15" ht="18.600000000000001" thickBot="1">
      <c r="B16" s="8"/>
      <c r="C16" s="178" t="s">
        <v>56</v>
      </c>
      <c r="D16" s="178"/>
      <c r="E16" s="197"/>
      <c r="F16" s="27">
        <v>0</v>
      </c>
      <c r="H16" s="184" t="s">
        <v>62</v>
      </c>
      <c r="I16" s="185"/>
      <c r="J16" s="185"/>
      <c r="K16" s="185"/>
      <c r="L16" s="186"/>
      <c r="M16" s="26">
        <v>1.1499999999999999</v>
      </c>
      <c r="O16" s="9"/>
    </row>
    <row r="17" spans="2:15" ht="10.5" customHeight="1">
      <c r="B17" s="8"/>
      <c r="C17" s="52"/>
      <c r="D17" s="52"/>
      <c r="E17" s="52"/>
      <c r="F17" s="54"/>
      <c r="H17" s="43"/>
      <c r="I17" s="16"/>
      <c r="J17" s="16"/>
      <c r="K17" s="16"/>
      <c r="L17" s="16"/>
      <c r="M17" s="42"/>
      <c r="O17" s="9"/>
    </row>
    <row r="18" spans="2:15" ht="14.25" customHeight="1">
      <c r="B18" s="8"/>
      <c r="C18" s="20" t="s">
        <v>45</v>
      </c>
      <c r="I18" s="16"/>
      <c r="J18" s="16"/>
      <c r="K18" s="16"/>
      <c r="L18" s="16"/>
      <c r="M18" s="13"/>
      <c r="O18" s="9"/>
    </row>
    <row r="19" spans="2:15" ht="14.25" customHeight="1">
      <c r="B19" s="8"/>
      <c r="C19" s="20" t="s">
        <v>42</v>
      </c>
      <c r="I19" s="1"/>
      <c r="J19" s="1"/>
      <c r="K19" s="1"/>
      <c r="L19" s="1"/>
      <c r="M19" s="13"/>
      <c r="O19" s="9"/>
    </row>
    <row r="20" spans="2:15" ht="14.25" customHeight="1" thickBot="1">
      <c r="B20" s="10"/>
      <c r="C20" s="31" t="s">
        <v>177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ht="8.25" customHeight="1" thickBot="1"/>
    <row r="22" spans="2:15" ht="17.25" customHeight="1" thickBot="1">
      <c r="B22" s="5"/>
      <c r="C22" s="193" t="s">
        <v>44</v>
      </c>
      <c r="D22" s="193"/>
      <c r="E22" s="193"/>
      <c r="F22" s="193"/>
      <c r="G22" s="193"/>
      <c r="H22" s="193"/>
      <c r="I22" s="194"/>
      <c r="J22" s="40"/>
      <c r="K22" s="40"/>
      <c r="L22" s="40"/>
    </row>
    <row r="23" spans="2:15" ht="8.25" customHeight="1">
      <c r="B23" s="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6"/>
      <c r="N23" s="6"/>
      <c r="O23" s="7"/>
    </row>
    <row r="24" spans="2:15" ht="16.5" customHeight="1">
      <c r="B24" s="8"/>
      <c r="C24" s="195" t="s">
        <v>41</v>
      </c>
      <c r="D24" s="195"/>
      <c r="E24" s="195"/>
      <c r="F24" s="195"/>
      <c r="G24" s="195"/>
      <c r="H24" s="195"/>
      <c r="I24" s="195" t="s">
        <v>38</v>
      </c>
      <c r="J24" s="195"/>
      <c r="K24" s="195"/>
      <c r="L24" s="195"/>
      <c r="M24" s="195"/>
      <c r="N24" s="195"/>
      <c r="O24" s="9"/>
    </row>
    <row r="25" spans="2:15" ht="15.6">
      <c r="B25" s="8"/>
      <c r="C25" s="196" t="s">
        <v>21</v>
      </c>
      <c r="D25" s="188"/>
      <c r="E25" s="188"/>
      <c r="F25" s="188"/>
      <c r="G25" s="36">
        <f>2*SUM(E7*E9+E8*E9)+E7*E8+F12*E7*E8+F13*E8*E9+F15*3.2+F16*2</f>
        <v>52.62</v>
      </c>
      <c r="H25" s="21" t="s">
        <v>8</v>
      </c>
      <c r="I25" s="188" t="s">
        <v>21</v>
      </c>
      <c r="J25" s="188"/>
      <c r="K25" s="188"/>
      <c r="L25" s="188"/>
      <c r="M25" s="29">
        <f>M15*G25</f>
        <v>84.192000000000007</v>
      </c>
      <c r="N25" s="21" t="s">
        <v>8</v>
      </c>
      <c r="O25" s="9"/>
    </row>
    <row r="26" spans="2:15" ht="15.6">
      <c r="B26" s="8"/>
      <c r="C26" s="192" t="s">
        <v>50</v>
      </c>
      <c r="D26" s="189"/>
      <c r="E26" s="189"/>
      <c r="F26" s="189"/>
      <c r="G26" s="55">
        <f>2*G25</f>
        <v>105.24</v>
      </c>
      <c r="H26" s="22" t="s">
        <v>8</v>
      </c>
      <c r="I26" s="189" t="s">
        <v>50</v>
      </c>
      <c r="J26" s="189"/>
      <c r="K26" s="189"/>
      <c r="L26" s="189"/>
      <c r="M26" s="55">
        <f>2*M25</f>
        <v>168.38400000000001</v>
      </c>
      <c r="N26" s="22" t="s">
        <v>8</v>
      </c>
      <c r="O26" s="9"/>
    </row>
    <row r="27" spans="2:15" ht="15" customHeight="1">
      <c r="B27" s="8"/>
      <c r="C27" s="192" t="s">
        <v>29</v>
      </c>
      <c r="D27" s="189"/>
      <c r="E27" s="189"/>
      <c r="F27" s="189"/>
      <c r="G27" s="56">
        <f>G25/3.125</f>
        <v>16.8384</v>
      </c>
      <c r="H27" s="22" t="s">
        <v>7</v>
      </c>
      <c r="I27" s="189" t="s">
        <v>29</v>
      </c>
      <c r="J27" s="189"/>
      <c r="K27" s="189"/>
      <c r="L27" s="189"/>
      <c r="M27" s="55">
        <f>M25/3.125</f>
        <v>26.941440000000004</v>
      </c>
      <c r="N27" s="22" t="s">
        <v>7</v>
      </c>
      <c r="O27" s="9"/>
    </row>
    <row r="28" spans="2:15" ht="15.6">
      <c r="B28" s="8"/>
      <c r="C28" s="192" t="s">
        <v>3</v>
      </c>
      <c r="D28" s="189"/>
      <c r="E28" s="189"/>
      <c r="F28" s="189"/>
      <c r="G28" s="56">
        <f>4*SUM(E7,E9)</f>
        <v>21.8</v>
      </c>
      <c r="H28" s="22" t="s">
        <v>9</v>
      </c>
      <c r="I28" s="189" t="s">
        <v>3</v>
      </c>
      <c r="J28" s="189"/>
      <c r="K28" s="189"/>
      <c r="L28" s="189"/>
      <c r="M28" s="55">
        <f>M16*G28</f>
        <v>25.07</v>
      </c>
      <c r="N28" s="22" t="s">
        <v>9</v>
      </c>
      <c r="O28" s="9"/>
    </row>
    <row r="29" spans="2:15" ht="15.6">
      <c r="B29" s="8"/>
      <c r="C29" s="192" t="s">
        <v>57</v>
      </c>
      <c r="D29" s="189"/>
      <c r="E29" s="189"/>
      <c r="F29" s="189"/>
      <c r="G29" s="15">
        <f>M6</f>
        <v>60</v>
      </c>
      <c r="H29" s="22" t="s">
        <v>13</v>
      </c>
      <c r="I29" s="189" t="s">
        <v>57</v>
      </c>
      <c r="J29" s="189"/>
      <c r="K29" s="189"/>
      <c r="L29" s="189"/>
      <c r="M29" s="15">
        <f>M6</f>
        <v>60</v>
      </c>
      <c r="N29" s="22" t="s">
        <v>13</v>
      </c>
      <c r="O29" s="9"/>
    </row>
    <row r="30" spans="2:15" ht="15.6">
      <c r="B30" s="8"/>
      <c r="C30" s="192" t="s">
        <v>58</v>
      </c>
      <c r="D30" s="189"/>
      <c r="E30" s="189"/>
      <c r="F30" s="189"/>
      <c r="G30" s="15">
        <f>M9</f>
        <v>80</v>
      </c>
      <c r="H30" s="22" t="s">
        <v>13</v>
      </c>
      <c r="I30" s="189" t="s">
        <v>58</v>
      </c>
      <c r="J30" s="189"/>
      <c r="K30" s="189"/>
      <c r="L30" s="189"/>
      <c r="M30" s="15">
        <f>M9</f>
        <v>80</v>
      </c>
      <c r="N30" s="22" t="s">
        <v>13</v>
      </c>
      <c r="O30" s="9"/>
    </row>
    <row r="31" spans="2:15" ht="15.6">
      <c r="B31" s="8"/>
      <c r="C31" s="192" t="s">
        <v>59</v>
      </c>
      <c r="D31" s="189"/>
      <c r="E31" s="189"/>
      <c r="F31" s="189"/>
      <c r="G31" s="56">
        <f>G26*M13</f>
        <v>21.048000000000002</v>
      </c>
      <c r="H31" s="22"/>
      <c r="I31" s="189" t="s">
        <v>59</v>
      </c>
      <c r="J31" s="189"/>
      <c r="K31" s="189"/>
      <c r="L31" s="189"/>
      <c r="M31" s="57">
        <f>M26*M13</f>
        <v>33.676800000000007</v>
      </c>
      <c r="N31" s="22" t="s">
        <v>16</v>
      </c>
      <c r="O31" s="9"/>
    </row>
    <row r="32" spans="2:15" ht="15" customHeight="1">
      <c r="B32" s="8"/>
      <c r="C32" s="192" t="s">
        <v>30</v>
      </c>
      <c r="D32" s="189"/>
      <c r="E32" s="189"/>
      <c r="F32" s="189"/>
      <c r="G32" s="56">
        <f>G27*25*M7</f>
        <v>841.92</v>
      </c>
      <c r="H32" s="22" t="s">
        <v>16</v>
      </c>
      <c r="I32" s="189" t="s">
        <v>30</v>
      </c>
      <c r="J32" s="189"/>
      <c r="K32" s="189"/>
      <c r="L32" s="189"/>
      <c r="M32" s="56">
        <f>M27*M7*25</f>
        <v>1347.0720000000001</v>
      </c>
      <c r="N32" s="22" t="s">
        <v>16</v>
      </c>
      <c r="O32" s="9"/>
    </row>
    <row r="33" spans="2:15" ht="15.6">
      <c r="B33" s="8"/>
      <c r="C33" s="192" t="s">
        <v>31</v>
      </c>
      <c r="D33" s="189"/>
      <c r="E33" s="189"/>
      <c r="F33" s="189"/>
      <c r="G33" s="56">
        <f>G28*M10</f>
        <v>153.69</v>
      </c>
      <c r="H33" s="22" t="s">
        <v>16</v>
      </c>
      <c r="I33" s="189" t="s">
        <v>31</v>
      </c>
      <c r="J33" s="189"/>
      <c r="K33" s="189"/>
      <c r="L33" s="189"/>
      <c r="M33" s="56">
        <f>M28*M10</f>
        <v>176.74350000000001</v>
      </c>
      <c r="N33" s="22" t="s">
        <v>16</v>
      </c>
      <c r="O33" s="9"/>
    </row>
    <row r="34" spans="2:15" ht="15.6">
      <c r="B34" s="8"/>
      <c r="C34" s="198" t="s">
        <v>32</v>
      </c>
      <c r="D34" s="187"/>
      <c r="E34" s="187"/>
      <c r="F34" s="187"/>
      <c r="G34" s="28">
        <f>G32+G33</f>
        <v>995.6099999999999</v>
      </c>
      <c r="H34" s="58" t="s">
        <v>16</v>
      </c>
      <c r="I34" s="187" t="s">
        <v>32</v>
      </c>
      <c r="J34" s="187"/>
      <c r="K34" s="187"/>
      <c r="L34" s="187"/>
      <c r="M34" s="30">
        <f>M32+M33</f>
        <v>1523.8155000000002</v>
      </c>
      <c r="N34" s="58" t="s">
        <v>16</v>
      </c>
      <c r="O34" s="9"/>
    </row>
    <row r="35" spans="2:15" ht="12" customHeight="1" thickBot="1">
      <c r="B35" s="10"/>
      <c r="C35" s="33" t="s">
        <v>39</v>
      </c>
      <c r="D35" s="34"/>
      <c r="E35" s="34"/>
      <c r="F35" s="34"/>
      <c r="G35" s="11"/>
      <c r="H35" s="11"/>
      <c r="I35" s="11"/>
      <c r="J35" s="11"/>
      <c r="K35" s="11"/>
      <c r="L35" s="11"/>
      <c r="M35" s="11"/>
      <c r="N35" s="11"/>
      <c r="O35" s="12"/>
    </row>
    <row r="36" spans="2:15" ht="7.5" customHeight="1" thickBot="1"/>
    <row r="37" spans="2:15" ht="17.25" customHeight="1" thickBot="1">
      <c r="B37" s="174" t="s">
        <v>17</v>
      </c>
      <c r="C37" s="175"/>
      <c r="D37" s="175"/>
      <c r="E37" s="175"/>
      <c r="F37" s="175"/>
      <c r="G37" s="175"/>
      <c r="H37" s="175"/>
      <c r="I37" s="176"/>
      <c r="J37" s="40"/>
      <c r="K37" s="40"/>
      <c r="L37" s="40"/>
    </row>
    <row r="38" spans="2:15" ht="9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2:15" ht="13.5" customHeight="1">
      <c r="B39" s="8"/>
      <c r="C39" s="17" t="s">
        <v>20</v>
      </c>
      <c r="D39" s="59"/>
      <c r="E39" s="59"/>
      <c r="O39" s="9"/>
    </row>
    <row r="40" spans="2:15" ht="15.6">
      <c r="B40" s="8"/>
      <c r="C40" s="178" t="s">
        <v>11</v>
      </c>
      <c r="D40" s="178"/>
      <c r="E40" s="178"/>
      <c r="F40" s="178"/>
      <c r="G40" s="60">
        <f>M15*G27*(G29*25*M7)</f>
        <v>80824.320000000007</v>
      </c>
      <c r="H40" s="15" t="s">
        <v>12</v>
      </c>
      <c r="I40" t="s">
        <v>48</v>
      </c>
      <c r="O40" s="9"/>
    </row>
    <row r="41" spans="2:15" ht="15.6">
      <c r="B41" s="8"/>
      <c r="C41" s="178" t="s">
        <v>10</v>
      </c>
      <c r="D41" s="178"/>
      <c r="E41" s="178"/>
      <c r="F41" s="178"/>
      <c r="G41" s="60">
        <f>G28*M10*G30</f>
        <v>12295.2</v>
      </c>
      <c r="H41" s="15" t="s">
        <v>12</v>
      </c>
      <c r="I41" t="s">
        <v>48</v>
      </c>
      <c r="O41" s="9"/>
    </row>
    <row r="42" spans="2:15" ht="15.6">
      <c r="B42" s="8"/>
      <c r="C42" s="178" t="s">
        <v>33</v>
      </c>
      <c r="D42" s="178"/>
      <c r="E42" s="178"/>
      <c r="F42" s="178"/>
      <c r="G42" s="60">
        <f>G26*M13*M12</f>
        <v>15575.52</v>
      </c>
      <c r="H42" s="15" t="s">
        <v>12</v>
      </c>
      <c r="I42" s="20" t="s">
        <v>53</v>
      </c>
      <c r="J42" s="20"/>
      <c r="K42" s="20"/>
      <c r="L42" s="20"/>
      <c r="O42" s="9"/>
    </row>
    <row r="43" spans="2:15" ht="15.6">
      <c r="B43" s="8"/>
      <c r="C43" s="183" t="s">
        <v>63</v>
      </c>
      <c r="D43" s="183"/>
      <c r="E43" s="183"/>
      <c r="F43" s="183"/>
      <c r="G43" s="37">
        <f>SUM(G40:G42)*0.04</f>
        <v>4347.8016000000007</v>
      </c>
      <c r="H43" s="15" t="s">
        <v>12</v>
      </c>
      <c r="I43" s="20" t="s">
        <v>167</v>
      </c>
      <c r="J43" s="20"/>
      <c r="K43" s="20"/>
      <c r="L43" s="20"/>
      <c r="O43" s="9"/>
    </row>
    <row r="44" spans="2:15" ht="15.6">
      <c r="B44" s="8"/>
      <c r="C44" s="178" t="s">
        <v>43</v>
      </c>
      <c r="D44" s="178"/>
      <c r="E44" s="178"/>
      <c r="F44" s="178"/>
      <c r="G44" s="61">
        <f>G40+G42</f>
        <v>96399.840000000011</v>
      </c>
      <c r="H44" s="59" t="s">
        <v>12</v>
      </c>
      <c r="O44" s="9"/>
    </row>
    <row r="45" spans="2:15" ht="9" customHeight="1">
      <c r="B45" s="8"/>
      <c r="C45" s="62"/>
      <c r="D45" s="62"/>
      <c r="E45" s="62"/>
      <c r="F45" s="62"/>
      <c r="G45" s="63"/>
      <c r="O45" s="9"/>
    </row>
    <row r="46" spans="2:15" ht="18">
      <c r="B46" s="8"/>
      <c r="C46" s="64" t="s">
        <v>168</v>
      </c>
      <c r="D46" s="65"/>
      <c r="E46" s="65"/>
      <c r="F46" s="65"/>
      <c r="G46" s="63"/>
      <c r="O46" s="9"/>
    </row>
    <row r="47" spans="2:15" ht="15.6">
      <c r="B47" s="8"/>
      <c r="C47" s="178" t="s">
        <v>169</v>
      </c>
      <c r="D47" s="178"/>
      <c r="E47" s="178"/>
      <c r="F47" s="178"/>
      <c r="G47" s="60">
        <f>M32*3</f>
        <v>4041.2160000000003</v>
      </c>
      <c r="H47" s="15" t="s">
        <v>12</v>
      </c>
      <c r="I47" s="20" t="s">
        <v>170</v>
      </c>
      <c r="J47" s="20"/>
      <c r="K47" s="20"/>
      <c r="L47" s="20"/>
      <c r="O47" s="9"/>
    </row>
    <row r="48" spans="2:15" ht="15.6">
      <c r="B48" s="8"/>
      <c r="C48" s="178" t="s">
        <v>171</v>
      </c>
      <c r="D48" s="178"/>
      <c r="E48" s="178"/>
      <c r="F48" s="178"/>
      <c r="G48" s="60">
        <f>M34*11+F11*600+F15*175+F16*700</f>
        <v>21561.970500000003</v>
      </c>
      <c r="H48" s="15" t="s">
        <v>12</v>
      </c>
      <c r="I48" s="20" t="s">
        <v>172</v>
      </c>
      <c r="J48" s="20"/>
      <c r="K48" s="20"/>
      <c r="L48" s="20"/>
      <c r="O48" s="9"/>
    </row>
    <row r="49" spans="2:15" ht="15.6">
      <c r="B49" s="8"/>
      <c r="C49" s="179" t="s">
        <v>173</v>
      </c>
      <c r="D49" s="179"/>
      <c r="E49" s="179"/>
      <c r="F49" s="179"/>
      <c r="G49" s="37">
        <f>2*G26*150</f>
        <v>31572</v>
      </c>
      <c r="H49" s="66" t="s">
        <v>12</v>
      </c>
      <c r="I49" s="20" t="s">
        <v>174</v>
      </c>
      <c r="J49" s="20"/>
      <c r="K49" s="20"/>
      <c r="L49" s="20"/>
      <c r="O49" s="9"/>
    </row>
    <row r="50" spans="2:15" ht="15.6">
      <c r="B50" s="8"/>
      <c r="C50" s="178" t="s">
        <v>175</v>
      </c>
      <c r="D50" s="178"/>
      <c r="E50" s="178"/>
      <c r="F50" s="178"/>
      <c r="G50" s="61">
        <f>G47+G48+G49</f>
        <v>57175.186500000003</v>
      </c>
      <c r="H50" s="59" t="s">
        <v>12</v>
      </c>
      <c r="O50" s="9"/>
    </row>
    <row r="51" spans="2:15" ht="6.75" customHeight="1" thickBot="1">
      <c r="B51" s="8"/>
      <c r="C51" s="52"/>
      <c r="D51" s="52"/>
      <c r="E51" s="52"/>
      <c r="F51" s="52"/>
      <c r="G51" s="63"/>
      <c r="H51" s="63"/>
      <c r="O51" s="9"/>
    </row>
    <row r="52" spans="2:15" ht="17.25" customHeight="1" thickBot="1">
      <c r="B52" s="8"/>
      <c r="C52" s="180" t="s">
        <v>176</v>
      </c>
      <c r="D52" s="181"/>
      <c r="E52" s="181"/>
      <c r="F52" s="181"/>
      <c r="G52" s="67">
        <f>G44+G50</f>
        <v>153575.02650000001</v>
      </c>
      <c r="H52" s="68" t="s">
        <v>12</v>
      </c>
      <c r="O52" s="9"/>
    </row>
    <row r="53" spans="2:15" ht="11.25" customHeight="1" thickBot="1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</row>
    <row r="54" spans="2:15" ht="8.25" customHeight="1" thickBot="1"/>
    <row r="55" spans="2:15" ht="17.25" customHeight="1" thickBot="1">
      <c r="B55" s="174" t="s">
        <v>4</v>
      </c>
      <c r="C55" s="175"/>
      <c r="D55" s="175"/>
      <c r="E55" s="175"/>
      <c r="F55" s="175"/>
      <c r="G55" s="175"/>
      <c r="H55" s="175"/>
      <c r="I55" s="176"/>
      <c r="J55" s="40"/>
      <c r="K55" s="40"/>
      <c r="L55" s="40"/>
    </row>
    <row r="56" spans="2:15" ht="8.25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</row>
    <row r="57" spans="2:15" ht="43.2">
      <c r="B57" s="8"/>
      <c r="C57" t="s">
        <v>37</v>
      </c>
      <c r="L57" s="4" t="s">
        <v>14</v>
      </c>
      <c r="M57" s="4" t="s">
        <v>19</v>
      </c>
      <c r="N57" s="4" t="s">
        <v>18</v>
      </c>
      <c r="O57" s="9"/>
    </row>
    <row r="58" spans="2:15">
      <c r="B58" s="8"/>
      <c r="C58" t="s">
        <v>60</v>
      </c>
      <c r="L58" s="3">
        <v>5</v>
      </c>
      <c r="M58" s="3">
        <v>4.84</v>
      </c>
      <c r="N58" s="3">
        <v>206.6</v>
      </c>
      <c r="O58" s="9"/>
    </row>
    <row r="59" spans="2:15" ht="15.75" customHeight="1">
      <c r="B59" s="8"/>
      <c r="C59" t="s">
        <v>47</v>
      </c>
      <c r="L59" s="3">
        <v>6.5</v>
      </c>
      <c r="M59" s="3">
        <v>5.9</v>
      </c>
      <c r="N59" s="3">
        <v>169.5</v>
      </c>
      <c r="O59" s="9"/>
    </row>
    <row r="60" spans="2:15" s="2" customFormat="1" ht="15" customHeight="1">
      <c r="B60" s="18"/>
      <c r="C60" s="177" t="s">
        <v>66</v>
      </c>
      <c r="D60" s="177"/>
      <c r="E60" s="177"/>
      <c r="F60" s="177"/>
      <c r="G60" s="177"/>
      <c r="H60" s="177"/>
      <c r="I60" s="177"/>
      <c r="J60" s="177"/>
      <c r="L60" s="3">
        <v>8</v>
      </c>
      <c r="M60" s="3">
        <v>7.05</v>
      </c>
      <c r="N60" s="3">
        <v>141.80000000000001</v>
      </c>
      <c r="O60" s="19"/>
    </row>
    <row r="61" spans="2:15">
      <c r="B61" s="8"/>
      <c r="C61" t="s">
        <v>64</v>
      </c>
      <c r="L61" s="3">
        <v>10</v>
      </c>
      <c r="M61" s="3">
        <v>8.59</v>
      </c>
      <c r="N61" s="3">
        <v>116.4</v>
      </c>
      <c r="O61" s="9"/>
    </row>
    <row r="62" spans="2:15">
      <c r="B62" s="8"/>
      <c r="L62" s="3">
        <v>12</v>
      </c>
      <c r="M62" s="3">
        <v>10.4</v>
      </c>
      <c r="N62" s="3">
        <v>96.2</v>
      </c>
      <c r="O62" s="9"/>
    </row>
    <row r="63" spans="2:15">
      <c r="B63" s="8"/>
      <c r="L63" s="3">
        <v>14</v>
      </c>
      <c r="M63" s="3">
        <v>12.3</v>
      </c>
      <c r="N63" s="3">
        <v>81.3</v>
      </c>
      <c r="O63" s="9"/>
    </row>
    <row r="64" spans="2:15">
      <c r="B64" s="8"/>
      <c r="L64" s="3">
        <v>16</v>
      </c>
      <c r="M64" s="3">
        <v>14.2</v>
      </c>
      <c r="N64" s="3">
        <v>70.400000000000006</v>
      </c>
      <c r="O64" s="9"/>
    </row>
    <row r="65" spans="2:15">
      <c r="B65" s="8"/>
      <c r="O65" s="9"/>
    </row>
    <row r="66" spans="2:15" ht="8.25" customHeight="1" thickBot="1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</row>
    <row r="67" spans="2:15" ht="5.25" customHeight="1"/>
    <row r="68" spans="2:15">
      <c r="C68" t="s">
        <v>49</v>
      </c>
    </row>
  </sheetData>
  <sheetProtection selectLockedCells="1"/>
  <mergeCells count="53">
    <mergeCell ref="C44:F44"/>
    <mergeCell ref="C40:F40"/>
    <mergeCell ref="C42:F42"/>
    <mergeCell ref="H13:L13"/>
    <mergeCell ref="H15:L15"/>
    <mergeCell ref="H16:L16"/>
    <mergeCell ref="I30:L30"/>
    <mergeCell ref="I31:L31"/>
    <mergeCell ref="C13:E13"/>
    <mergeCell ref="C33:F33"/>
    <mergeCell ref="C32:F32"/>
    <mergeCell ref="C34:F34"/>
    <mergeCell ref="C41:F41"/>
    <mergeCell ref="B37:I37"/>
    <mergeCell ref="C1:N1"/>
    <mergeCell ref="C2:N2"/>
    <mergeCell ref="C30:F30"/>
    <mergeCell ref="C31:F31"/>
    <mergeCell ref="C4:I4"/>
    <mergeCell ref="C22:I22"/>
    <mergeCell ref="I24:N24"/>
    <mergeCell ref="C26:F26"/>
    <mergeCell ref="C25:F25"/>
    <mergeCell ref="C27:F27"/>
    <mergeCell ref="C28:F28"/>
    <mergeCell ref="C29:F29"/>
    <mergeCell ref="C11:E11"/>
    <mergeCell ref="C15:E15"/>
    <mergeCell ref="C16:E16"/>
    <mergeCell ref="C24:H24"/>
    <mergeCell ref="N4:O4"/>
    <mergeCell ref="C43:F43"/>
    <mergeCell ref="H6:L6"/>
    <mergeCell ref="H7:L7"/>
    <mergeCell ref="H9:L9"/>
    <mergeCell ref="H10:L10"/>
    <mergeCell ref="H12:L12"/>
    <mergeCell ref="I34:L34"/>
    <mergeCell ref="I25:L25"/>
    <mergeCell ref="I32:L32"/>
    <mergeCell ref="I33:L33"/>
    <mergeCell ref="I26:L26"/>
    <mergeCell ref="I27:L27"/>
    <mergeCell ref="I28:L28"/>
    <mergeCell ref="I29:L29"/>
    <mergeCell ref="C12:E12"/>
    <mergeCell ref="B55:I55"/>
    <mergeCell ref="C60:J60"/>
    <mergeCell ref="C47:F47"/>
    <mergeCell ref="C48:F48"/>
    <mergeCell ref="C49:F49"/>
    <mergeCell ref="C50:F50"/>
    <mergeCell ref="C52:F52"/>
  </mergeCells>
  <phoneticPr fontId="10" type="noConversion"/>
  <pageMargins left="0.42" right="0.23" top="0.18" bottom="0.26" header="0.21" footer="0.21"/>
  <pageSetup paperSize="9" scale="82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3">
    <pageSetUpPr fitToPage="1"/>
  </sheetPr>
  <dimension ref="B1:O14"/>
  <sheetViews>
    <sheetView zoomScale="115" zoomScaleNormal="115" workbookViewId="0">
      <selection activeCell="M11" sqref="M11"/>
    </sheetView>
  </sheetViews>
  <sheetFormatPr defaultRowHeight="14.4"/>
  <cols>
    <col min="1" max="1" width="1.88671875" customWidth="1"/>
    <col min="2" max="2" width="1.6640625" customWidth="1"/>
    <col min="3" max="3" width="6.6640625" customWidth="1"/>
    <col min="4" max="4" width="10" customWidth="1"/>
    <col min="5" max="5" width="11" customWidth="1"/>
    <col min="6" max="6" width="10.33203125" customWidth="1"/>
    <col min="7" max="7" width="10.88671875" customWidth="1"/>
    <col min="8" max="8" width="8.6640625" customWidth="1"/>
    <col min="9" max="9" width="8.109375" customWidth="1"/>
    <col min="10" max="10" width="9.6640625" customWidth="1"/>
    <col min="11" max="11" width="10.33203125" customWidth="1"/>
    <col min="12" max="12" width="9.33203125" customWidth="1"/>
    <col min="13" max="13" width="17.6640625" customWidth="1"/>
    <col min="15" max="15" width="1.33203125" customWidth="1"/>
  </cols>
  <sheetData>
    <row r="1" spans="2:15" ht="21">
      <c r="C1" s="190" t="s">
        <v>34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2:15" ht="15" customHeight="1">
      <c r="C2" s="191" t="s">
        <v>123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2:15" ht="8.25" customHeight="1" thickBot="1"/>
    <row r="4" spans="2:15" ht="17.25" customHeight="1" thickBot="1">
      <c r="B4" s="14"/>
      <c r="C4" s="175" t="s">
        <v>15</v>
      </c>
      <c r="D4" s="175"/>
      <c r="E4" s="175"/>
      <c r="F4" s="175"/>
      <c r="G4" s="175"/>
      <c r="H4" s="175"/>
      <c r="I4" s="176"/>
      <c r="J4" s="40"/>
      <c r="K4" s="40"/>
      <c r="L4" s="40"/>
      <c r="N4" s="182" t="s">
        <v>65</v>
      </c>
      <c r="O4" s="182"/>
    </row>
    <row r="5" spans="2:15" ht="9" customHeight="1" thickBo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ht="18.600000000000001" thickBot="1">
      <c r="B6" s="8"/>
      <c r="C6" s="17" t="s">
        <v>22</v>
      </c>
      <c r="H6" s="184" t="s">
        <v>124</v>
      </c>
      <c r="I6" s="185"/>
      <c r="J6" s="185"/>
      <c r="K6" s="185"/>
      <c r="L6" s="186"/>
      <c r="M6" s="25"/>
      <c r="N6" s="23" t="s">
        <v>6</v>
      </c>
      <c r="O6" s="9"/>
    </row>
    <row r="7" spans="2:15" ht="18.600000000000001" thickBot="1">
      <c r="B7" s="8"/>
      <c r="C7" s="13" t="s">
        <v>26</v>
      </c>
      <c r="E7" s="24"/>
      <c r="F7" t="s">
        <v>9</v>
      </c>
      <c r="H7" s="49"/>
      <c r="I7" s="15"/>
      <c r="J7" s="15"/>
      <c r="K7" s="15"/>
      <c r="L7" s="50"/>
      <c r="M7" s="25"/>
      <c r="N7" s="23"/>
      <c r="O7" s="9"/>
    </row>
    <row r="8" spans="2:15" ht="18.600000000000001" thickBot="1">
      <c r="B8" s="8"/>
      <c r="C8" s="13" t="s">
        <v>27</v>
      </c>
      <c r="E8" s="24"/>
      <c r="F8" t="s">
        <v>9</v>
      </c>
      <c r="H8" s="35"/>
      <c r="I8" s="16"/>
      <c r="J8" s="16"/>
      <c r="K8" s="16"/>
      <c r="L8" s="16"/>
      <c r="M8" s="13"/>
      <c r="O8" s="9"/>
    </row>
    <row r="9" spans="2:15" ht="18.600000000000001" thickBot="1">
      <c r="B9" s="8"/>
      <c r="C9" s="13" t="s">
        <v>28</v>
      </c>
      <c r="E9" s="24"/>
      <c r="F9" t="s">
        <v>9</v>
      </c>
      <c r="H9" s="184" t="s">
        <v>125</v>
      </c>
      <c r="I9" s="185"/>
      <c r="J9" s="185"/>
      <c r="K9" s="185"/>
      <c r="L9" s="186"/>
      <c r="M9" s="25"/>
      <c r="N9" s="23" t="s">
        <v>6</v>
      </c>
      <c r="O9" s="9"/>
    </row>
    <row r="10" spans="2:15" ht="10.5" customHeight="1" thickBot="1">
      <c r="B10" s="8"/>
      <c r="C10" s="39"/>
      <c r="D10" s="39"/>
      <c r="E10" s="39"/>
      <c r="F10" s="41"/>
      <c r="H10" s="43"/>
      <c r="I10" s="16"/>
      <c r="J10" s="16"/>
      <c r="K10" s="16"/>
      <c r="L10" s="16"/>
      <c r="M10" s="42"/>
      <c r="O10" s="9"/>
    </row>
    <row r="11" spans="2:15" ht="14.25" customHeight="1" thickBot="1">
      <c r="B11" s="8"/>
      <c r="C11" s="20"/>
      <c r="H11" s="184" t="s">
        <v>127</v>
      </c>
      <c r="I11" s="185"/>
      <c r="J11" s="185"/>
      <c r="K11" s="185"/>
      <c r="L11" s="186"/>
      <c r="M11" s="25"/>
      <c r="N11" s="23" t="s">
        <v>126</v>
      </c>
      <c r="O11" s="9"/>
    </row>
    <row r="12" spans="2:15" ht="14.25" customHeight="1">
      <c r="B12" s="8"/>
      <c r="C12" s="20"/>
      <c r="I12" s="1"/>
      <c r="J12" s="1"/>
      <c r="K12" s="1"/>
      <c r="L12" s="1"/>
      <c r="M12" s="13"/>
      <c r="O12" s="9"/>
    </row>
    <row r="13" spans="2:15" ht="14.25" customHeight="1" thickBot="1">
      <c r="B13" s="10"/>
      <c r="C13" s="3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ht="8.25" customHeight="1"/>
  </sheetData>
  <sheetProtection selectLockedCells="1"/>
  <mergeCells count="7">
    <mergeCell ref="H11:L11"/>
    <mergeCell ref="H9:L9"/>
    <mergeCell ref="C1:N1"/>
    <mergeCell ref="C2:N2"/>
    <mergeCell ref="C4:I4"/>
    <mergeCell ref="N4:O4"/>
    <mergeCell ref="H6:L6"/>
  </mergeCells>
  <pageMargins left="0.42" right="0.23" top="0.18" bottom="0.26" header="0.21" footer="0.21"/>
  <pageSetup paperSize="9" scale="82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0">
    <pageSetUpPr fitToPage="1"/>
  </sheetPr>
  <dimension ref="B1:O14"/>
  <sheetViews>
    <sheetView zoomScale="115" workbookViewId="0">
      <selection activeCell="E10" sqref="E10"/>
    </sheetView>
  </sheetViews>
  <sheetFormatPr defaultRowHeight="14.4"/>
  <cols>
    <col min="1" max="1" width="1.88671875" style="108" customWidth="1"/>
    <col min="2" max="2" width="1.6640625" style="108" customWidth="1"/>
    <col min="3" max="3" width="6.6640625" style="108" customWidth="1"/>
    <col min="4" max="4" width="10" style="108" customWidth="1"/>
    <col min="5" max="5" width="11" style="108" customWidth="1"/>
    <col min="6" max="6" width="10.33203125" style="108" customWidth="1"/>
    <col min="7" max="7" width="10.88671875" style="108" customWidth="1"/>
    <col min="8" max="8" width="8.6640625" style="108" customWidth="1"/>
    <col min="9" max="9" width="8.109375" style="108" customWidth="1"/>
    <col min="10" max="10" width="9.6640625" style="108" customWidth="1"/>
    <col min="11" max="11" width="10.33203125" style="108" customWidth="1"/>
    <col min="12" max="12" width="9.33203125" style="108" customWidth="1"/>
    <col min="13" max="13" width="17.77734375" style="108" customWidth="1"/>
    <col min="14" max="14" width="8.88671875" style="108"/>
    <col min="15" max="15" width="1.33203125" style="108" customWidth="1"/>
    <col min="16" max="16384" width="8.88671875" style="108"/>
  </cols>
  <sheetData>
    <row r="1" spans="2:15" ht="21">
      <c r="C1" s="202" t="s">
        <v>34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2:15" ht="15" customHeight="1">
      <c r="C2" s="203" t="s">
        <v>123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2:15" ht="8.25" customHeight="1" thickBot="1"/>
    <row r="4" spans="2:15" ht="17.25" customHeight="1" thickBot="1">
      <c r="B4" s="135"/>
      <c r="C4" s="204" t="s">
        <v>15</v>
      </c>
      <c r="D4" s="204"/>
      <c r="E4" s="204"/>
      <c r="F4" s="204"/>
      <c r="G4" s="204"/>
      <c r="H4" s="204"/>
      <c r="I4" s="205"/>
      <c r="J4" s="134"/>
      <c r="K4" s="134"/>
      <c r="L4" s="134"/>
      <c r="N4" s="206" t="s">
        <v>65</v>
      </c>
      <c r="O4" s="206"/>
    </row>
    <row r="5" spans="2:15" ht="9" customHeight="1" thickBot="1">
      <c r="B5" s="133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1"/>
    </row>
    <row r="6" spans="2:15" ht="18.600000000000001" thickBot="1">
      <c r="B6" s="117"/>
      <c r="C6" s="130" t="s">
        <v>22</v>
      </c>
      <c r="H6" s="199" t="s">
        <v>124</v>
      </c>
      <c r="I6" s="200"/>
      <c r="J6" s="200"/>
      <c r="K6" s="200"/>
      <c r="L6" s="201"/>
      <c r="M6" s="119">
        <v>6000</v>
      </c>
      <c r="N6" s="118" t="s">
        <v>6</v>
      </c>
      <c r="O6" s="113"/>
    </row>
    <row r="7" spans="2:15" ht="18.600000000000001" thickBot="1">
      <c r="B7" s="117"/>
      <c r="C7" s="114" t="s">
        <v>26</v>
      </c>
      <c r="E7" s="125">
        <v>8</v>
      </c>
      <c r="F7" s="108" t="s">
        <v>9</v>
      </c>
      <c r="H7" s="129"/>
      <c r="I7" s="128"/>
      <c r="J7" s="128"/>
      <c r="K7" s="128"/>
      <c r="L7" s="127"/>
      <c r="M7" s="119"/>
      <c r="N7" s="118"/>
      <c r="O7" s="113"/>
    </row>
    <row r="8" spans="2:15" ht="18.600000000000001" thickBot="1">
      <c r="B8" s="117"/>
      <c r="C8" s="114" t="s">
        <v>27</v>
      </c>
      <c r="E8" s="125">
        <v>2.5</v>
      </c>
      <c r="F8" s="108" t="s">
        <v>9</v>
      </c>
      <c r="H8" s="126"/>
      <c r="I8" s="121"/>
      <c r="J8" s="121"/>
      <c r="K8" s="121"/>
      <c r="L8" s="121"/>
      <c r="M8" s="114"/>
      <c r="O8" s="113"/>
    </row>
    <row r="9" spans="2:15" ht="18.600000000000001" thickBot="1">
      <c r="B9" s="117"/>
      <c r="C9" s="114" t="s">
        <v>28</v>
      </c>
      <c r="E9" s="125">
        <v>2.65</v>
      </c>
      <c r="F9" s="108" t="s">
        <v>9</v>
      </c>
      <c r="H9" s="199" t="s">
        <v>125</v>
      </c>
      <c r="I9" s="200"/>
      <c r="J9" s="200"/>
      <c r="K9" s="200"/>
      <c r="L9" s="201"/>
      <c r="M9" s="119">
        <f>((E7+E8)*2*E9+E7*E8*2)*M6</f>
        <v>573900</v>
      </c>
      <c r="N9" s="118" t="s">
        <v>6</v>
      </c>
      <c r="O9" s="113"/>
    </row>
    <row r="10" spans="2:15" ht="10.5" customHeight="1" thickBot="1">
      <c r="B10" s="117"/>
      <c r="C10" s="124"/>
      <c r="D10" s="124"/>
      <c r="E10" s="124"/>
      <c r="F10" s="123"/>
      <c r="H10" s="122"/>
      <c r="I10" s="121"/>
      <c r="J10" s="121"/>
      <c r="K10" s="121"/>
      <c r="L10" s="121"/>
      <c r="M10" s="120"/>
      <c r="O10" s="113"/>
    </row>
    <row r="11" spans="2:15" ht="14.25" customHeight="1" thickBot="1">
      <c r="B11" s="117"/>
      <c r="C11" s="116"/>
      <c r="H11" s="199" t="s">
        <v>127</v>
      </c>
      <c r="I11" s="200"/>
      <c r="J11" s="200"/>
      <c r="K11" s="200"/>
      <c r="L11" s="201"/>
      <c r="M11" s="119">
        <f>((E7+E8)*2*E9+E7*E8*2+E8*E9*2)*24+(E7+E8+E9)*1.15*4*7.05</f>
        <v>3040.0545000000002</v>
      </c>
      <c r="N11" s="118" t="s">
        <v>126</v>
      </c>
      <c r="O11" s="113"/>
    </row>
    <row r="12" spans="2:15" ht="14.25" customHeight="1">
      <c r="B12" s="117"/>
      <c r="C12" s="116"/>
      <c r="I12" s="115"/>
      <c r="J12" s="115"/>
      <c r="K12" s="115"/>
      <c r="L12" s="115"/>
      <c r="M12" s="114"/>
      <c r="O12" s="113"/>
    </row>
    <row r="13" spans="2:15" ht="14.25" customHeight="1" thickBot="1">
      <c r="B13" s="112"/>
      <c r="C13" s="111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09"/>
    </row>
    <row r="14" spans="2:15" ht="8.25" customHeight="1"/>
  </sheetData>
  <sheetProtection selectLockedCells="1"/>
  <mergeCells count="7">
    <mergeCell ref="H9:L9"/>
    <mergeCell ref="H11:L11"/>
    <mergeCell ref="C1:N1"/>
    <mergeCell ref="C2:N2"/>
    <mergeCell ref="C4:I4"/>
    <mergeCell ref="N4:O4"/>
    <mergeCell ref="H6:L6"/>
  </mergeCells>
  <pageMargins left="0.42000000000000004" right="0.23000000000000004" top="0.18000000000000005" bottom="0.26" header="0.21000000000000002" footer="0.21000000000000002"/>
  <pageSetup paperSize="9" scale="82" orientation="portrait" horizontalDpi="180" verticalDpi="18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C5:I51"/>
  <sheetViews>
    <sheetView workbookViewId="0">
      <selection activeCell="G21" sqref="G21"/>
    </sheetView>
  </sheetViews>
  <sheetFormatPr defaultRowHeight="14.4"/>
  <cols>
    <col min="3" max="3" width="36.109375" customWidth="1"/>
    <col min="4" max="4" width="24.44140625" customWidth="1"/>
    <col min="5" max="5" width="17.33203125" customWidth="1"/>
    <col min="6" max="6" width="14.6640625" customWidth="1"/>
    <col min="7" max="7" width="19.33203125" customWidth="1"/>
    <col min="8" max="8" width="29.33203125" customWidth="1"/>
    <col min="9" max="9" width="26.6640625" customWidth="1"/>
  </cols>
  <sheetData>
    <row r="5" spans="3:8" ht="15" thickBot="1">
      <c r="C5" s="45" t="s">
        <v>77</v>
      </c>
      <c r="D5" s="45" t="s">
        <v>112</v>
      </c>
      <c r="E5" s="45" t="s">
        <v>78</v>
      </c>
      <c r="F5" s="45" t="s">
        <v>116</v>
      </c>
      <c r="G5" s="45" t="s">
        <v>117</v>
      </c>
      <c r="H5" s="45" t="s">
        <v>118</v>
      </c>
    </row>
    <row r="6" spans="3:8" ht="15" thickBot="1">
      <c r="C6" s="45" t="s">
        <v>79</v>
      </c>
      <c r="D6" s="45">
        <v>165</v>
      </c>
      <c r="E6" s="45">
        <v>0.12</v>
      </c>
      <c r="G6" s="45"/>
      <c r="H6" s="44"/>
    </row>
    <row r="7" spans="3:8" ht="15" thickBot="1">
      <c r="C7" s="45" t="s">
        <v>80</v>
      </c>
      <c r="D7" s="45">
        <v>215</v>
      </c>
      <c r="E7" s="45">
        <v>0.16</v>
      </c>
      <c r="G7" s="45"/>
      <c r="H7" s="44"/>
    </row>
    <row r="8" spans="3:8" ht="15" thickBot="1">
      <c r="C8" s="45" t="s">
        <v>81</v>
      </c>
      <c r="D8" s="45">
        <v>265</v>
      </c>
      <c r="E8" s="45">
        <v>0.2</v>
      </c>
      <c r="G8" s="45"/>
      <c r="H8" s="44"/>
    </row>
    <row r="9" spans="3:8" ht="15" thickBot="1">
      <c r="C9" s="45" t="s">
        <v>82</v>
      </c>
      <c r="D9" s="45">
        <v>365</v>
      </c>
      <c r="E9" s="45">
        <v>0.33</v>
      </c>
      <c r="G9" s="45"/>
      <c r="H9" s="47"/>
    </row>
    <row r="10" spans="3:8" ht="15" thickBot="1">
      <c r="C10" s="45" t="s">
        <v>83</v>
      </c>
      <c r="D10" s="45">
        <v>480</v>
      </c>
      <c r="E10" s="45">
        <v>0.43</v>
      </c>
      <c r="G10" s="45"/>
      <c r="H10" s="44"/>
    </row>
    <row r="11" spans="3:8" ht="15" thickBot="1">
      <c r="C11" s="45" t="s">
        <v>84</v>
      </c>
      <c r="D11" s="45">
        <v>540</v>
      </c>
      <c r="E11" s="45">
        <v>0.54</v>
      </c>
      <c r="G11" s="45"/>
      <c r="H11" s="44"/>
    </row>
    <row r="12" spans="3:8" ht="15" thickBot="1">
      <c r="C12" s="45" t="s">
        <v>85</v>
      </c>
      <c r="D12" s="45">
        <v>665</v>
      </c>
      <c r="E12" s="45">
        <v>0.68</v>
      </c>
      <c r="G12" s="45"/>
      <c r="H12" s="44"/>
    </row>
    <row r="13" spans="3:8" ht="16.2" thickBot="1">
      <c r="C13" s="45" t="s">
        <v>85</v>
      </c>
      <c r="D13" s="45">
        <v>665</v>
      </c>
      <c r="E13" s="45">
        <v>0.68</v>
      </c>
      <c r="G13" s="45"/>
      <c r="H13" s="46"/>
    </row>
    <row r="14" spans="3:8" ht="16.2" thickBot="1">
      <c r="C14" s="45" t="s">
        <v>85</v>
      </c>
      <c r="D14" s="45">
        <v>665</v>
      </c>
      <c r="E14" s="45">
        <v>0.68</v>
      </c>
      <c r="G14" s="45"/>
      <c r="H14" s="46"/>
    </row>
    <row r="15" spans="3:8" ht="16.2" thickBot="1">
      <c r="C15" s="45" t="s">
        <v>85</v>
      </c>
      <c r="D15" s="45">
        <v>665</v>
      </c>
      <c r="E15" s="45">
        <v>0.68</v>
      </c>
      <c r="G15" s="45"/>
      <c r="H15" s="46"/>
    </row>
    <row r="16" spans="3:8" ht="15" thickBot="1">
      <c r="C16" s="45" t="s">
        <v>86</v>
      </c>
      <c r="D16" s="45">
        <v>740</v>
      </c>
      <c r="E16" s="45">
        <v>0.81</v>
      </c>
      <c r="G16" s="45"/>
      <c r="H16" s="44"/>
    </row>
    <row r="17" spans="3:8" ht="15" thickBot="1">
      <c r="C17" s="45" t="s">
        <v>113</v>
      </c>
      <c r="D17" s="45">
        <v>870</v>
      </c>
      <c r="E17" s="45">
        <v>0.98</v>
      </c>
      <c r="G17" s="45"/>
      <c r="H17" s="44"/>
    </row>
    <row r="18" spans="3:8" ht="15" thickBot="1">
      <c r="C18" s="45" t="s">
        <v>87</v>
      </c>
      <c r="D18" s="45">
        <v>1150</v>
      </c>
      <c r="E18" s="45">
        <v>1.3</v>
      </c>
      <c r="F18">
        <v>12</v>
      </c>
      <c r="G18" s="45">
        <v>500</v>
      </c>
      <c r="H18" s="44">
        <f>E18*F18*G18</f>
        <v>7800.0000000000009</v>
      </c>
    </row>
    <row r="19" spans="3:8" ht="15" thickBot="1">
      <c r="C19" s="45" t="s">
        <v>87</v>
      </c>
      <c r="D19" s="45">
        <v>1150</v>
      </c>
      <c r="E19" s="45">
        <v>1.3</v>
      </c>
      <c r="G19" s="45"/>
      <c r="H19" s="44"/>
    </row>
    <row r="20" spans="3:8" ht="15" thickBot="1">
      <c r="C20" s="45" t="s">
        <v>90</v>
      </c>
      <c r="D20" s="45">
        <v>1425</v>
      </c>
      <c r="E20" s="45">
        <v>1.63</v>
      </c>
      <c r="G20" s="45"/>
      <c r="H20" s="44"/>
    </row>
    <row r="21" spans="3:8" ht="15" thickBot="1">
      <c r="C21" s="45" t="s">
        <v>114</v>
      </c>
      <c r="D21" s="45">
        <v>1025</v>
      </c>
      <c r="E21" s="45">
        <v>1.3</v>
      </c>
      <c r="G21" s="45"/>
      <c r="H21" s="44"/>
    </row>
    <row r="22" spans="3:8" ht="15" thickBot="1">
      <c r="C22" s="45" t="s">
        <v>88</v>
      </c>
      <c r="D22" s="45">
        <v>1320</v>
      </c>
      <c r="E22" s="45">
        <v>1.73</v>
      </c>
      <c r="G22" s="45"/>
      <c r="H22" s="44"/>
    </row>
    <row r="23" spans="3:8" ht="15" thickBot="1">
      <c r="C23" s="45" t="s">
        <v>91</v>
      </c>
      <c r="D23" s="45">
        <v>1625</v>
      </c>
      <c r="E23" s="45">
        <v>2.17</v>
      </c>
      <c r="G23" s="45"/>
      <c r="H23" s="44"/>
    </row>
    <row r="24" spans="3:8" ht="15" thickBot="1">
      <c r="C24" s="45" t="s">
        <v>115</v>
      </c>
      <c r="D24" s="45">
        <v>1155</v>
      </c>
      <c r="E24" s="45">
        <v>1.63</v>
      </c>
      <c r="G24" s="45"/>
      <c r="H24" s="44"/>
    </row>
    <row r="25" spans="3:8" ht="15" thickBot="1">
      <c r="C25" s="45" t="s">
        <v>89</v>
      </c>
      <c r="D25" s="45">
        <v>1480</v>
      </c>
      <c r="E25" s="45">
        <v>2.17</v>
      </c>
      <c r="G25" s="45"/>
      <c r="H25" s="44"/>
    </row>
    <row r="26" spans="3:8" ht="15" thickBot="1">
      <c r="C26" s="45" t="s">
        <v>92</v>
      </c>
      <c r="D26" s="45">
        <v>1820</v>
      </c>
      <c r="E26" s="45">
        <v>2.71</v>
      </c>
      <c r="G26" s="45"/>
      <c r="H26" s="44"/>
    </row>
    <row r="27" spans="3:8" ht="15" thickBot="1">
      <c r="C27" s="45" t="s">
        <v>93</v>
      </c>
      <c r="D27" s="45">
        <v>2070</v>
      </c>
      <c r="E27" s="45">
        <v>3.25</v>
      </c>
      <c r="G27" s="45"/>
      <c r="H27" s="48"/>
    </row>
    <row r="29" spans="3:8">
      <c r="C29" s="45" t="s">
        <v>94</v>
      </c>
      <c r="D29" s="45">
        <v>210</v>
      </c>
      <c r="E29" s="45">
        <v>0.4</v>
      </c>
      <c r="G29" s="45"/>
    </row>
    <row r="30" spans="3:8">
      <c r="C30" s="45" t="s">
        <v>95</v>
      </c>
      <c r="D30" s="45">
        <v>275</v>
      </c>
      <c r="E30" s="45">
        <v>0.53</v>
      </c>
      <c r="G30" s="45"/>
    </row>
    <row r="31" spans="3:8">
      <c r="C31" s="45" t="s">
        <v>96</v>
      </c>
      <c r="D31" s="45">
        <v>340</v>
      </c>
      <c r="E31" s="45">
        <v>0.67</v>
      </c>
      <c r="G31" s="45"/>
    </row>
    <row r="32" spans="3:8">
      <c r="C32" s="45" t="s">
        <v>97</v>
      </c>
      <c r="D32" s="45">
        <v>475</v>
      </c>
      <c r="E32" s="45">
        <v>1.07</v>
      </c>
      <c r="G32" s="45"/>
    </row>
    <row r="33" spans="3:9" ht="15" thickBot="1">
      <c r="C33" s="45" t="s">
        <v>98</v>
      </c>
      <c r="D33" s="45">
        <v>625</v>
      </c>
      <c r="E33" s="45">
        <v>1.43</v>
      </c>
      <c r="G33" s="45"/>
    </row>
    <row r="34" spans="3:9" ht="15" thickBot="1">
      <c r="C34" s="45" t="s">
        <v>99</v>
      </c>
      <c r="D34" s="45">
        <v>700</v>
      </c>
      <c r="E34" s="45">
        <v>1.78</v>
      </c>
      <c r="F34">
        <v>12</v>
      </c>
      <c r="G34" s="45">
        <v>1150</v>
      </c>
      <c r="H34" s="44">
        <f>E34*F34*G34</f>
        <v>24564</v>
      </c>
      <c r="I34" t="s">
        <v>217</v>
      </c>
    </row>
    <row r="35" spans="3:9" ht="15" thickBot="1">
      <c r="C35" s="45" t="s">
        <v>99</v>
      </c>
      <c r="D35" s="45">
        <v>700</v>
      </c>
      <c r="E35" s="45">
        <v>1.78</v>
      </c>
      <c r="F35">
        <v>8</v>
      </c>
      <c r="G35" s="45">
        <v>1150</v>
      </c>
      <c r="H35" s="44">
        <f>E35*F35*G35</f>
        <v>16376</v>
      </c>
      <c r="I35" t="s">
        <v>218</v>
      </c>
    </row>
    <row r="36" spans="3:9">
      <c r="C36" s="45" t="s">
        <v>100</v>
      </c>
      <c r="D36" s="45">
        <v>860</v>
      </c>
      <c r="E36" s="45">
        <v>2.23</v>
      </c>
      <c r="G36" s="45"/>
    </row>
    <row r="37" spans="3:9">
      <c r="C37" s="45" t="s">
        <v>101</v>
      </c>
      <c r="D37" s="45">
        <v>955</v>
      </c>
      <c r="E37" s="45">
        <v>2.67</v>
      </c>
      <c r="G37" s="45"/>
    </row>
    <row r="38" spans="3:9">
      <c r="C38" s="45" t="s">
        <v>102</v>
      </c>
      <c r="D38" s="45">
        <v>1125</v>
      </c>
      <c r="E38" s="45">
        <v>3.21</v>
      </c>
      <c r="G38" s="45"/>
    </row>
    <row r="39" spans="3:9">
      <c r="C39" s="45" t="s">
        <v>105</v>
      </c>
      <c r="D39" s="45">
        <v>1480</v>
      </c>
      <c r="E39" s="45">
        <v>4.28</v>
      </c>
      <c r="G39" s="45"/>
    </row>
    <row r="40" spans="3:9">
      <c r="C40" s="45" t="s">
        <v>108</v>
      </c>
      <c r="D40" s="45">
        <v>1810</v>
      </c>
      <c r="E40" s="45">
        <v>5.35</v>
      </c>
      <c r="G40" s="45"/>
    </row>
    <row r="41" spans="3:9">
      <c r="C41" s="45" t="s">
        <v>103</v>
      </c>
      <c r="D41" s="45">
        <v>1320</v>
      </c>
      <c r="E41" s="45">
        <v>4.28</v>
      </c>
      <c r="G41" s="45"/>
    </row>
    <row r="42" spans="3:9">
      <c r="C42" s="45" t="s">
        <v>106</v>
      </c>
      <c r="D42" s="45">
        <v>1690</v>
      </c>
      <c r="E42" s="45">
        <v>5.7</v>
      </c>
      <c r="G42" s="45"/>
    </row>
    <row r="43" spans="3:9">
      <c r="C43" s="45" t="s">
        <v>109</v>
      </c>
      <c r="D43" s="45">
        <v>2080</v>
      </c>
      <c r="E43" s="45">
        <v>7.13</v>
      </c>
      <c r="G43" s="45"/>
    </row>
    <row r="44" spans="3:9">
      <c r="C44" s="45" t="s">
        <v>104</v>
      </c>
      <c r="D44" s="45">
        <v>1475</v>
      </c>
      <c r="E44" s="45">
        <v>5.35</v>
      </c>
      <c r="G44" s="45"/>
    </row>
    <row r="45" spans="3:9">
      <c r="C45" s="45" t="s">
        <v>107</v>
      </c>
      <c r="D45" s="45">
        <v>1900</v>
      </c>
      <c r="E45" s="45">
        <v>7.13</v>
      </c>
      <c r="G45" s="45"/>
    </row>
    <row r="46" spans="3:9">
      <c r="C46" s="45" t="s">
        <v>110</v>
      </c>
      <c r="D46" s="45">
        <v>2310</v>
      </c>
      <c r="E46" s="45">
        <v>8.91</v>
      </c>
      <c r="G46" s="45"/>
    </row>
    <row r="47" spans="3:9">
      <c r="C47" s="45" t="s">
        <v>111</v>
      </c>
      <c r="D47" s="45">
        <v>2650</v>
      </c>
      <c r="E47" s="45">
        <v>10.69</v>
      </c>
      <c r="G47" s="45"/>
    </row>
    <row r="49" spans="3:6" ht="15" thickBot="1">
      <c r="C49" s="45" t="s">
        <v>119</v>
      </c>
      <c r="D49" t="s">
        <v>120</v>
      </c>
      <c r="E49" t="s">
        <v>121</v>
      </c>
      <c r="F49" t="s">
        <v>70</v>
      </c>
    </row>
    <row r="50" spans="3:6" ht="16.2" thickBot="1">
      <c r="C50" s="45" t="s">
        <v>128</v>
      </c>
      <c r="D50">
        <v>10</v>
      </c>
      <c r="F50" s="46"/>
    </row>
    <row r="51" spans="3:6" ht="72">
      <c r="C51" s="2" t="s">
        <v>122</v>
      </c>
    </row>
  </sheetData>
  <pageMargins left="0.7" right="0.7" top="0.75" bottom="0.75" header="0.3" footer="0.3"/>
</worksheet>
</file>

<file path=customUI/_rels/customUI14.xml.rels><?xml version="1.0" encoding="UTF-8" standalone="yes"?>
<Relationships xmlns="http://schemas.openxmlformats.org/package/2006/relationships"><Relationship Id="radio-antenna" Type="http://schemas.openxmlformats.org/officeDocument/2006/relationships/image" Target="images/radio-antenna.png"/><Relationship Id="telegram" Type="http://schemas.openxmlformats.org/officeDocument/2006/relationships/image" Target="images/telegram.png"/><Relationship Id="whatsapp" Type="http://schemas.openxmlformats.org/officeDocument/2006/relationships/image" Target="images/whatsapp.png"/><Relationship Id="translate" Type="http://schemas.openxmlformats.org/officeDocument/2006/relationships/image" Target="images/translate.png"/><Relationship Id="eplan_logo" Type="http://schemas.openxmlformats.org/officeDocument/2006/relationships/image" Target="images/eplan_logo.png"/><Relationship Id="google" Type="http://schemas.openxmlformats.org/officeDocument/2006/relationships/image" Target="images/google.png"/></Relationships>
</file>

<file path=customUI/customUI14.xml><?xml version="1.0" encoding="utf-8"?>
<!-- <?xml version="1.0" standalone="yes"?> -->
<customUI xmlns="http://schemas.microsoft.com/office/2009/07/customui" onLoad="companyRibbonLoad">
  <ribbon startFromScratch="false">
    <tabs>
      <tab id="Компания_Расчеты" label="Расчеты" insertBeforeMso="TabHome">
        <group id="addOn" label="Надстройка">
          <button id="addOnBtn3" tag="addOnBtn3" size="large" label="Включить события" imageMso="SyncStatusIncomplete" supertip="Если нет отклика приложения на двойное нажатие, изменение, выделение ячейки и т.п., а оно там обычно было (т.е. что-то запускалось/происходило), а теперь тишина. То возможно дело в отключенных событиях. Включите их, нажав эту кнопку." onAction="onRibbonCommonAction"/>
        </group>
        <group id="help" label="Дополнительно">
          <button id="helpBtn4" tag="helpBtn4" size="large" label="Google (ячейка)" image="google" supertip="Поискать содержимое выделенной ячейки в поисковой системе Google." onAction="onRibbonCommonAction"/>
          <button id="helpBtn5" tag="helpBtn5" size="large" label="Перевод на RU (ячейка)" image="translate" supertip="Перевести содержимое ячейки через переводчик Google." onAction="onRibbonCommonAction"/>
          <button id="helpBtn6" tag="helpBtn6" size="large" label="Перевод на EN (ячейка)" image="translate" supertip="Перевести содержимое ячейки через переводчик Google." onAction="onRibbonCommonAction"/>
        </group>
        <group id="technicalDescription" label="Коммерческое предложение">
          <button id="technicalDescriptionBtn1" tag="technicalDescriptionBtn1" size="large" imageMso="GroupPlay" label="Техническое описание" supertip="Запустить макрос создания листов технического описания для всех листов, включенных в расчет." onAction="onRibbonAction"/>
          <button id="preparationForProductionBtn1" tag="preparationForProductionBtn1" size="large" label="Спецификация для заказа" imageMso="CreateDatasheetView" supertip="Выгрузить спецификацию для каждого изделия (подготовка для загрузки в 1С)." onAction="onRibbonAction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ВВ</vt:lpstr>
      <vt:lpstr>Спека ВВ</vt:lpstr>
      <vt:lpstr>#Служ_</vt:lpstr>
      <vt:lpstr>ВК</vt:lpstr>
      <vt:lpstr>Спека ВК</vt:lpstr>
      <vt:lpstr>Металл</vt:lpstr>
      <vt:lpstr>Сэндвич</vt:lpstr>
      <vt:lpstr>Сэндвич (2)</vt:lpstr>
      <vt:lpstr>Расчет шины и кабеля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Lenovo</cp:lastModifiedBy>
  <cp:lastPrinted>2024-02-16T05:12:15Z</cp:lastPrinted>
  <dcterms:created xsi:type="dcterms:W3CDTF">2006-09-28T05:33:49Z</dcterms:created>
  <dcterms:modified xsi:type="dcterms:W3CDTF">2025-02-06T00:42:45Z</dcterms:modified>
</cp:coreProperties>
</file>