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gor Venturin\projetos_github\RHF_Excel_avancado\"/>
    </mc:Choice>
  </mc:AlternateContent>
  <xr:revisionPtr revIDLastSave="0" documentId="13_ncr:1_{ED2C5227-BFB9-4451-B38C-5F3B685F73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dos" sheetId="1" r:id="rId1"/>
    <sheet name="Análise" sheetId="2" r:id="rId2"/>
  </sheets>
  <definedNames>
    <definedName name="_xlnm._FilterDatabase" localSheetId="0" hidden="1">Dados!$A$1:$R$425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1" i="2" l="1"/>
  <c r="AC61" i="2" s="1"/>
  <c r="A61" i="2"/>
  <c r="B61" i="2" s="1"/>
  <c r="AB60" i="2"/>
  <c r="AC60" i="2" s="1"/>
  <c r="A60" i="2"/>
  <c r="B60" i="2" s="1"/>
  <c r="AB59" i="2"/>
  <c r="AC59" i="2" s="1"/>
  <c r="A59" i="2"/>
  <c r="B59" i="2" s="1"/>
  <c r="AB58" i="2"/>
  <c r="AC58" i="2" s="1"/>
  <c r="A58" i="2"/>
  <c r="B58" i="2" s="1"/>
  <c r="AB57" i="2"/>
  <c r="AC57" i="2" s="1"/>
  <c r="A57" i="2"/>
  <c r="B57" i="2" s="1"/>
  <c r="AB56" i="2"/>
  <c r="AC56" i="2" s="1"/>
  <c r="A56" i="2"/>
  <c r="B56" i="2" s="1"/>
  <c r="AB55" i="2"/>
  <c r="AC55" i="2" s="1"/>
  <c r="A55" i="2"/>
  <c r="B55" i="2" s="1"/>
  <c r="AB54" i="2"/>
  <c r="AC54" i="2" s="1"/>
  <c r="A54" i="2"/>
  <c r="B54" i="2" s="1"/>
  <c r="AB53" i="2"/>
  <c r="AC53" i="2" s="1"/>
  <c r="A53" i="2"/>
  <c r="B53" i="2" s="1"/>
  <c r="AB52" i="2"/>
  <c r="AC52" i="2" s="1"/>
  <c r="A52" i="2"/>
  <c r="B52" i="2" s="1"/>
  <c r="AB51" i="2"/>
  <c r="AC51" i="2" s="1"/>
  <c r="A51" i="2"/>
  <c r="B51" i="2" s="1"/>
  <c r="AB50" i="2"/>
  <c r="AC50" i="2" s="1"/>
  <c r="A50" i="2"/>
  <c r="B50" i="2" s="1"/>
  <c r="AB49" i="2"/>
  <c r="AC49" i="2" s="1"/>
  <c r="A49" i="2"/>
  <c r="B49" i="2" s="1"/>
  <c r="AB48" i="2"/>
  <c r="AC48" i="2" s="1"/>
  <c r="A48" i="2"/>
  <c r="B48" i="2" s="1"/>
  <c r="AB47" i="2"/>
  <c r="AC47" i="2" s="1"/>
  <c r="A47" i="2"/>
  <c r="B47" i="2" s="1"/>
  <c r="AB46" i="2"/>
  <c r="AC46" i="2" s="1"/>
  <c r="A46" i="2"/>
  <c r="B46" i="2" s="1"/>
  <c r="AB45" i="2"/>
  <c r="AC45" i="2" s="1"/>
  <c r="A45" i="2"/>
  <c r="B45" i="2" s="1"/>
  <c r="AB44" i="2"/>
  <c r="AC44" i="2" s="1"/>
  <c r="A44" i="2"/>
  <c r="B44" i="2" s="1"/>
  <c r="AB43" i="2"/>
  <c r="AC43" i="2" s="1"/>
  <c r="A43" i="2"/>
  <c r="B43" i="2" s="1"/>
  <c r="AB42" i="2"/>
  <c r="AC42" i="2" s="1"/>
  <c r="A42" i="2"/>
  <c r="B42" i="2" s="1"/>
  <c r="AB41" i="2"/>
  <c r="AC41" i="2" s="1"/>
  <c r="A41" i="2"/>
  <c r="B41" i="2" s="1"/>
  <c r="AB40" i="2"/>
  <c r="AC40" i="2" s="1"/>
  <c r="A40" i="2"/>
  <c r="B40" i="2" s="1"/>
  <c r="AB39" i="2"/>
  <c r="AC39" i="2" s="1"/>
  <c r="A39" i="2"/>
  <c r="B39" i="2" s="1"/>
  <c r="AB38" i="2"/>
  <c r="AC38" i="2" s="1"/>
  <c r="A38" i="2"/>
  <c r="B38" i="2" s="1"/>
  <c r="AB37" i="2"/>
  <c r="AC37" i="2" s="1"/>
  <c r="A37" i="2"/>
  <c r="B37" i="2" s="1"/>
  <c r="AB36" i="2"/>
  <c r="AC36" i="2" s="1"/>
  <c r="A36" i="2"/>
  <c r="B36" i="2" s="1"/>
  <c r="AB35" i="2"/>
  <c r="AC35" i="2" s="1"/>
  <c r="A35" i="2"/>
  <c r="B35" i="2" s="1"/>
  <c r="AB34" i="2"/>
  <c r="AC34" i="2" s="1"/>
  <c r="A34" i="2"/>
  <c r="B34" i="2" s="1"/>
  <c r="AB33" i="2"/>
  <c r="AC33" i="2" s="1"/>
  <c r="A33" i="2"/>
  <c r="B33" i="2" s="1"/>
  <c r="AB32" i="2"/>
  <c r="AC32" i="2" s="1"/>
  <c r="A32" i="2"/>
  <c r="B32" i="2" s="1"/>
  <c r="AB31" i="2"/>
  <c r="AC31" i="2" s="1"/>
  <c r="Q31" i="2"/>
  <c r="M31" i="2"/>
  <c r="A31" i="2"/>
  <c r="B31" i="2" s="1"/>
  <c r="AB30" i="2"/>
  <c r="AC30" i="2" s="1"/>
  <c r="M30" i="2"/>
  <c r="A30" i="2"/>
  <c r="B30" i="2" s="1"/>
  <c r="AB29" i="2"/>
  <c r="AC29" i="2" s="1"/>
  <c r="Q29" i="2"/>
  <c r="M29" i="2"/>
  <c r="U29" i="2" s="1"/>
  <c r="A29" i="2"/>
  <c r="B29" i="2" s="1"/>
  <c r="AB28" i="2"/>
  <c r="AC28" i="2" s="1"/>
  <c r="M28" i="2"/>
  <c r="U28" i="2" s="1"/>
  <c r="A28" i="2"/>
  <c r="B28" i="2" s="1"/>
  <c r="AB27" i="2"/>
  <c r="AC27" i="2" s="1"/>
  <c r="M27" i="2"/>
  <c r="A27" i="2"/>
  <c r="B27" i="2" s="1"/>
  <c r="AB26" i="2"/>
  <c r="AC26" i="2" s="1"/>
  <c r="U26" i="2"/>
  <c r="M26" i="2"/>
  <c r="A26" i="2"/>
  <c r="B26" i="2" s="1"/>
  <c r="AB25" i="2"/>
  <c r="AC25" i="2" s="1"/>
  <c r="M25" i="2"/>
  <c r="Q25" i="2" s="1"/>
  <c r="A25" i="2"/>
  <c r="B25" i="2" s="1"/>
  <c r="AB24" i="2"/>
  <c r="AC24" i="2" s="1"/>
  <c r="M24" i="2"/>
  <c r="A24" i="2"/>
  <c r="B24" i="2" s="1"/>
  <c r="AB23" i="2"/>
  <c r="AC23" i="2" s="1"/>
  <c r="U23" i="2"/>
  <c r="Q23" i="2"/>
  <c r="M23" i="2"/>
  <c r="A23" i="2"/>
  <c r="B23" i="2" s="1"/>
  <c r="AB22" i="2"/>
  <c r="AC22" i="2" s="1"/>
  <c r="M22" i="2"/>
  <c r="U22" i="2" s="1"/>
  <c r="A22" i="2"/>
  <c r="B22" i="2" s="1"/>
  <c r="AB21" i="2"/>
  <c r="AC21" i="2" s="1"/>
  <c r="M21" i="2"/>
  <c r="Q21" i="2" s="1"/>
  <c r="A21" i="2"/>
  <c r="B21" i="2" s="1"/>
  <c r="AB20" i="2"/>
  <c r="AC20" i="2" s="1"/>
  <c r="M20" i="2"/>
  <c r="U20" i="2" s="1"/>
  <c r="A20" i="2"/>
  <c r="B20" i="2" s="1"/>
  <c r="AB19" i="2"/>
  <c r="AC19" i="2" s="1"/>
  <c r="Q19" i="2"/>
  <c r="M19" i="2"/>
  <c r="A19" i="2"/>
  <c r="B19" i="2" s="1"/>
  <c r="AB18" i="2"/>
  <c r="AC18" i="2" s="1"/>
  <c r="M18" i="2"/>
  <c r="A18" i="2"/>
  <c r="B18" i="2" s="1"/>
  <c r="AB17" i="2"/>
  <c r="AC17" i="2" s="1"/>
  <c r="M17" i="2"/>
  <c r="U17" i="2" s="1"/>
  <c r="A17" i="2"/>
  <c r="B17" i="2" s="1"/>
  <c r="AB16" i="2"/>
  <c r="AC16" i="2" s="1"/>
  <c r="M16" i="2"/>
  <c r="A16" i="2"/>
  <c r="B16" i="2" s="1"/>
  <c r="AB15" i="2"/>
  <c r="AC15" i="2" s="1"/>
  <c r="M15" i="2"/>
  <c r="Q15" i="2" s="1"/>
  <c r="A15" i="2"/>
  <c r="B15" i="2" s="1"/>
  <c r="AB14" i="2"/>
  <c r="AC14" i="2" s="1"/>
  <c r="U14" i="2"/>
  <c r="M14" i="2"/>
  <c r="A14" i="2"/>
  <c r="B14" i="2" s="1"/>
  <c r="AB13" i="2"/>
  <c r="AC13" i="2" s="1"/>
  <c r="Q13" i="2"/>
  <c r="M13" i="2"/>
  <c r="A13" i="2"/>
  <c r="B13" i="2" s="1"/>
  <c r="AB12" i="2"/>
  <c r="AC12" i="2" s="1"/>
  <c r="M12" i="2"/>
  <c r="A12" i="2"/>
  <c r="B12" i="2" s="1"/>
  <c r="AB11" i="2"/>
  <c r="AC11" i="2" s="1"/>
  <c r="Q11" i="2"/>
  <c r="M11" i="2"/>
  <c r="U11" i="2" s="1"/>
  <c r="A11" i="2"/>
  <c r="B11" i="2" s="1"/>
  <c r="AB10" i="2"/>
  <c r="AC10" i="2" s="1"/>
  <c r="M10" i="2"/>
  <c r="A10" i="2"/>
  <c r="B10" i="2" s="1"/>
  <c r="AB9" i="2"/>
  <c r="AC9" i="2" s="1"/>
  <c r="M9" i="2"/>
  <c r="A9" i="2"/>
  <c r="B9" i="2" s="1"/>
  <c r="AB8" i="2"/>
  <c r="AC8" i="2" s="1"/>
  <c r="Z8" i="2"/>
  <c r="AA8" i="2" s="1"/>
  <c r="W8" i="2"/>
  <c r="U8" i="2"/>
  <c r="S8" i="2"/>
  <c r="M8" i="2"/>
  <c r="Q8" i="2" s="1"/>
  <c r="E8" i="2"/>
  <c r="F8" i="2" s="1"/>
  <c r="A8" i="2"/>
  <c r="B8" i="2" s="1"/>
  <c r="AB7" i="2"/>
  <c r="AC7" i="2" s="1"/>
  <c r="Z7" i="2"/>
  <c r="AA7" i="2" s="1"/>
  <c r="W7" i="2"/>
  <c r="S7" i="2"/>
  <c r="M7" i="2"/>
  <c r="E7" i="2"/>
  <c r="F7" i="2" s="1"/>
  <c r="A7" i="2"/>
  <c r="B7" i="2" s="1"/>
  <c r="AB6" i="2"/>
  <c r="AC6" i="2" s="1"/>
  <c r="Z6" i="2"/>
  <c r="AA6" i="2" s="1"/>
  <c r="W6" i="2"/>
  <c r="U6" i="2"/>
  <c r="S6" i="2"/>
  <c r="Q6" i="2"/>
  <c r="M6" i="2"/>
  <c r="E6" i="2"/>
  <c r="F6" i="2" s="1"/>
  <c r="A6" i="2"/>
  <c r="B6" i="2" s="1"/>
  <c r="AB5" i="2"/>
  <c r="AC5" i="2" s="1"/>
  <c r="Z5" i="2"/>
  <c r="AA5" i="2" s="1"/>
  <c r="W5" i="2"/>
  <c r="S5" i="2"/>
  <c r="M5" i="2"/>
  <c r="E5" i="2"/>
  <c r="F5" i="2" s="1"/>
  <c r="A5" i="2"/>
  <c r="B5" i="2" s="1"/>
  <c r="AF4" i="2"/>
  <c r="AB4" i="2"/>
  <c r="AC4" i="2" s="1"/>
  <c r="Z4" i="2"/>
  <c r="AA4" i="2" s="1"/>
  <c r="W4" i="2"/>
  <c r="S4" i="2"/>
  <c r="M4" i="2"/>
  <c r="Q4" i="2" s="1"/>
  <c r="E4" i="2"/>
  <c r="F4" i="2" s="1"/>
  <c r="A4" i="2"/>
  <c r="B4" i="2" s="1"/>
  <c r="AF3" i="2"/>
  <c r="AB3" i="2"/>
  <c r="AC3" i="2" s="1"/>
  <c r="Z3" i="2"/>
  <c r="AA3" i="2" s="1"/>
  <c r="W3" i="2"/>
  <c r="S3" i="2"/>
  <c r="M3" i="2"/>
  <c r="K3" i="2"/>
  <c r="J3" i="2"/>
  <c r="L3" i="2" s="1"/>
  <c r="H3" i="2"/>
  <c r="G3" i="2"/>
  <c r="I3" i="2" s="1"/>
  <c r="E3" i="2"/>
  <c r="F3" i="2" s="1"/>
  <c r="A3" i="2"/>
  <c r="B3" i="2" s="1"/>
  <c r="AF2" i="2"/>
  <c r="AB2" i="2"/>
  <c r="AC2" i="2" s="1"/>
  <c r="Z2" i="2"/>
  <c r="AA2" i="2" s="1"/>
  <c r="Y2" i="2"/>
  <c r="W2" i="2"/>
  <c r="S2" i="2"/>
  <c r="M2" i="2"/>
  <c r="U2" i="2" s="1"/>
  <c r="E2" i="2"/>
  <c r="F2" i="2" s="1"/>
  <c r="A2" i="2"/>
  <c r="B2" i="2" s="1"/>
  <c r="AH1" i="2" a="1"/>
  <c r="AN1" i="2" s="1"/>
  <c r="U4" i="2" l="1"/>
  <c r="Q17" i="2"/>
  <c r="AN4" i="2"/>
  <c r="AN3" i="2"/>
  <c r="AM1" i="2"/>
  <c r="N10" i="2"/>
  <c r="V10" i="2"/>
  <c r="R10" i="2"/>
  <c r="V9" i="2"/>
  <c r="R9" i="2"/>
  <c r="N9" i="2"/>
  <c r="Q10" i="2"/>
  <c r="V27" i="2"/>
  <c r="R27" i="2"/>
  <c r="N27" i="2"/>
  <c r="Q28" i="2"/>
  <c r="V2" i="2"/>
  <c r="AN2" i="2"/>
  <c r="V12" i="2"/>
  <c r="R12" i="2"/>
  <c r="N12" i="2"/>
  <c r="AI1" i="2"/>
  <c r="AI2" i="2" s="1"/>
  <c r="AM4" i="2"/>
  <c r="AG4" i="2"/>
  <c r="AI4" i="2"/>
  <c r="N16" i="2"/>
  <c r="V16" i="2"/>
  <c r="R16" i="2"/>
  <c r="AJ1" i="2"/>
  <c r="AJ4" i="2" s="1"/>
  <c r="R2" i="2"/>
  <c r="AJ2" i="2"/>
  <c r="Q22" i="2"/>
  <c r="AK1" i="2"/>
  <c r="AK2" i="2" s="1"/>
  <c r="R5" i="2"/>
  <c r="V5" i="2"/>
  <c r="N5" i="2"/>
  <c r="R7" i="2"/>
  <c r="V7" i="2"/>
  <c r="N7" i="2"/>
  <c r="R14" i="2"/>
  <c r="N14" i="2"/>
  <c r="V14" i="2"/>
  <c r="U16" i="2"/>
  <c r="R20" i="2"/>
  <c r="N20" i="2"/>
  <c r="V20" i="2"/>
  <c r="R26" i="2"/>
  <c r="N26" i="2"/>
  <c r="V26" i="2"/>
  <c r="Q27" i="2"/>
  <c r="Q2" i="2"/>
  <c r="U12" i="2"/>
  <c r="V15" i="2"/>
  <c r="R15" i="2"/>
  <c r="N15" i="2"/>
  <c r="Q16" i="2"/>
  <c r="V21" i="2"/>
  <c r="R21" i="2"/>
  <c r="N21" i="2"/>
  <c r="R3" i="2"/>
  <c r="V3" i="2"/>
  <c r="N3" i="2"/>
  <c r="Q9" i="2"/>
  <c r="U10" i="2"/>
  <c r="AL1" i="2"/>
  <c r="AL3" i="2" s="1"/>
  <c r="AM2" i="2"/>
  <c r="Q3" i="2"/>
  <c r="AM3" i="2"/>
  <c r="AG3" i="2"/>
  <c r="AI3" i="2"/>
  <c r="Q5" i="2"/>
  <c r="Q7" i="2"/>
  <c r="U9" i="2"/>
  <c r="N13" i="2"/>
  <c r="V13" i="2"/>
  <c r="R13" i="2"/>
  <c r="Q14" i="2"/>
  <c r="U15" i="2"/>
  <c r="N19" i="2"/>
  <c r="V19" i="2"/>
  <c r="R19" i="2"/>
  <c r="Q20" i="2"/>
  <c r="U21" i="2"/>
  <c r="N25" i="2"/>
  <c r="V25" i="2"/>
  <c r="R25" i="2"/>
  <c r="Q26" i="2"/>
  <c r="U27" i="2"/>
  <c r="N31" i="2"/>
  <c r="V31" i="2"/>
  <c r="R31" i="2"/>
  <c r="AH1" i="2"/>
  <c r="AH3" i="2" s="1"/>
  <c r="V18" i="2"/>
  <c r="R18" i="2"/>
  <c r="N18" i="2"/>
  <c r="V24" i="2"/>
  <c r="R24" i="2"/>
  <c r="N24" i="2"/>
  <c r="V30" i="2"/>
  <c r="R30" i="2"/>
  <c r="N30" i="2"/>
  <c r="N2" i="2"/>
  <c r="AG2" i="2"/>
  <c r="AP2" i="2" s="1"/>
  <c r="U3" i="2"/>
  <c r="AJ3" i="2"/>
  <c r="R4" i="2"/>
  <c r="V4" i="2"/>
  <c r="N4" i="2"/>
  <c r="U5" i="2"/>
  <c r="R6" i="2"/>
  <c r="V6" i="2"/>
  <c r="N6" i="2"/>
  <c r="U7" i="2"/>
  <c r="R8" i="2"/>
  <c r="V8" i="2"/>
  <c r="N8" i="2"/>
  <c r="R11" i="2"/>
  <c r="N11" i="2"/>
  <c r="V11" i="2"/>
  <c r="Q12" i="2"/>
  <c r="U13" i="2"/>
  <c r="R17" i="2"/>
  <c r="N17" i="2"/>
  <c r="V17" i="2"/>
  <c r="Q18" i="2"/>
  <c r="U19" i="2"/>
  <c r="R23" i="2"/>
  <c r="N23" i="2"/>
  <c r="V23" i="2"/>
  <c r="Q24" i="2"/>
  <c r="U25" i="2"/>
  <c r="R29" i="2"/>
  <c r="N29" i="2"/>
  <c r="V29" i="2"/>
  <c r="Q30" i="2"/>
  <c r="U31" i="2"/>
  <c r="U18" i="2"/>
  <c r="N22" i="2"/>
  <c r="V22" i="2"/>
  <c r="R22" i="2"/>
  <c r="U24" i="2"/>
  <c r="N28" i="2"/>
  <c r="V28" i="2"/>
  <c r="R28" i="2"/>
  <c r="U30" i="2"/>
  <c r="T4" i="2" l="1"/>
  <c r="T5" i="2"/>
  <c r="AK3" i="2"/>
  <c r="AO3" i="2" s="1"/>
  <c r="X2" i="2"/>
  <c r="X3" i="2"/>
  <c r="T8" i="2"/>
  <c r="T2" i="2"/>
  <c r="X8" i="2"/>
  <c r="X5" i="2"/>
  <c r="T3" i="2"/>
  <c r="T7" i="2"/>
  <c r="X7" i="2"/>
  <c r="X4" i="2"/>
  <c r="T6" i="2"/>
  <c r="X6" i="2"/>
  <c r="AP3" i="2"/>
  <c r="AH2" i="2"/>
  <c r="AH4" i="2"/>
  <c r="AL4" i="2"/>
  <c r="AK4" i="2"/>
  <c r="AL2" i="2"/>
  <c r="AP4" i="2"/>
  <c r="AO4" i="2" l="1"/>
  <c r="AO2" i="2"/>
  <c r="AQ2" i="2" s="1"/>
  <c r="AQ4" i="2" l="1"/>
  <c r="AQ3" i="2"/>
</calcChain>
</file>

<file path=xl/sharedStrings.xml><?xml version="1.0" encoding="utf-8"?>
<sst xmlns="http://schemas.openxmlformats.org/spreadsheetml/2006/main" count="1435" uniqueCount="106">
  <si>
    <t>Título do vídeo</t>
  </si>
  <si>
    <t>Editor</t>
  </si>
  <si>
    <t>Dispositivo de impressão</t>
  </si>
  <si>
    <t>Data de publicação</t>
  </si>
  <si>
    <t>Alcance</t>
  </si>
  <si>
    <t>Valor Gasto (BRL)</t>
  </si>
  <si>
    <t>Click-to-Play</t>
  </si>
  <si>
    <t>Visualizações 10 segundos</t>
  </si>
  <si>
    <t>Visualizações de 25% do vídeo</t>
  </si>
  <si>
    <t>Visualizações de 50% do vídeo</t>
  </si>
  <si>
    <t>Visualizações de 75% do vídeo</t>
  </si>
  <si>
    <t>Visualizações de 95% do vídeo</t>
  </si>
  <si>
    <t>Tempo médio assistido do vídeo</t>
  </si>
  <si>
    <t>Ações</t>
  </si>
  <si>
    <t>Compartilhamentos da publicação</t>
  </si>
  <si>
    <t>Comentários na publicação</t>
  </si>
  <si>
    <t>Envolvimento com a publicação</t>
  </si>
  <si>
    <t>Reações à publicação</t>
  </si>
  <si>
    <t>Vídeo 1</t>
  </si>
  <si>
    <t>Osvaldo</t>
  </si>
  <si>
    <t>Outros</t>
  </si>
  <si>
    <t>iPod</t>
  </si>
  <si>
    <t>iPad</t>
  </si>
  <si>
    <t>Tablet Android</t>
  </si>
  <si>
    <t>Desktop</t>
  </si>
  <si>
    <t>iPhone</t>
  </si>
  <si>
    <t>Smartphone Android</t>
  </si>
  <si>
    <t>Vídeo 10</t>
  </si>
  <si>
    <t>Vídeo 11</t>
  </si>
  <si>
    <t>Luiz</t>
  </si>
  <si>
    <t>Vídeo 12</t>
  </si>
  <si>
    <t>Vídeo 13</t>
  </si>
  <si>
    <t>Marcos</t>
  </si>
  <si>
    <t>Vídeo 14</t>
  </si>
  <si>
    <t>Vídeo 15</t>
  </si>
  <si>
    <t>Vídeo 16</t>
  </si>
  <si>
    <t>Vídeo 17</t>
  </si>
  <si>
    <t>Vídeo 18</t>
  </si>
  <si>
    <t>Vídeo 19</t>
  </si>
  <si>
    <t>Vídeo 2</t>
  </si>
  <si>
    <t>Vídeo 20</t>
  </si>
  <si>
    <t>Vídeo 21</t>
  </si>
  <si>
    <t>Vídeo 22</t>
  </si>
  <si>
    <t>Vídeo 23</t>
  </si>
  <si>
    <t>Vídeo 24</t>
  </si>
  <si>
    <t>Vídeo 25</t>
  </si>
  <si>
    <t>Vídeo 26</t>
  </si>
  <si>
    <t>Vídeo 27</t>
  </si>
  <si>
    <t>Vídeo 28</t>
  </si>
  <si>
    <t>Vídeo 29</t>
  </si>
  <si>
    <t>Vídeo 3</t>
  </si>
  <si>
    <t>Vídeo 30</t>
  </si>
  <si>
    <t>Vídeo 31</t>
  </si>
  <si>
    <t>Vídeo 32</t>
  </si>
  <si>
    <t>Vídeo 33</t>
  </si>
  <si>
    <t>Vídeo 34</t>
  </si>
  <si>
    <t>Vídeo 35</t>
  </si>
  <si>
    <t>Vídeo 36</t>
  </si>
  <si>
    <t>Vídeo 37</t>
  </si>
  <si>
    <t>Vídeo 38</t>
  </si>
  <si>
    <t>Vídeo 39</t>
  </si>
  <si>
    <t>Vídeo 4</t>
  </si>
  <si>
    <t>Vídeo 40</t>
  </si>
  <si>
    <t>Vídeo 41</t>
  </si>
  <si>
    <t>Vídeo 42</t>
  </si>
  <si>
    <t>Vídeo 43</t>
  </si>
  <si>
    <t>Vídeo 44</t>
  </si>
  <si>
    <t>Vídeo 45</t>
  </si>
  <si>
    <t>Vídeo 46</t>
  </si>
  <si>
    <t>Vídeo 47</t>
  </si>
  <si>
    <t>Vídeo 48</t>
  </si>
  <si>
    <t>Vídeo 49</t>
  </si>
  <si>
    <t>Vídeo 5</t>
  </si>
  <si>
    <t>Vídeo 50</t>
  </si>
  <si>
    <t>Vídeo 51</t>
  </si>
  <si>
    <t>Vídeo 52</t>
  </si>
  <si>
    <t>Vídeo 53</t>
  </si>
  <si>
    <t>Vídeo 54</t>
  </si>
  <si>
    <t>Vídeo 55</t>
  </si>
  <si>
    <t>Vídeo 56</t>
  </si>
  <si>
    <t>Vídeo 57</t>
  </si>
  <si>
    <t>Vídeo 58</t>
  </si>
  <si>
    <t>Vídeo 59</t>
  </si>
  <si>
    <t>Vídeo 6</t>
  </si>
  <si>
    <t>Vídeo 60</t>
  </si>
  <si>
    <t>Vídeo 7</t>
  </si>
  <si>
    <t>Vídeo 8</t>
  </si>
  <si>
    <t>Vídeo 9</t>
  </si>
  <si>
    <t>Video com maior alcance:</t>
  </si>
  <si>
    <t>RANK:</t>
  </si>
  <si>
    <t>Dispositivo com maior alcance:</t>
  </si>
  <si>
    <t>CPV75% médio de todos:</t>
  </si>
  <si>
    <t>CPV75% médio de DESKTOP:</t>
  </si>
  <si>
    <t>Mês com menor valor CPV75%:</t>
  </si>
  <si>
    <t>Dia da semana com melhor média V75%:</t>
  </si>
  <si>
    <t>Dia da semana com CPV75% mais caro para Iphone:</t>
  </si>
  <si>
    <t>Tempo médio assistido de todos os videos:</t>
  </si>
  <si>
    <t>Dispositivo com o maior tempo médio assistido:</t>
  </si>
  <si>
    <t>Video com maior tempo assistido:</t>
  </si>
  <si>
    <t>Tempo média assistido por platafoma:/   Quantidade de videos editados:</t>
  </si>
  <si>
    <t>TEMPO MÉDIO TOTAL:</t>
  </si>
  <si>
    <t>% Videos editados Osvaldo:</t>
  </si>
  <si>
    <t>% Tempo assistido médio:</t>
  </si>
  <si>
    <t>SOMA custo:</t>
  </si>
  <si>
    <t>SOMA 75%view:</t>
  </si>
  <si>
    <t>CMPV75%: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</si>
</sst>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[$R$ -416]#,##0.00"/>
    <numFmt numFmtId="166" formatCode="[$R$ -416]#,##0.000000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1" fontId="4" fillId="0" borderId="0" xfId="0" applyNumberFormat="1" applyFont="1" applyAlignment="1">
      <alignment horizontal="center"/>
    </xf>
    <xf numFmtId="46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4" fontId="4" fillId="0" borderId="0" xfId="0" applyNumberFormat="1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/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opLeftCell="F1" workbookViewId="0">
      <selection activeCell="V9" sqref="V9"/>
    </sheetView>
  </sheetViews>
  <sheetFormatPr defaultColWidth="12.5703125" defaultRowHeight="15.75" customHeight="1" x14ac:dyDescent="0.2"/>
  <sheetData>
    <row r="1" spans="1:18" ht="60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25">
      <c r="A2" s="4" t="s">
        <v>18</v>
      </c>
      <c r="B2" s="4" t="s">
        <v>19</v>
      </c>
      <c r="C2" s="4" t="s">
        <v>20</v>
      </c>
      <c r="D2" s="5">
        <v>42979</v>
      </c>
      <c r="E2" s="4">
        <v>0</v>
      </c>
      <c r="F2" s="4">
        <v>0.219053688</v>
      </c>
      <c r="G2" s="4">
        <v>15</v>
      </c>
      <c r="H2" s="4">
        <v>10</v>
      </c>
      <c r="I2" s="4">
        <v>10</v>
      </c>
      <c r="J2" s="4">
        <v>10</v>
      </c>
      <c r="K2" s="4">
        <v>10</v>
      </c>
      <c r="L2" s="4">
        <v>10</v>
      </c>
      <c r="M2" s="6">
        <v>3.3564814814814812E-4</v>
      </c>
      <c r="N2" s="4">
        <v>15</v>
      </c>
      <c r="O2" s="7"/>
      <c r="P2" s="7"/>
      <c r="Q2" s="4">
        <v>15</v>
      </c>
      <c r="R2" s="7"/>
    </row>
    <row r="3" spans="1:18" ht="15.75" customHeight="1" x14ac:dyDescent="0.25">
      <c r="A3" s="4" t="s">
        <v>18</v>
      </c>
      <c r="B3" s="4" t="s">
        <v>19</v>
      </c>
      <c r="C3" s="4" t="s">
        <v>21</v>
      </c>
      <c r="D3" s="5">
        <v>42979</v>
      </c>
      <c r="E3" s="4">
        <v>0</v>
      </c>
      <c r="F3" s="4">
        <v>2.9870957E-2</v>
      </c>
      <c r="G3" s="4">
        <v>7</v>
      </c>
      <c r="H3" s="4">
        <v>1</v>
      </c>
      <c r="I3" s="4">
        <v>1</v>
      </c>
      <c r="J3" s="7"/>
      <c r="K3" s="7"/>
      <c r="L3" s="7"/>
      <c r="M3" s="6">
        <v>6.9444444444444444E-5</v>
      </c>
      <c r="N3" s="4">
        <v>7</v>
      </c>
      <c r="O3" s="7"/>
      <c r="P3" s="7"/>
      <c r="Q3" s="4">
        <v>7</v>
      </c>
      <c r="R3" s="7"/>
    </row>
    <row r="4" spans="1:18" ht="15.75" customHeight="1" x14ac:dyDescent="0.25">
      <c r="A4" s="4" t="s">
        <v>18</v>
      </c>
      <c r="B4" s="4" t="s">
        <v>19</v>
      </c>
      <c r="C4" s="4" t="s">
        <v>22</v>
      </c>
      <c r="D4" s="5">
        <v>42979</v>
      </c>
      <c r="E4" s="4">
        <v>384</v>
      </c>
      <c r="F4" s="4">
        <v>2.837740959</v>
      </c>
      <c r="G4" s="4">
        <v>240</v>
      </c>
      <c r="H4" s="4">
        <v>90</v>
      </c>
      <c r="I4" s="4">
        <v>57</v>
      </c>
      <c r="J4" s="4">
        <v>47</v>
      </c>
      <c r="K4" s="4">
        <v>38</v>
      </c>
      <c r="L4" s="4">
        <v>34</v>
      </c>
      <c r="M4" s="6">
        <v>9.2592592592592588E-5</v>
      </c>
      <c r="N4" s="4">
        <v>242</v>
      </c>
      <c r="O4" s="7"/>
      <c r="P4" s="7"/>
      <c r="Q4" s="4">
        <v>242</v>
      </c>
      <c r="R4" s="4">
        <v>2</v>
      </c>
    </row>
    <row r="5" spans="1:18" ht="15.75" customHeight="1" x14ac:dyDescent="0.25">
      <c r="A5" s="4" t="s">
        <v>18</v>
      </c>
      <c r="B5" s="4" t="s">
        <v>19</v>
      </c>
      <c r="C5" s="4" t="s">
        <v>23</v>
      </c>
      <c r="D5" s="5">
        <v>42979</v>
      </c>
      <c r="E5" s="4">
        <v>2368</v>
      </c>
      <c r="F5" s="4">
        <v>9.8375019909999999</v>
      </c>
      <c r="G5" s="4">
        <v>905</v>
      </c>
      <c r="H5" s="4">
        <v>308</v>
      </c>
      <c r="I5" s="4">
        <v>224</v>
      </c>
      <c r="J5" s="4">
        <v>175</v>
      </c>
      <c r="K5" s="4">
        <v>147</v>
      </c>
      <c r="L5" s="4">
        <v>130</v>
      </c>
      <c r="M5" s="6">
        <v>8.1018518518518516E-5</v>
      </c>
      <c r="N5" s="4">
        <v>930</v>
      </c>
      <c r="O5" s="4">
        <v>2</v>
      </c>
      <c r="P5" s="4">
        <v>4</v>
      </c>
      <c r="Q5" s="4">
        <v>927</v>
      </c>
      <c r="R5" s="4">
        <v>16</v>
      </c>
    </row>
    <row r="6" spans="1:18" ht="15.75" customHeight="1" x14ac:dyDescent="0.25">
      <c r="A6" s="4" t="s">
        <v>18</v>
      </c>
      <c r="B6" s="4" t="s">
        <v>19</v>
      </c>
      <c r="C6" s="4" t="s">
        <v>24</v>
      </c>
      <c r="D6" s="5">
        <v>42979</v>
      </c>
      <c r="E6" s="4">
        <v>21758</v>
      </c>
      <c r="F6" s="4">
        <v>43.631511869999997</v>
      </c>
      <c r="G6" s="4">
        <v>5752</v>
      </c>
      <c r="H6" s="4">
        <v>2084</v>
      </c>
      <c r="I6" s="4">
        <v>1656</v>
      </c>
      <c r="J6" s="4">
        <v>1336</v>
      </c>
      <c r="K6" s="4">
        <v>1167</v>
      </c>
      <c r="L6" s="4">
        <v>962</v>
      </c>
      <c r="M6" s="6">
        <v>9.2592592592592588E-5</v>
      </c>
      <c r="N6" s="4">
        <v>5831</v>
      </c>
      <c r="O6" s="4">
        <v>9</v>
      </c>
      <c r="P6" s="4">
        <v>10</v>
      </c>
      <c r="Q6" s="4">
        <v>5813</v>
      </c>
      <c r="R6" s="4">
        <v>42</v>
      </c>
    </row>
    <row r="7" spans="1:18" ht="15.75" customHeight="1" x14ac:dyDescent="0.25">
      <c r="A7" s="4" t="s">
        <v>18</v>
      </c>
      <c r="B7" s="4" t="s">
        <v>19</v>
      </c>
      <c r="C7" s="4" t="s">
        <v>25</v>
      </c>
      <c r="D7" s="5">
        <v>42979</v>
      </c>
      <c r="E7" s="4">
        <v>23870</v>
      </c>
      <c r="F7" s="4">
        <v>71.013222880000001</v>
      </c>
      <c r="G7" s="4">
        <v>7234</v>
      </c>
      <c r="H7" s="4">
        <v>2736</v>
      </c>
      <c r="I7" s="4">
        <v>2158</v>
      </c>
      <c r="J7" s="4">
        <v>1780</v>
      </c>
      <c r="K7" s="4">
        <v>1515</v>
      </c>
      <c r="L7" s="4">
        <v>1248</v>
      </c>
      <c r="M7" s="6">
        <v>9.2592592592592588E-5</v>
      </c>
      <c r="N7" s="4">
        <v>7380</v>
      </c>
      <c r="O7" s="4">
        <v>13</v>
      </c>
      <c r="P7" s="4">
        <v>15</v>
      </c>
      <c r="Q7" s="4">
        <v>7364</v>
      </c>
      <c r="R7" s="4">
        <v>102</v>
      </c>
    </row>
    <row r="8" spans="1:18" ht="15.75" customHeight="1" x14ac:dyDescent="0.25">
      <c r="A8" s="4" t="s">
        <v>18</v>
      </c>
      <c r="B8" s="4" t="s">
        <v>19</v>
      </c>
      <c r="C8" s="4" t="s">
        <v>26</v>
      </c>
      <c r="D8" s="5">
        <v>42979</v>
      </c>
      <c r="E8" s="4">
        <v>363227</v>
      </c>
      <c r="F8" s="4">
        <v>872.43109770000001</v>
      </c>
      <c r="G8" s="4">
        <v>107811</v>
      </c>
      <c r="H8" s="4">
        <v>38248</v>
      </c>
      <c r="I8" s="4">
        <v>29286</v>
      </c>
      <c r="J8" s="4">
        <v>23214</v>
      </c>
      <c r="K8" s="4">
        <v>19532</v>
      </c>
      <c r="L8" s="4">
        <v>16782</v>
      </c>
      <c r="M8" s="6">
        <v>8.1018518518518516E-5</v>
      </c>
      <c r="N8" s="4">
        <v>110035</v>
      </c>
      <c r="O8" s="4">
        <v>256</v>
      </c>
      <c r="P8" s="4">
        <v>144</v>
      </c>
      <c r="Q8" s="4">
        <v>109689</v>
      </c>
      <c r="R8" s="4">
        <v>1478</v>
      </c>
    </row>
    <row r="9" spans="1:18" ht="15.75" customHeight="1" x14ac:dyDescent="0.25">
      <c r="A9" s="4" t="s">
        <v>27</v>
      </c>
      <c r="B9" s="4" t="s">
        <v>19</v>
      </c>
      <c r="C9" s="4" t="s">
        <v>20</v>
      </c>
      <c r="D9" s="5">
        <v>42983</v>
      </c>
      <c r="E9" s="4">
        <v>0</v>
      </c>
      <c r="F9" s="4">
        <v>1.9981617E-2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6">
        <v>2.7777777777777778E-4</v>
      </c>
      <c r="N9" s="4">
        <v>1</v>
      </c>
      <c r="O9" s="7"/>
      <c r="P9" s="7"/>
      <c r="Q9" s="4">
        <v>1</v>
      </c>
      <c r="R9" s="7"/>
    </row>
    <row r="10" spans="1:18" ht="15.75" customHeight="1" x14ac:dyDescent="0.25">
      <c r="A10" s="4" t="s">
        <v>27</v>
      </c>
      <c r="B10" s="4" t="s">
        <v>19</v>
      </c>
      <c r="C10" s="4" t="s">
        <v>21</v>
      </c>
      <c r="D10" s="5">
        <v>42983</v>
      </c>
      <c r="E10" s="4">
        <v>21</v>
      </c>
      <c r="F10" s="4">
        <v>6.9935658999999997E-2</v>
      </c>
      <c r="G10" s="4">
        <v>11</v>
      </c>
      <c r="H10" s="4">
        <v>4</v>
      </c>
      <c r="I10" s="4">
        <v>4</v>
      </c>
      <c r="J10" s="4">
        <v>3</v>
      </c>
      <c r="K10" s="4">
        <v>3</v>
      </c>
      <c r="L10" s="4">
        <v>2</v>
      </c>
      <c r="M10" s="6">
        <v>1.8518518518518518E-4</v>
      </c>
      <c r="N10" s="4">
        <v>11</v>
      </c>
      <c r="O10" s="7"/>
      <c r="P10" s="7"/>
      <c r="Q10" s="4">
        <v>11</v>
      </c>
      <c r="R10" s="7"/>
    </row>
    <row r="11" spans="1:18" ht="15.75" customHeight="1" x14ac:dyDescent="0.25">
      <c r="A11" s="4" t="s">
        <v>27</v>
      </c>
      <c r="B11" s="4" t="s">
        <v>19</v>
      </c>
      <c r="C11" s="4" t="s">
        <v>23</v>
      </c>
      <c r="D11" s="5">
        <v>42983</v>
      </c>
      <c r="E11" s="4">
        <v>1601</v>
      </c>
      <c r="F11" s="4">
        <v>8.5221596129999995</v>
      </c>
      <c r="G11" s="4">
        <v>1135</v>
      </c>
      <c r="H11" s="4">
        <v>424</v>
      </c>
      <c r="I11" s="4">
        <v>391</v>
      </c>
      <c r="J11" s="4">
        <v>286</v>
      </c>
      <c r="K11" s="4">
        <v>259</v>
      </c>
      <c r="L11" s="4">
        <v>234</v>
      </c>
      <c r="M11" s="6">
        <v>1.0416666666666667E-4</v>
      </c>
      <c r="N11" s="4">
        <v>1154</v>
      </c>
      <c r="O11" s="4">
        <v>3</v>
      </c>
      <c r="P11" s="4">
        <v>2</v>
      </c>
      <c r="Q11" s="4">
        <v>1153</v>
      </c>
      <c r="R11" s="4">
        <v>13</v>
      </c>
    </row>
    <row r="12" spans="1:18" ht="15.75" customHeight="1" x14ac:dyDescent="0.25">
      <c r="A12" s="4" t="s">
        <v>27</v>
      </c>
      <c r="B12" s="4" t="s">
        <v>19</v>
      </c>
      <c r="C12" s="4" t="s">
        <v>22</v>
      </c>
      <c r="D12" s="5">
        <v>42983</v>
      </c>
      <c r="E12" s="4">
        <v>1976</v>
      </c>
      <c r="F12" s="4">
        <v>12.058905810000001</v>
      </c>
      <c r="G12" s="4">
        <v>998</v>
      </c>
      <c r="H12" s="4">
        <v>271</v>
      </c>
      <c r="I12" s="4">
        <v>233</v>
      </c>
      <c r="J12" s="4">
        <v>153</v>
      </c>
      <c r="K12" s="4">
        <v>131</v>
      </c>
      <c r="L12" s="4">
        <v>104</v>
      </c>
      <c r="M12" s="6">
        <v>8.1018518518518516E-5</v>
      </c>
      <c r="N12" s="4">
        <v>1004</v>
      </c>
      <c r="O12" s="4">
        <v>2</v>
      </c>
      <c r="P12" s="7"/>
      <c r="Q12" s="4">
        <v>1004</v>
      </c>
      <c r="R12" s="4">
        <v>4</v>
      </c>
    </row>
    <row r="13" spans="1:18" ht="15.75" customHeight="1" x14ac:dyDescent="0.25">
      <c r="A13" s="4" t="s">
        <v>27</v>
      </c>
      <c r="B13" s="4" t="s">
        <v>19</v>
      </c>
      <c r="C13" s="4" t="s">
        <v>24</v>
      </c>
      <c r="D13" s="5">
        <v>42983</v>
      </c>
      <c r="E13" s="4">
        <v>8455</v>
      </c>
      <c r="F13" s="4">
        <v>24.64732446</v>
      </c>
      <c r="G13" s="4">
        <v>3965</v>
      </c>
      <c r="H13" s="4">
        <v>1115</v>
      </c>
      <c r="I13" s="4">
        <v>975</v>
      </c>
      <c r="J13" s="4">
        <v>646</v>
      </c>
      <c r="K13" s="4">
        <v>567</v>
      </c>
      <c r="L13" s="4">
        <v>505</v>
      </c>
      <c r="M13" s="6">
        <v>6.9444444444444444E-5</v>
      </c>
      <c r="N13" s="4">
        <v>3994</v>
      </c>
      <c r="O13" s="4">
        <v>2</v>
      </c>
      <c r="P13" s="4">
        <v>2</v>
      </c>
      <c r="Q13" s="4">
        <v>3990</v>
      </c>
      <c r="R13" s="4">
        <v>20</v>
      </c>
    </row>
    <row r="14" spans="1:18" ht="15.75" customHeight="1" x14ac:dyDescent="0.25">
      <c r="A14" s="4" t="s">
        <v>27</v>
      </c>
      <c r="B14" s="4" t="s">
        <v>19</v>
      </c>
      <c r="C14" s="4" t="s">
        <v>25</v>
      </c>
      <c r="D14" s="5">
        <v>42983</v>
      </c>
      <c r="E14" s="4">
        <v>66682</v>
      </c>
      <c r="F14" s="4">
        <v>234.68409059999999</v>
      </c>
      <c r="G14" s="4">
        <v>26842</v>
      </c>
      <c r="H14" s="4">
        <v>11943</v>
      </c>
      <c r="I14" s="4">
        <v>11367</v>
      </c>
      <c r="J14" s="4">
        <v>9445</v>
      </c>
      <c r="K14" s="4">
        <v>8630</v>
      </c>
      <c r="L14" s="4">
        <v>7362</v>
      </c>
      <c r="M14" s="6">
        <v>1.0416666666666667E-4</v>
      </c>
      <c r="N14" s="4">
        <v>27187</v>
      </c>
      <c r="O14" s="4">
        <v>17</v>
      </c>
      <c r="P14" s="4">
        <v>17</v>
      </c>
      <c r="Q14" s="4">
        <v>27151</v>
      </c>
      <c r="R14" s="4">
        <v>275</v>
      </c>
    </row>
    <row r="15" spans="1:18" ht="15.75" customHeight="1" x14ac:dyDescent="0.25">
      <c r="A15" s="4" t="s">
        <v>27</v>
      </c>
      <c r="B15" s="4" t="s">
        <v>19</v>
      </c>
      <c r="C15" s="4" t="s">
        <v>26</v>
      </c>
      <c r="D15" s="5">
        <v>42983</v>
      </c>
      <c r="E15" s="4">
        <v>242260</v>
      </c>
      <c r="F15" s="4">
        <v>719.99760219999996</v>
      </c>
      <c r="G15" s="4">
        <v>104289</v>
      </c>
      <c r="H15" s="4">
        <v>42271</v>
      </c>
      <c r="I15" s="4">
        <v>39805</v>
      </c>
      <c r="J15" s="4">
        <v>32430</v>
      </c>
      <c r="K15" s="4">
        <v>29440</v>
      </c>
      <c r="L15" s="4">
        <v>26493</v>
      </c>
      <c r="M15" s="6">
        <v>1.0416666666666667E-4</v>
      </c>
      <c r="N15" s="4">
        <v>105871</v>
      </c>
      <c r="O15" s="4">
        <v>181</v>
      </c>
      <c r="P15" s="4">
        <v>73</v>
      </c>
      <c r="Q15" s="4">
        <v>105737</v>
      </c>
      <c r="R15" s="4">
        <v>1194</v>
      </c>
    </row>
    <row r="16" spans="1:18" ht="15.75" customHeight="1" x14ac:dyDescent="0.25">
      <c r="A16" s="4" t="s">
        <v>28</v>
      </c>
      <c r="B16" s="4" t="s">
        <v>29</v>
      </c>
      <c r="C16" s="4" t="s">
        <v>21</v>
      </c>
      <c r="D16" s="5">
        <v>42984</v>
      </c>
      <c r="E16" s="4">
        <v>91</v>
      </c>
      <c r="F16" s="4">
        <v>7.9924870999999995E-2</v>
      </c>
      <c r="G16" s="4">
        <v>38</v>
      </c>
      <c r="H16" s="4">
        <v>23</v>
      </c>
      <c r="I16" s="4">
        <v>15</v>
      </c>
      <c r="J16" s="4">
        <v>12</v>
      </c>
      <c r="K16" s="4">
        <v>12</v>
      </c>
      <c r="L16" s="4">
        <v>12</v>
      </c>
      <c r="M16" s="6">
        <v>3.8194444444444446E-4</v>
      </c>
      <c r="N16" s="4">
        <v>38</v>
      </c>
      <c r="O16" s="7"/>
      <c r="P16" s="7"/>
      <c r="Q16" s="4">
        <v>38</v>
      </c>
      <c r="R16" s="7"/>
    </row>
    <row r="17" spans="1:18" ht="15.75" customHeight="1" x14ac:dyDescent="0.25">
      <c r="A17" s="4" t="s">
        <v>28</v>
      </c>
      <c r="B17" s="4" t="s">
        <v>29</v>
      </c>
      <c r="C17" s="4" t="s">
        <v>20</v>
      </c>
      <c r="D17" s="5">
        <v>42984</v>
      </c>
      <c r="E17" s="4">
        <v>297</v>
      </c>
      <c r="F17" s="4">
        <v>9.9906088000000004E-2</v>
      </c>
      <c r="G17" s="4">
        <v>18</v>
      </c>
      <c r="H17" s="4">
        <v>16</v>
      </c>
      <c r="I17" s="4">
        <v>12</v>
      </c>
      <c r="J17" s="4">
        <v>13</v>
      </c>
      <c r="K17" s="4">
        <v>12</v>
      </c>
      <c r="L17" s="4">
        <v>11</v>
      </c>
      <c r="M17" s="6">
        <v>7.1759259259259259E-4</v>
      </c>
      <c r="N17" s="4">
        <v>20</v>
      </c>
      <c r="O17" s="7"/>
      <c r="P17" s="7"/>
      <c r="Q17" s="4">
        <v>20</v>
      </c>
      <c r="R17" s="4">
        <v>2</v>
      </c>
    </row>
    <row r="18" spans="1:18" ht="15.75" customHeight="1" x14ac:dyDescent="0.25">
      <c r="A18" s="4" t="s">
        <v>28</v>
      </c>
      <c r="B18" s="4" t="s">
        <v>29</v>
      </c>
      <c r="C18" s="4" t="s">
        <v>23</v>
      </c>
      <c r="D18" s="5">
        <v>42984</v>
      </c>
      <c r="E18" s="4">
        <v>2944</v>
      </c>
      <c r="F18" s="4">
        <v>4.7255579760000002</v>
      </c>
      <c r="G18" s="4">
        <v>1631</v>
      </c>
      <c r="H18" s="4">
        <v>974</v>
      </c>
      <c r="I18" s="4">
        <v>488</v>
      </c>
      <c r="J18" s="4">
        <v>397</v>
      </c>
      <c r="K18" s="4">
        <v>381</v>
      </c>
      <c r="L18" s="4">
        <v>340</v>
      </c>
      <c r="M18" s="6">
        <v>2.3148148148148149E-4</v>
      </c>
      <c r="N18" s="4">
        <v>1644</v>
      </c>
      <c r="O18" s="7"/>
      <c r="P18" s="4">
        <v>1</v>
      </c>
      <c r="Q18" s="4">
        <v>1642</v>
      </c>
      <c r="R18" s="4">
        <v>10</v>
      </c>
    </row>
    <row r="19" spans="1:18" ht="15.75" customHeight="1" x14ac:dyDescent="0.25">
      <c r="A19" s="4" t="s">
        <v>28</v>
      </c>
      <c r="B19" s="4" t="s">
        <v>29</v>
      </c>
      <c r="C19" s="4" t="s">
        <v>22</v>
      </c>
      <c r="D19" s="5">
        <v>42984</v>
      </c>
      <c r="E19" s="4">
        <v>3711</v>
      </c>
      <c r="F19" s="4">
        <v>10.10050552</v>
      </c>
      <c r="G19" s="4">
        <v>2519</v>
      </c>
      <c r="H19" s="4">
        <v>1444</v>
      </c>
      <c r="I19" s="4">
        <v>726</v>
      </c>
      <c r="J19" s="4">
        <v>582</v>
      </c>
      <c r="K19" s="4">
        <v>531</v>
      </c>
      <c r="L19" s="4">
        <v>480</v>
      </c>
      <c r="M19" s="6">
        <v>2.3148148148148149E-4</v>
      </c>
      <c r="N19" s="4">
        <v>2529</v>
      </c>
      <c r="O19" s="4">
        <v>2</v>
      </c>
      <c r="P19" s="4">
        <v>1</v>
      </c>
      <c r="Q19" s="4">
        <v>2527</v>
      </c>
      <c r="R19" s="4">
        <v>5</v>
      </c>
    </row>
    <row r="20" spans="1:18" ht="15.75" customHeight="1" x14ac:dyDescent="0.25">
      <c r="A20" s="4" t="s">
        <v>28</v>
      </c>
      <c r="B20" s="4" t="s">
        <v>29</v>
      </c>
      <c r="C20" s="4" t="s">
        <v>24</v>
      </c>
      <c r="D20" s="5">
        <v>42984</v>
      </c>
      <c r="E20" s="4">
        <v>80373</v>
      </c>
      <c r="F20" s="4">
        <v>85.010090509999998</v>
      </c>
      <c r="G20" s="4">
        <v>33416</v>
      </c>
      <c r="H20" s="4">
        <v>19643</v>
      </c>
      <c r="I20" s="4">
        <v>10759</v>
      </c>
      <c r="J20" s="4">
        <v>8949</v>
      </c>
      <c r="K20" s="4">
        <v>8503</v>
      </c>
      <c r="L20" s="4">
        <v>7871</v>
      </c>
      <c r="M20" s="6">
        <v>2.3148148148148149E-4</v>
      </c>
      <c r="N20" s="4">
        <v>33663</v>
      </c>
      <c r="O20" s="4">
        <v>36</v>
      </c>
      <c r="P20" s="4">
        <v>22</v>
      </c>
      <c r="Q20" s="4">
        <v>33581</v>
      </c>
      <c r="R20" s="4">
        <v>107</v>
      </c>
    </row>
    <row r="21" spans="1:18" ht="15.75" customHeight="1" x14ac:dyDescent="0.25">
      <c r="A21" s="4" t="s">
        <v>28</v>
      </c>
      <c r="B21" s="4" t="s">
        <v>29</v>
      </c>
      <c r="C21" s="4" t="s">
        <v>25</v>
      </c>
      <c r="D21" s="5">
        <v>42984</v>
      </c>
      <c r="E21" s="4">
        <v>167529</v>
      </c>
      <c r="F21" s="4">
        <v>242.5420105</v>
      </c>
      <c r="G21" s="4">
        <v>77537</v>
      </c>
      <c r="H21" s="4">
        <v>46604</v>
      </c>
      <c r="I21" s="4">
        <v>25735</v>
      </c>
      <c r="J21" s="4">
        <v>21088</v>
      </c>
      <c r="K21" s="4">
        <v>19889</v>
      </c>
      <c r="L21" s="4">
        <v>17965</v>
      </c>
      <c r="M21" s="6">
        <v>2.0833333333333335E-4</v>
      </c>
      <c r="N21" s="4">
        <v>78519</v>
      </c>
      <c r="O21" s="4">
        <v>96</v>
      </c>
      <c r="P21" s="4">
        <v>116</v>
      </c>
      <c r="Q21" s="4">
        <v>78292</v>
      </c>
      <c r="R21" s="4">
        <v>537</v>
      </c>
    </row>
    <row r="22" spans="1:18" ht="15.75" customHeight="1" x14ac:dyDescent="0.25">
      <c r="A22" s="4" t="s">
        <v>28</v>
      </c>
      <c r="B22" s="4" t="s">
        <v>29</v>
      </c>
      <c r="C22" s="4" t="s">
        <v>26</v>
      </c>
      <c r="D22" s="5">
        <v>42984</v>
      </c>
      <c r="E22" s="4">
        <v>579119</v>
      </c>
      <c r="F22" s="4">
        <v>657.44200450000005</v>
      </c>
      <c r="G22" s="4">
        <v>250124</v>
      </c>
      <c r="H22" s="4">
        <v>157518</v>
      </c>
      <c r="I22" s="4">
        <v>88152</v>
      </c>
      <c r="J22" s="4">
        <v>71309</v>
      </c>
      <c r="K22" s="4">
        <v>67654</v>
      </c>
      <c r="L22" s="4">
        <v>60764</v>
      </c>
      <c r="M22" s="6">
        <v>2.3148148148148149E-4</v>
      </c>
      <c r="N22" s="4">
        <v>253409</v>
      </c>
      <c r="O22" s="4">
        <v>358</v>
      </c>
      <c r="P22" s="4">
        <v>270</v>
      </c>
      <c r="Q22" s="4">
        <v>252690</v>
      </c>
      <c r="R22" s="4">
        <v>1938</v>
      </c>
    </row>
    <row r="23" spans="1:18" ht="15.75" customHeight="1" x14ac:dyDescent="0.25">
      <c r="A23" s="4" t="s">
        <v>30</v>
      </c>
      <c r="B23" s="4" t="s">
        <v>19</v>
      </c>
      <c r="C23" s="4" t="s">
        <v>20</v>
      </c>
      <c r="D23" s="5">
        <v>42984</v>
      </c>
      <c r="E23" s="4">
        <v>0</v>
      </c>
      <c r="F23" s="4">
        <v>0.109898893</v>
      </c>
      <c r="G23" s="4">
        <v>26</v>
      </c>
      <c r="H23" s="4">
        <v>23</v>
      </c>
      <c r="I23" s="4">
        <v>18</v>
      </c>
      <c r="J23" s="4">
        <v>17</v>
      </c>
      <c r="K23" s="4">
        <v>17</v>
      </c>
      <c r="L23" s="4">
        <v>17</v>
      </c>
      <c r="M23" s="6">
        <v>6.4814814814814813E-4</v>
      </c>
      <c r="N23" s="4">
        <v>28</v>
      </c>
      <c r="O23" s="4">
        <v>1</v>
      </c>
      <c r="P23" s="4">
        <v>1</v>
      </c>
      <c r="Q23" s="4">
        <v>28</v>
      </c>
      <c r="R23" s="7"/>
    </row>
    <row r="24" spans="1:18" ht="15.75" customHeight="1" x14ac:dyDescent="0.25">
      <c r="A24" s="4" t="s">
        <v>30</v>
      </c>
      <c r="B24" s="4" t="s">
        <v>19</v>
      </c>
      <c r="C24" s="4" t="s">
        <v>21</v>
      </c>
      <c r="D24" s="5">
        <v>42984</v>
      </c>
      <c r="E24" s="4">
        <v>29</v>
      </c>
      <c r="F24" s="4">
        <v>1.9981617E-2</v>
      </c>
      <c r="G24" s="4">
        <v>5</v>
      </c>
      <c r="H24" s="4">
        <v>2</v>
      </c>
      <c r="I24" s="4">
        <v>1</v>
      </c>
      <c r="J24" s="4">
        <v>1</v>
      </c>
      <c r="K24" s="4">
        <v>1</v>
      </c>
      <c r="L24" s="7"/>
      <c r="M24" s="6">
        <v>9.2592592592592588E-5</v>
      </c>
      <c r="N24" s="4">
        <v>5</v>
      </c>
      <c r="O24" s="7"/>
      <c r="P24" s="7"/>
      <c r="Q24" s="4">
        <v>5</v>
      </c>
      <c r="R24" s="7"/>
    </row>
    <row r="25" spans="1:18" ht="15.75" customHeight="1" x14ac:dyDescent="0.25">
      <c r="A25" s="4" t="s">
        <v>30</v>
      </c>
      <c r="B25" s="4" t="s">
        <v>19</v>
      </c>
      <c r="C25" s="4" t="s">
        <v>23</v>
      </c>
      <c r="D25" s="5">
        <v>42984</v>
      </c>
      <c r="E25" s="4">
        <v>3454</v>
      </c>
      <c r="F25" s="4">
        <v>5.494944651</v>
      </c>
      <c r="G25" s="4">
        <v>2252</v>
      </c>
      <c r="H25" s="4">
        <v>1225</v>
      </c>
      <c r="I25" s="4">
        <v>920</v>
      </c>
      <c r="J25" s="4">
        <v>729</v>
      </c>
      <c r="K25" s="4">
        <v>690</v>
      </c>
      <c r="L25" s="4">
        <v>650</v>
      </c>
      <c r="M25" s="6">
        <v>2.3148148148148149E-4</v>
      </c>
      <c r="N25" s="4">
        <v>2290</v>
      </c>
      <c r="O25" s="4">
        <v>14</v>
      </c>
      <c r="P25" s="4">
        <v>1</v>
      </c>
      <c r="Q25" s="4">
        <v>2290</v>
      </c>
      <c r="R25" s="4">
        <v>23</v>
      </c>
    </row>
    <row r="26" spans="1:18" ht="15.75" customHeight="1" x14ac:dyDescent="0.25">
      <c r="A26" s="4" t="s">
        <v>30</v>
      </c>
      <c r="B26" s="4" t="s">
        <v>19</v>
      </c>
      <c r="C26" s="4" t="s">
        <v>22</v>
      </c>
      <c r="D26" s="5">
        <v>42984</v>
      </c>
      <c r="E26" s="4">
        <v>7165</v>
      </c>
      <c r="F26" s="4">
        <v>17.354034290000001</v>
      </c>
      <c r="G26" s="4">
        <v>3994</v>
      </c>
      <c r="H26" s="4">
        <v>2207</v>
      </c>
      <c r="I26" s="4">
        <v>1643</v>
      </c>
      <c r="J26" s="4">
        <v>1239</v>
      </c>
      <c r="K26" s="4">
        <v>1158</v>
      </c>
      <c r="L26" s="4">
        <v>1066</v>
      </c>
      <c r="M26" s="6">
        <v>2.3148148148148149E-4</v>
      </c>
      <c r="N26" s="4">
        <v>4040</v>
      </c>
      <c r="O26" s="4">
        <v>24</v>
      </c>
      <c r="P26" s="4">
        <v>6</v>
      </c>
      <c r="Q26" s="4">
        <v>4040</v>
      </c>
      <c r="R26" s="4">
        <v>16</v>
      </c>
    </row>
    <row r="27" spans="1:18" ht="15.75" customHeight="1" x14ac:dyDescent="0.25">
      <c r="A27" s="4" t="s">
        <v>30</v>
      </c>
      <c r="B27" s="4" t="s">
        <v>19</v>
      </c>
      <c r="C27" s="4" t="s">
        <v>24</v>
      </c>
      <c r="D27" s="5">
        <v>42984</v>
      </c>
      <c r="E27" s="4">
        <v>84314</v>
      </c>
      <c r="F27" s="4">
        <v>91.765575670000004</v>
      </c>
      <c r="G27" s="4">
        <v>33662</v>
      </c>
      <c r="H27" s="4">
        <v>16806</v>
      </c>
      <c r="I27" s="4">
        <v>12673</v>
      </c>
      <c r="J27" s="4">
        <v>10331</v>
      </c>
      <c r="K27" s="4">
        <v>9772</v>
      </c>
      <c r="L27" s="4">
        <v>9258</v>
      </c>
      <c r="M27" s="6">
        <v>1.9675925925925926E-4</v>
      </c>
      <c r="N27" s="4">
        <v>34487</v>
      </c>
      <c r="O27" s="4">
        <v>204</v>
      </c>
      <c r="P27" s="4">
        <v>64</v>
      </c>
      <c r="Q27" s="4">
        <v>34398</v>
      </c>
      <c r="R27" s="4">
        <v>385</v>
      </c>
    </row>
    <row r="28" spans="1:18" ht="15.75" customHeight="1" x14ac:dyDescent="0.25">
      <c r="A28" s="4" t="s">
        <v>30</v>
      </c>
      <c r="B28" s="4" t="s">
        <v>19</v>
      </c>
      <c r="C28" s="4" t="s">
        <v>25</v>
      </c>
      <c r="D28" s="5">
        <v>42984</v>
      </c>
      <c r="E28" s="4">
        <v>182573</v>
      </c>
      <c r="F28" s="4">
        <v>287.00595449999997</v>
      </c>
      <c r="G28" s="4">
        <v>85225</v>
      </c>
      <c r="H28" s="4">
        <v>46470</v>
      </c>
      <c r="I28" s="4">
        <v>36883</v>
      </c>
      <c r="J28" s="4">
        <v>30129</v>
      </c>
      <c r="K28" s="4">
        <v>28698</v>
      </c>
      <c r="L28" s="4">
        <v>26723</v>
      </c>
      <c r="M28" s="6">
        <v>1.9675925925925926E-4</v>
      </c>
      <c r="N28" s="4">
        <v>86833</v>
      </c>
      <c r="O28" s="4">
        <v>416</v>
      </c>
      <c r="P28" s="4">
        <v>222</v>
      </c>
      <c r="Q28" s="4">
        <v>86770</v>
      </c>
      <c r="R28" s="4">
        <v>907</v>
      </c>
    </row>
    <row r="29" spans="1:18" ht="15.75" customHeight="1" x14ac:dyDescent="0.25">
      <c r="A29" s="4" t="s">
        <v>30</v>
      </c>
      <c r="B29" s="4" t="s">
        <v>19</v>
      </c>
      <c r="C29" s="4" t="s">
        <v>26</v>
      </c>
      <c r="D29" s="5">
        <v>42984</v>
      </c>
      <c r="E29" s="4">
        <v>540809</v>
      </c>
      <c r="F29" s="4">
        <v>598.24961040000005</v>
      </c>
      <c r="G29" s="4">
        <v>229509</v>
      </c>
      <c r="H29" s="4">
        <v>124150</v>
      </c>
      <c r="I29" s="4">
        <v>97533</v>
      </c>
      <c r="J29" s="4">
        <v>79470</v>
      </c>
      <c r="K29" s="4">
        <v>75567</v>
      </c>
      <c r="L29" s="4">
        <v>70814</v>
      </c>
      <c r="M29" s="6">
        <v>2.0833333333333335E-4</v>
      </c>
      <c r="N29" s="4">
        <v>235404</v>
      </c>
      <c r="O29" s="4">
        <v>1788</v>
      </c>
      <c r="P29" s="4">
        <v>478</v>
      </c>
      <c r="Q29" s="4">
        <v>235004</v>
      </c>
      <c r="R29" s="4">
        <v>3228</v>
      </c>
    </row>
    <row r="30" spans="1:18" ht="15.75" customHeight="1" x14ac:dyDescent="0.25">
      <c r="A30" s="4" t="s">
        <v>31</v>
      </c>
      <c r="B30" s="4" t="s">
        <v>32</v>
      </c>
      <c r="C30" s="4" t="s">
        <v>20</v>
      </c>
      <c r="D30" s="5">
        <v>42985</v>
      </c>
      <c r="E30" s="4">
        <v>0</v>
      </c>
      <c r="F30" s="4">
        <v>3.9962434999999998E-2</v>
      </c>
      <c r="G30" s="4">
        <v>4</v>
      </c>
      <c r="H30" s="4">
        <v>3</v>
      </c>
      <c r="I30" s="4">
        <v>2</v>
      </c>
      <c r="J30" s="4">
        <v>2</v>
      </c>
      <c r="K30" s="4">
        <v>2</v>
      </c>
      <c r="L30" s="4">
        <v>2</v>
      </c>
      <c r="M30" s="6">
        <v>3.3564814814814812E-4</v>
      </c>
      <c r="N30" s="4">
        <v>4</v>
      </c>
      <c r="O30" s="7"/>
      <c r="P30" s="7"/>
      <c r="Q30" s="4">
        <v>4</v>
      </c>
      <c r="R30" s="7"/>
    </row>
    <row r="31" spans="1:18" ht="15.75" customHeight="1" x14ac:dyDescent="0.25">
      <c r="A31" s="4" t="s">
        <v>31</v>
      </c>
      <c r="B31" s="4" t="s">
        <v>32</v>
      </c>
      <c r="C31" s="4" t="s">
        <v>21</v>
      </c>
      <c r="D31" s="5">
        <v>42985</v>
      </c>
      <c r="E31" s="4">
        <v>0</v>
      </c>
      <c r="F31" s="4">
        <v>9.9906088000000004E-2</v>
      </c>
      <c r="G31" s="4">
        <v>10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6">
        <v>6.9444444444444444E-5</v>
      </c>
      <c r="N31" s="4">
        <v>10</v>
      </c>
      <c r="O31" s="7"/>
      <c r="P31" s="7"/>
      <c r="Q31" s="4">
        <v>10</v>
      </c>
      <c r="R31" s="7"/>
    </row>
    <row r="32" spans="1:18" ht="15.75" customHeight="1" x14ac:dyDescent="0.25">
      <c r="A32" s="4" t="s">
        <v>31</v>
      </c>
      <c r="B32" s="4" t="s">
        <v>32</v>
      </c>
      <c r="C32" s="4" t="s">
        <v>23</v>
      </c>
      <c r="D32" s="5">
        <v>42985</v>
      </c>
      <c r="E32" s="4">
        <v>2048</v>
      </c>
      <c r="F32" s="4">
        <v>8.1223649770000002</v>
      </c>
      <c r="G32" s="4">
        <v>1133</v>
      </c>
      <c r="H32" s="4">
        <v>392</v>
      </c>
      <c r="I32" s="4">
        <v>273</v>
      </c>
      <c r="J32" s="4">
        <v>185</v>
      </c>
      <c r="K32" s="4">
        <v>156</v>
      </c>
      <c r="L32" s="4">
        <v>138</v>
      </c>
      <c r="M32" s="6">
        <v>1.0416666666666667E-4</v>
      </c>
      <c r="N32" s="4">
        <v>1153</v>
      </c>
      <c r="O32" s="4">
        <v>3</v>
      </c>
      <c r="P32" s="4">
        <v>1</v>
      </c>
      <c r="Q32" s="4">
        <v>1153</v>
      </c>
      <c r="R32" s="4">
        <v>16</v>
      </c>
    </row>
    <row r="33" spans="1:18" ht="15.75" customHeight="1" x14ac:dyDescent="0.25">
      <c r="A33" s="4" t="s">
        <v>31</v>
      </c>
      <c r="B33" s="4" t="s">
        <v>32</v>
      </c>
      <c r="C33" s="4" t="s">
        <v>22</v>
      </c>
      <c r="D33" s="5">
        <v>42985</v>
      </c>
      <c r="E33" s="4">
        <v>3382</v>
      </c>
      <c r="F33" s="4">
        <v>14.676204370000001</v>
      </c>
      <c r="G33" s="4">
        <v>1557</v>
      </c>
      <c r="H33" s="4">
        <v>485</v>
      </c>
      <c r="I33" s="4">
        <v>309</v>
      </c>
      <c r="J33" s="4">
        <v>210</v>
      </c>
      <c r="K33" s="4">
        <v>167</v>
      </c>
      <c r="L33" s="4">
        <v>147</v>
      </c>
      <c r="M33" s="6">
        <v>9.2592592592592588E-5</v>
      </c>
      <c r="N33" s="4">
        <v>1568</v>
      </c>
      <c r="O33" s="4">
        <v>3</v>
      </c>
      <c r="P33" s="4">
        <v>1</v>
      </c>
      <c r="Q33" s="4">
        <v>1567</v>
      </c>
      <c r="R33" s="4">
        <v>6</v>
      </c>
    </row>
    <row r="34" spans="1:18" ht="15.75" customHeight="1" x14ac:dyDescent="0.25">
      <c r="A34" s="4" t="s">
        <v>31</v>
      </c>
      <c r="B34" s="4" t="s">
        <v>32</v>
      </c>
      <c r="C34" s="4" t="s">
        <v>24</v>
      </c>
      <c r="D34" s="5">
        <v>42985</v>
      </c>
      <c r="E34" s="4">
        <v>30015</v>
      </c>
      <c r="F34" s="4">
        <v>55.048254640000003</v>
      </c>
      <c r="G34" s="4">
        <v>9860</v>
      </c>
      <c r="H34" s="4">
        <v>3233</v>
      </c>
      <c r="I34" s="4">
        <v>2424</v>
      </c>
      <c r="J34" s="4">
        <v>1811</v>
      </c>
      <c r="K34" s="4">
        <v>1556</v>
      </c>
      <c r="L34" s="4">
        <v>1393</v>
      </c>
      <c r="M34" s="6">
        <v>8.1018518518518516E-5</v>
      </c>
      <c r="N34" s="4">
        <v>10009</v>
      </c>
      <c r="O34" s="4">
        <v>10</v>
      </c>
      <c r="P34" s="4">
        <v>10</v>
      </c>
      <c r="Q34" s="4">
        <v>9978</v>
      </c>
      <c r="R34" s="4">
        <v>91</v>
      </c>
    </row>
    <row r="35" spans="1:18" ht="15.75" customHeight="1" x14ac:dyDescent="0.25">
      <c r="A35" s="4" t="s">
        <v>31</v>
      </c>
      <c r="B35" s="4" t="s">
        <v>32</v>
      </c>
      <c r="C35" s="4" t="s">
        <v>25</v>
      </c>
      <c r="D35" s="5">
        <v>42985</v>
      </c>
      <c r="E35" s="4">
        <v>78846</v>
      </c>
      <c r="F35" s="4">
        <v>246.43834799999999</v>
      </c>
      <c r="G35" s="4">
        <v>29200</v>
      </c>
      <c r="H35" s="4">
        <v>9943</v>
      </c>
      <c r="I35" s="4">
        <v>6976</v>
      </c>
      <c r="J35" s="4">
        <v>5047</v>
      </c>
      <c r="K35" s="4">
        <v>4267</v>
      </c>
      <c r="L35" s="4">
        <v>3793</v>
      </c>
      <c r="M35" s="6">
        <v>8.1018518518518516E-5</v>
      </c>
      <c r="N35" s="4">
        <v>29560</v>
      </c>
      <c r="O35" s="4">
        <v>55</v>
      </c>
      <c r="P35" s="4">
        <v>27</v>
      </c>
      <c r="Q35" s="4">
        <v>29522</v>
      </c>
      <c r="R35" s="4">
        <v>239</v>
      </c>
    </row>
    <row r="36" spans="1:18" ht="15.75" customHeight="1" x14ac:dyDescent="0.25">
      <c r="A36" s="4" t="s">
        <v>31</v>
      </c>
      <c r="B36" s="4" t="s">
        <v>32</v>
      </c>
      <c r="C36" s="4" t="s">
        <v>26</v>
      </c>
      <c r="D36" s="5">
        <v>42985</v>
      </c>
      <c r="E36" s="4">
        <v>260088</v>
      </c>
      <c r="F36" s="4">
        <v>675.57495949999998</v>
      </c>
      <c r="G36" s="4">
        <v>100596</v>
      </c>
      <c r="H36" s="4">
        <v>37572</v>
      </c>
      <c r="I36" s="4">
        <v>27021</v>
      </c>
      <c r="J36" s="4">
        <v>20042</v>
      </c>
      <c r="K36" s="4">
        <v>16846</v>
      </c>
      <c r="L36" s="4">
        <v>15284</v>
      </c>
      <c r="M36" s="6">
        <v>9.2592592592592588E-5</v>
      </c>
      <c r="N36" s="4">
        <v>102678</v>
      </c>
      <c r="O36" s="4">
        <v>318</v>
      </c>
      <c r="P36" s="4">
        <v>114</v>
      </c>
      <c r="Q36" s="4">
        <v>102441</v>
      </c>
      <c r="R36" s="4">
        <v>1413</v>
      </c>
    </row>
    <row r="37" spans="1:18" ht="15.75" customHeight="1" x14ac:dyDescent="0.25">
      <c r="A37" s="4" t="s">
        <v>33</v>
      </c>
      <c r="B37" s="4" t="s">
        <v>19</v>
      </c>
      <c r="C37" s="4" t="s">
        <v>20</v>
      </c>
      <c r="D37" s="5">
        <v>42985</v>
      </c>
      <c r="E37" s="4">
        <v>0</v>
      </c>
      <c r="F37" s="4">
        <v>4.9953044000000002E-2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7"/>
      <c r="M37" s="6">
        <v>6.134259259259259E-4</v>
      </c>
      <c r="N37" s="4">
        <v>3</v>
      </c>
      <c r="O37" s="7"/>
      <c r="P37" s="7"/>
      <c r="Q37" s="4">
        <v>3</v>
      </c>
      <c r="R37" s="4">
        <v>2</v>
      </c>
    </row>
    <row r="38" spans="1:18" ht="15" x14ac:dyDescent="0.25">
      <c r="A38" s="4" t="s">
        <v>33</v>
      </c>
      <c r="B38" s="4" t="s">
        <v>19</v>
      </c>
      <c r="C38" s="4" t="s">
        <v>21</v>
      </c>
      <c r="D38" s="5">
        <v>42985</v>
      </c>
      <c r="E38" s="4">
        <v>20</v>
      </c>
      <c r="F38" s="4">
        <v>7.9924870999999995E-2</v>
      </c>
      <c r="G38" s="4">
        <v>4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6">
        <v>5.7870370370370373E-5</v>
      </c>
      <c r="N38" s="4">
        <v>4</v>
      </c>
      <c r="O38" s="7"/>
      <c r="P38" s="7"/>
      <c r="Q38" s="4">
        <v>4</v>
      </c>
      <c r="R38" s="7"/>
    </row>
    <row r="39" spans="1:18" ht="15" x14ac:dyDescent="0.25">
      <c r="A39" s="4" t="s">
        <v>33</v>
      </c>
      <c r="B39" s="4" t="s">
        <v>19</v>
      </c>
      <c r="C39" s="4" t="s">
        <v>23</v>
      </c>
      <c r="D39" s="5">
        <v>42985</v>
      </c>
      <c r="E39" s="4">
        <v>2432</v>
      </c>
      <c r="F39" s="4">
        <v>9.7308529979999996</v>
      </c>
      <c r="G39" s="4">
        <v>1253</v>
      </c>
      <c r="H39" s="4">
        <v>420</v>
      </c>
      <c r="I39" s="4">
        <v>296</v>
      </c>
      <c r="J39" s="4">
        <v>196</v>
      </c>
      <c r="K39" s="4">
        <v>147</v>
      </c>
      <c r="L39" s="4">
        <v>117</v>
      </c>
      <c r="M39" s="6">
        <v>8.1018518518518516E-5</v>
      </c>
      <c r="N39" s="4">
        <v>1281</v>
      </c>
      <c r="O39" s="4">
        <v>5</v>
      </c>
      <c r="P39" s="4">
        <v>1</v>
      </c>
      <c r="Q39" s="4">
        <v>1275</v>
      </c>
      <c r="R39" s="4">
        <v>16</v>
      </c>
    </row>
    <row r="40" spans="1:18" ht="15" x14ac:dyDescent="0.25">
      <c r="A40" s="4" t="s">
        <v>33</v>
      </c>
      <c r="B40" s="4" t="s">
        <v>19</v>
      </c>
      <c r="C40" s="4" t="s">
        <v>22</v>
      </c>
      <c r="D40" s="5">
        <v>42985</v>
      </c>
      <c r="E40" s="4">
        <v>2553</v>
      </c>
      <c r="F40" s="4">
        <v>11.39928467</v>
      </c>
      <c r="G40" s="4">
        <v>1300</v>
      </c>
      <c r="H40" s="4">
        <v>410</v>
      </c>
      <c r="I40" s="4">
        <v>297</v>
      </c>
      <c r="J40" s="4">
        <v>191</v>
      </c>
      <c r="K40" s="4">
        <v>142</v>
      </c>
      <c r="L40" s="4">
        <v>103</v>
      </c>
      <c r="M40" s="6">
        <v>9.2592592592592588E-5</v>
      </c>
      <c r="N40" s="4">
        <v>1317</v>
      </c>
      <c r="O40" s="4">
        <v>2</v>
      </c>
      <c r="P40" s="7"/>
      <c r="Q40" s="4">
        <v>1310</v>
      </c>
      <c r="R40" s="4">
        <v>8</v>
      </c>
    </row>
    <row r="41" spans="1:18" ht="15" x14ac:dyDescent="0.25">
      <c r="A41" s="4" t="s">
        <v>33</v>
      </c>
      <c r="B41" s="4" t="s">
        <v>19</v>
      </c>
      <c r="C41" s="4" t="s">
        <v>25</v>
      </c>
      <c r="D41" s="5">
        <v>42985</v>
      </c>
      <c r="E41" s="4">
        <v>54202</v>
      </c>
      <c r="F41" s="4">
        <v>169.63054729999999</v>
      </c>
      <c r="G41" s="4">
        <v>21014</v>
      </c>
      <c r="H41" s="4">
        <v>6069</v>
      </c>
      <c r="I41" s="4">
        <v>4410</v>
      </c>
      <c r="J41" s="4">
        <v>3043</v>
      </c>
      <c r="K41" s="4">
        <v>2348</v>
      </c>
      <c r="L41" s="4">
        <v>1802</v>
      </c>
      <c r="M41" s="6">
        <v>6.9444444444444444E-5</v>
      </c>
      <c r="N41" s="4">
        <v>21328</v>
      </c>
      <c r="O41" s="4">
        <v>40</v>
      </c>
      <c r="P41" s="4">
        <v>13</v>
      </c>
      <c r="Q41" s="4">
        <v>21255</v>
      </c>
      <c r="R41" s="4">
        <v>188</v>
      </c>
    </row>
    <row r="42" spans="1:18" ht="15" x14ac:dyDescent="0.25">
      <c r="A42" s="4" t="s">
        <v>33</v>
      </c>
      <c r="B42" s="4" t="s">
        <v>19</v>
      </c>
      <c r="C42" s="4" t="s">
        <v>24</v>
      </c>
      <c r="D42" s="5">
        <v>42985</v>
      </c>
      <c r="E42" s="4">
        <v>64313</v>
      </c>
      <c r="F42" s="4">
        <v>180.5502827</v>
      </c>
      <c r="G42" s="4">
        <v>31058</v>
      </c>
      <c r="H42" s="4">
        <v>9941</v>
      </c>
      <c r="I42" s="4">
        <v>7054</v>
      </c>
      <c r="J42" s="4">
        <v>4631</v>
      </c>
      <c r="K42" s="4">
        <v>3531</v>
      </c>
      <c r="L42" s="4">
        <v>3014</v>
      </c>
      <c r="M42" s="6">
        <v>8.1018518518518516E-5</v>
      </c>
      <c r="N42" s="4">
        <v>31346</v>
      </c>
      <c r="O42" s="4">
        <v>53</v>
      </c>
      <c r="P42" s="4">
        <v>16</v>
      </c>
      <c r="Q42" s="4">
        <v>31294</v>
      </c>
      <c r="R42" s="4">
        <v>167</v>
      </c>
    </row>
    <row r="43" spans="1:18" ht="15" x14ac:dyDescent="0.25">
      <c r="A43" s="4" t="s">
        <v>33</v>
      </c>
      <c r="B43" s="4" t="s">
        <v>19</v>
      </c>
      <c r="C43" s="4" t="s">
        <v>26</v>
      </c>
      <c r="D43" s="5">
        <v>42985</v>
      </c>
      <c r="E43" s="4">
        <v>260834</v>
      </c>
      <c r="F43" s="4">
        <v>628.55915440000001</v>
      </c>
      <c r="G43" s="4">
        <v>92277</v>
      </c>
      <c r="H43" s="4">
        <v>32971</v>
      </c>
      <c r="I43" s="4">
        <v>25048</v>
      </c>
      <c r="J43" s="4">
        <v>18110</v>
      </c>
      <c r="K43" s="4">
        <v>14275</v>
      </c>
      <c r="L43" s="4">
        <v>11649</v>
      </c>
      <c r="M43" s="6">
        <v>6.9444444444444444E-5</v>
      </c>
      <c r="N43" s="4">
        <v>94450</v>
      </c>
      <c r="O43" s="4">
        <v>378</v>
      </c>
      <c r="P43" s="4">
        <v>82</v>
      </c>
      <c r="Q43" s="4">
        <v>94089</v>
      </c>
      <c r="R43" s="4">
        <v>1352</v>
      </c>
    </row>
    <row r="44" spans="1:18" ht="15" x14ac:dyDescent="0.25">
      <c r="A44" s="4" t="s">
        <v>34</v>
      </c>
      <c r="B44" s="4" t="s">
        <v>29</v>
      </c>
      <c r="C44" s="4" t="s">
        <v>20</v>
      </c>
      <c r="D44" s="5">
        <v>42986</v>
      </c>
      <c r="E44" s="4">
        <v>0</v>
      </c>
      <c r="F44" s="4">
        <v>9.9906089999999993E-3</v>
      </c>
      <c r="G44" s="7"/>
      <c r="H44" s="7"/>
      <c r="I44" s="7"/>
      <c r="J44" s="7"/>
      <c r="K44" s="7"/>
      <c r="L44" s="7"/>
      <c r="M44" s="6">
        <v>3.4722222222222222E-5</v>
      </c>
      <c r="N44" s="4">
        <v>0</v>
      </c>
      <c r="O44" s="7"/>
      <c r="P44" s="7"/>
      <c r="Q44" s="7"/>
      <c r="R44" s="7"/>
    </row>
    <row r="45" spans="1:18" ht="15" x14ac:dyDescent="0.25">
      <c r="A45" s="4" t="s">
        <v>34</v>
      </c>
      <c r="B45" s="4" t="s">
        <v>29</v>
      </c>
      <c r="C45" s="4" t="s">
        <v>21</v>
      </c>
      <c r="D45" s="5">
        <v>42986</v>
      </c>
      <c r="E45" s="4">
        <v>0</v>
      </c>
      <c r="F45" s="4">
        <v>6.9934261999999997E-2</v>
      </c>
      <c r="G45" s="4">
        <v>12</v>
      </c>
      <c r="H45" s="4">
        <v>8</v>
      </c>
      <c r="I45" s="4">
        <v>6</v>
      </c>
      <c r="J45" s="4">
        <v>6</v>
      </c>
      <c r="K45" s="4">
        <v>5</v>
      </c>
      <c r="L45" s="4">
        <v>3</v>
      </c>
      <c r="M45" s="6">
        <v>2.6620370370370372E-4</v>
      </c>
      <c r="N45" s="4">
        <v>13</v>
      </c>
      <c r="O45" s="7"/>
      <c r="P45" s="7"/>
      <c r="Q45" s="4">
        <v>13</v>
      </c>
      <c r="R45" s="4">
        <v>1</v>
      </c>
    </row>
    <row r="46" spans="1:18" ht="15" x14ac:dyDescent="0.25">
      <c r="A46" s="4" t="s">
        <v>34</v>
      </c>
      <c r="B46" s="4" t="s">
        <v>29</v>
      </c>
      <c r="C46" s="4" t="s">
        <v>23</v>
      </c>
      <c r="D46" s="5">
        <v>42986</v>
      </c>
      <c r="E46" s="4">
        <v>1545</v>
      </c>
      <c r="F46" s="4">
        <v>4.7855016279999996</v>
      </c>
      <c r="G46" s="4">
        <v>765</v>
      </c>
      <c r="H46" s="4">
        <v>319</v>
      </c>
      <c r="I46" s="4">
        <v>247</v>
      </c>
      <c r="J46" s="4">
        <v>193</v>
      </c>
      <c r="K46" s="4">
        <v>159</v>
      </c>
      <c r="L46" s="4">
        <v>134</v>
      </c>
      <c r="M46" s="6">
        <v>1.3888888888888889E-4</v>
      </c>
      <c r="N46" s="4">
        <v>776</v>
      </c>
      <c r="O46" s="4">
        <v>3</v>
      </c>
      <c r="P46" s="7"/>
      <c r="Q46" s="4">
        <v>776</v>
      </c>
      <c r="R46" s="4">
        <v>8</v>
      </c>
    </row>
    <row r="47" spans="1:18" ht="15" x14ac:dyDescent="0.25">
      <c r="A47" s="4" t="s">
        <v>34</v>
      </c>
      <c r="B47" s="4" t="s">
        <v>29</v>
      </c>
      <c r="C47" s="4" t="s">
        <v>22</v>
      </c>
      <c r="D47" s="5">
        <v>42986</v>
      </c>
      <c r="E47" s="4">
        <v>1805</v>
      </c>
      <c r="F47" s="4">
        <v>7.3331068799999999</v>
      </c>
      <c r="G47" s="4">
        <v>908</v>
      </c>
      <c r="H47" s="4">
        <v>272</v>
      </c>
      <c r="I47" s="4">
        <v>188</v>
      </c>
      <c r="J47" s="4">
        <v>137</v>
      </c>
      <c r="K47" s="4">
        <v>102</v>
      </c>
      <c r="L47" s="4">
        <v>77</v>
      </c>
      <c r="M47" s="6">
        <v>1.0416666666666667E-4</v>
      </c>
      <c r="N47" s="4">
        <v>909</v>
      </c>
      <c r="O47" s="7"/>
      <c r="P47" s="7"/>
      <c r="Q47" s="4">
        <v>908</v>
      </c>
      <c r="R47" s="7"/>
    </row>
    <row r="48" spans="1:18" ht="15" x14ac:dyDescent="0.25">
      <c r="A48" s="4" t="s">
        <v>34</v>
      </c>
      <c r="B48" s="4" t="s">
        <v>29</v>
      </c>
      <c r="C48" s="4" t="s">
        <v>24</v>
      </c>
      <c r="D48" s="5">
        <v>42986</v>
      </c>
      <c r="E48" s="4">
        <v>7167</v>
      </c>
      <c r="F48" s="4">
        <v>16.124842650000001</v>
      </c>
      <c r="G48" s="4">
        <v>3324</v>
      </c>
      <c r="H48" s="4">
        <v>940</v>
      </c>
      <c r="I48" s="4">
        <v>589</v>
      </c>
      <c r="J48" s="4">
        <v>410</v>
      </c>
      <c r="K48" s="4">
        <v>326</v>
      </c>
      <c r="L48" s="4">
        <v>274</v>
      </c>
      <c r="M48" s="6">
        <v>6.9444444444444444E-5</v>
      </c>
      <c r="N48" s="4">
        <v>3344</v>
      </c>
      <c r="O48" s="4">
        <v>2</v>
      </c>
      <c r="P48" s="7"/>
      <c r="Q48" s="4">
        <v>3340</v>
      </c>
      <c r="R48" s="4">
        <v>12</v>
      </c>
    </row>
    <row r="49" spans="1:18" ht="15" x14ac:dyDescent="0.25">
      <c r="A49" s="4" t="s">
        <v>34</v>
      </c>
      <c r="B49" s="4" t="s">
        <v>29</v>
      </c>
      <c r="C49" s="4" t="s">
        <v>25</v>
      </c>
      <c r="D49" s="5">
        <v>42986</v>
      </c>
      <c r="E49" s="4">
        <v>70775</v>
      </c>
      <c r="F49" s="4">
        <v>211.4812077</v>
      </c>
      <c r="G49" s="4">
        <v>27647</v>
      </c>
      <c r="H49" s="4">
        <v>10568</v>
      </c>
      <c r="I49" s="4">
        <v>8232</v>
      </c>
      <c r="J49" s="4">
        <v>6416</v>
      </c>
      <c r="K49" s="4">
        <v>5030</v>
      </c>
      <c r="L49" s="4">
        <v>3926</v>
      </c>
      <c r="M49" s="6">
        <v>1.0416666666666667E-4</v>
      </c>
      <c r="N49" s="4">
        <v>27870</v>
      </c>
      <c r="O49" s="4">
        <v>15</v>
      </c>
      <c r="P49" s="4">
        <v>29</v>
      </c>
      <c r="Q49" s="4">
        <v>27849</v>
      </c>
      <c r="R49" s="4">
        <v>158</v>
      </c>
    </row>
    <row r="50" spans="1:18" ht="15" x14ac:dyDescent="0.25">
      <c r="A50" s="4" t="s">
        <v>34</v>
      </c>
      <c r="B50" s="4" t="s">
        <v>29</v>
      </c>
      <c r="C50" s="4" t="s">
        <v>26</v>
      </c>
      <c r="D50" s="5">
        <v>42986</v>
      </c>
      <c r="E50" s="4">
        <v>308377</v>
      </c>
      <c r="F50" s="4">
        <v>760.19541630000003</v>
      </c>
      <c r="G50" s="4">
        <v>115558</v>
      </c>
      <c r="H50" s="4">
        <v>47480</v>
      </c>
      <c r="I50" s="4">
        <v>36998</v>
      </c>
      <c r="J50" s="4">
        <v>28866</v>
      </c>
      <c r="K50" s="4">
        <v>23425</v>
      </c>
      <c r="L50" s="4">
        <v>18380</v>
      </c>
      <c r="M50" s="6">
        <v>1.0416666666666667E-4</v>
      </c>
      <c r="N50" s="4">
        <v>117046</v>
      </c>
      <c r="O50" s="4">
        <v>188</v>
      </c>
      <c r="P50" s="4">
        <v>77</v>
      </c>
      <c r="Q50" s="4">
        <v>116895</v>
      </c>
      <c r="R50" s="4">
        <v>1072</v>
      </c>
    </row>
    <row r="51" spans="1:18" ht="15" x14ac:dyDescent="0.25">
      <c r="A51" s="4" t="s">
        <v>35</v>
      </c>
      <c r="B51" s="4" t="s">
        <v>19</v>
      </c>
      <c r="C51" s="4" t="s">
        <v>20</v>
      </c>
      <c r="D51" s="5">
        <v>42986</v>
      </c>
      <c r="E51" s="4">
        <v>0</v>
      </c>
      <c r="F51" s="4">
        <v>5.9944851E-2</v>
      </c>
      <c r="G51" s="4">
        <v>2</v>
      </c>
      <c r="H51" s="7"/>
      <c r="I51" s="7"/>
      <c r="J51" s="7"/>
      <c r="K51" s="7"/>
      <c r="L51" s="7"/>
      <c r="M51" s="6">
        <v>3.4722222222222222E-5</v>
      </c>
      <c r="N51" s="4">
        <v>2</v>
      </c>
      <c r="O51" s="7"/>
      <c r="P51" s="7"/>
      <c r="Q51" s="4">
        <v>2</v>
      </c>
      <c r="R51" s="7"/>
    </row>
    <row r="52" spans="1:18" ht="15" x14ac:dyDescent="0.25">
      <c r="A52" s="4" t="s">
        <v>35</v>
      </c>
      <c r="B52" s="4" t="s">
        <v>19</v>
      </c>
      <c r="C52" s="4" t="s">
        <v>21</v>
      </c>
      <c r="D52" s="5">
        <v>42986</v>
      </c>
      <c r="E52" s="4">
        <v>0</v>
      </c>
      <c r="F52" s="4">
        <v>4.9954041999999997E-2</v>
      </c>
      <c r="G52" s="4">
        <v>8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6">
        <v>1.273148148148148E-4</v>
      </c>
      <c r="N52" s="4">
        <v>8</v>
      </c>
      <c r="O52" s="7"/>
      <c r="P52" s="7"/>
      <c r="Q52" s="4">
        <v>8</v>
      </c>
      <c r="R52" s="7"/>
    </row>
    <row r="53" spans="1:18" ht="15" x14ac:dyDescent="0.25">
      <c r="A53" s="4" t="s">
        <v>35</v>
      </c>
      <c r="B53" s="4" t="s">
        <v>19</v>
      </c>
      <c r="C53" s="4" t="s">
        <v>22</v>
      </c>
      <c r="D53" s="5">
        <v>42986</v>
      </c>
      <c r="E53" s="4">
        <v>3070</v>
      </c>
      <c r="F53" s="4">
        <v>17.563841270000001</v>
      </c>
      <c r="G53" s="4">
        <v>1800</v>
      </c>
      <c r="H53" s="4">
        <v>648</v>
      </c>
      <c r="I53" s="4">
        <v>484</v>
      </c>
      <c r="J53" s="4">
        <v>339</v>
      </c>
      <c r="K53" s="4">
        <v>240</v>
      </c>
      <c r="L53" s="4">
        <v>211</v>
      </c>
      <c r="M53" s="6">
        <v>1.273148148148148E-4</v>
      </c>
      <c r="N53" s="4">
        <v>1819</v>
      </c>
      <c r="O53" s="4">
        <v>9</v>
      </c>
      <c r="P53" s="7"/>
      <c r="Q53" s="4">
        <v>1819</v>
      </c>
      <c r="R53" s="4">
        <v>10</v>
      </c>
    </row>
    <row r="54" spans="1:18" ht="15" x14ac:dyDescent="0.25">
      <c r="A54" s="4" t="s">
        <v>35</v>
      </c>
      <c r="B54" s="4" t="s">
        <v>19</v>
      </c>
      <c r="C54" s="4" t="s">
        <v>23</v>
      </c>
      <c r="D54" s="5">
        <v>42986</v>
      </c>
      <c r="E54" s="4">
        <v>3137</v>
      </c>
      <c r="F54" s="4">
        <v>8.5821044640000004</v>
      </c>
      <c r="G54" s="4">
        <v>1542</v>
      </c>
      <c r="H54" s="4">
        <v>613</v>
      </c>
      <c r="I54" s="4">
        <v>465</v>
      </c>
      <c r="J54" s="4">
        <v>336</v>
      </c>
      <c r="K54" s="4">
        <v>267</v>
      </c>
      <c r="L54" s="4">
        <v>242</v>
      </c>
      <c r="M54" s="6">
        <v>1.273148148148148E-4</v>
      </c>
      <c r="N54" s="4">
        <v>1580</v>
      </c>
      <c r="O54" s="4">
        <v>13</v>
      </c>
      <c r="P54" s="7"/>
      <c r="Q54" s="4">
        <v>1580</v>
      </c>
      <c r="R54" s="4">
        <v>25</v>
      </c>
    </row>
    <row r="55" spans="1:18" ht="15" x14ac:dyDescent="0.25">
      <c r="A55" s="4" t="s">
        <v>35</v>
      </c>
      <c r="B55" s="4" t="s">
        <v>19</v>
      </c>
      <c r="C55" s="4" t="s">
        <v>24</v>
      </c>
      <c r="D55" s="5">
        <v>42986</v>
      </c>
      <c r="E55" s="4">
        <v>21109</v>
      </c>
      <c r="F55" s="4">
        <v>37.875154860000002</v>
      </c>
      <c r="G55" s="4">
        <v>9464</v>
      </c>
      <c r="H55" s="4">
        <v>3014</v>
      </c>
      <c r="I55" s="4">
        <v>2274</v>
      </c>
      <c r="J55" s="4">
        <v>1720</v>
      </c>
      <c r="K55" s="4">
        <v>1417</v>
      </c>
      <c r="L55" s="4">
        <v>1286</v>
      </c>
      <c r="M55" s="6">
        <v>1.0416666666666667E-4</v>
      </c>
      <c r="N55" s="4">
        <v>9613</v>
      </c>
      <c r="O55" s="4">
        <v>20</v>
      </c>
      <c r="P55" s="4">
        <v>8</v>
      </c>
      <c r="Q55" s="4">
        <v>9585</v>
      </c>
      <c r="R55" s="4">
        <v>81</v>
      </c>
    </row>
    <row r="56" spans="1:18" ht="15" x14ac:dyDescent="0.25">
      <c r="A56" s="4" t="s">
        <v>35</v>
      </c>
      <c r="B56" s="4" t="s">
        <v>19</v>
      </c>
      <c r="C56" s="4" t="s">
        <v>25</v>
      </c>
      <c r="D56" s="5">
        <v>42986</v>
      </c>
      <c r="E56" s="4">
        <v>60898</v>
      </c>
      <c r="F56" s="4">
        <v>174.11980980000001</v>
      </c>
      <c r="G56" s="4">
        <v>26847</v>
      </c>
      <c r="H56" s="4">
        <v>10313</v>
      </c>
      <c r="I56" s="4">
        <v>8136</v>
      </c>
      <c r="J56" s="4">
        <v>6331</v>
      </c>
      <c r="K56" s="4">
        <v>4858</v>
      </c>
      <c r="L56" s="4">
        <v>4215</v>
      </c>
      <c r="M56" s="6">
        <v>1.0416666666666667E-4</v>
      </c>
      <c r="N56" s="4">
        <v>27452</v>
      </c>
      <c r="O56" s="4">
        <v>117</v>
      </c>
      <c r="P56" s="4">
        <v>83</v>
      </c>
      <c r="Q56" s="4">
        <v>27394</v>
      </c>
      <c r="R56" s="4">
        <v>347</v>
      </c>
    </row>
    <row r="57" spans="1:18" ht="15" x14ac:dyDescent="0.25">
      <c r="A57" s="4" t="s">
        <v>35</v>
      </c>
      <c r="B57" s="4" t="s">
        <v>19</v>
      </c>
      <c r="C57" s="4" t="s">
        <v>26</v>
      </c>
      <c r="D57" s="5">
        <v>42986</v>
      </c>
      <c r="E57" s="4">
        <v>355023</v>
      </c>
      <c r="F57" s="4">
        <v>761.74919069999999</v>
      </c>
      <c r="G57" s="4">
        <v>153708</v>
      </c>
      <c r="H57" s="4">
        <v>61550</v>
      </c>
      <c r="I57" s="4">
        <v>48419</v>
      </c>
      <c r="J57" s="4">
        <v>37117</v>
      </c>
      <c r="K57" s="4">
        <v>29068</v>
      </c>
      <c r="L57" s="4">
        <v>25663</v>
      </c>
      <c r="M57" s="6">
        <v>1.1574074074074075E-4</v>
      </c>
      <c r="N57" s="4">
        <v>157636</v>
      </c>
      <c r="O57" s="4">
        <v>933</v>
      </c>
      <c r="P57" s="4">
        <v>364</v>
      </c>
      <c r="Q57" s="4">
        <v>157338</v>
      </c>
      <c r="R57" s="4">
        <v>2333</v>
      </c>
    </row>
    <row r="58" spans="1:18" ht="15" x14ac:dyDescent="0.25">
      <c r="A58" s="4" t="s">
        <v>36</v>
      </c>
      <c r="B58" s="4" t="s">
        <v>29</v>
      </c>
      <c r="C58" s="4" t="s">
        <v>20</v>
      </c>
      <c r="D58" s="5">
        <v>42987</v>
      </c>
      <c r="E58" s="4">
        <v>0</v>
      </c>
      <c r="F58" s="4">
        <v>9.9908084999999994E-2</v>
      </c>
      <c r="G58" s="4">
        <v>3</v>
      </c>
      <c r="H58" s="4">
        <v>1</v>
      </c>
      <c r="I58" s="4">
        <v>1</v>
      </c>
      <c r="J58" s="7"/>
      <c r="K58" s="7"/>
      <c r="L58" s="7"/>
      <c r="M58" s="6">
        <v>6.9444444444444444E-5</v>
      </c>
      <c r="N58" s="4">
        <v>3</v>
      </c>
      <c r="O58" s="7"/>
      <c r="P58" s="7"/>
      <c r="Q58" s="4">
        <v>3</v>
      </c>
      <c r="R58" s="7"/>
    </row>
    <row r="59" spans="1:18" ht="15" x14ac:dyDescent="0.25">
      <c r="A59" s="4" t="s">
        <v>36</v>
      </c>
      <c r="B59" s="4" t="s">
        <v>29</v>
      </c>
      <c r="C59" s="4" t="s">
        <v>21</v>
      </c>
      <c r="D59" s="5">
        <v>42987</v>
      </c>
      <c r="E59" s="4">
        <v>0</v>
      </c>
      <c r="F59" s="4">
        <v>9.9908084999999994E-2</v>
      </c>
      <c r="G59" s="4">
        <v>10</v>
      </c>
      <c r="H59" s="4">
        <v>4</v>
      </c>
      <c r="I59" s="4">
        <v>4</v>
      </c>
      <c r="J59" s="4">
        <v>3</v>
      </c>
      <c r="K59" s="4">
        <v>3</v>
      </c>
      <c r="L59" s="4">
        <v>1</v>
      </c>
      <c r="M59" s="6">
        <v>1.273148148148148E-4</v>
      </c>
      <c r="N59" s="4">
        <v>10</v>
      </c>
      <c r="O59" s="7"/>
      <c r="P59" s="7"/>
      <c r="Q59" s="4">
        <v>10</v>
      </c>
      <c r="R59" s="7"/>
    </row>
    <row r="60" spans="1:18" ht="15" x14ac:dyDescent="0.25">
      <c r="A60" s="4" t="s">
        <v>36</v>
      </c>
      <c r="B60" s="4" t="s">
        <v>29</v>
      </c>
      <c r="C60" s="4" t="s">
        <v>23</v>
      </c>
      <c r="D60" s="5">
        <v>42987</v>
      </c>
      <c r="E60" s="4">
        <v>2239</v>
      </c>
      <c r="F60" s="4">
        <v>13.237821200000001</v>
      </c>
      <c r="G60" s="4">
        <v>1650</v>
      </c>
      <c r="H60" s="4">
        <v>575</v>
      </c>
      <c r="I60" s="4">
        <v>444</v>
      </c>
      <c r="J60" s="4">
        <v>256</v>
      </c>
      <c r="K60" s="4">
        <v>169</v>
      </c>
      <c r="L60" s="4">
        <v>117</v>
      </c>
      <c r="M60" s="6">
        <v>9.2592592592592588E-5</v>
      </c>
      <c r="N60" s="4">
        <v>1678</v>
      </c>
      <c r="O60" s="4">
        <v>4</v>
      </c>
      <c r="P60" s="4">
        <v>1</v>
      </c>
      <c r="Q60" s="4">
        <v>1678</v>
      </c>
      <c r="R60" s="4">
        <v>23</v>
      </c>
    </row>
    <row r="61" spans="1:18" ht="15" x14ac:dyDescent="0.25">
      <c r="A61" s="4" t="s">
        <v>36</v>
      </c>
      <c r="B61" s="4" t="s">
        <v>29</v>
      </c>
      <c r="C61" s="4" t="s">
        <v>22</v>
      </c>
      <c r="D61" s="5">
        <v>42987</v>
      </c>
      <c r="E61" s="4">
        <v>3427</v>
      </c>
      <c r="F61" s="4">
        <v>21.31039444</v>
      </c>
      <c r="G61" s="4">
        <v>2130</v>
      </c>
      <c r="H61" s="4">
        <v>711</v>
      </c>
      <c r="I61" s="4">
        <v>509</v>
      </c>
      <c r="J61" s="4">
        <v>277</v>
      </c>
      <c r="K61" s="4">
        <v>185</v>
      </c>
      <c r="L61" s="4">
        <v>125</v>
      </c>
      <c r="M61" s="6">
        <v>1.0416666666666667E-4</v>
      </c>
      <c r="N61" s="4">
        <v>2147</v>
      </c>
      <c r="O61" s="4">
        <v>3</v>
      </c>
      <c r="P61" s="4">
        <v>1</v>
      </c>
      <c r="Q61" s="4">
        <v>2147</v>
      </c>
      <c r="R61" s="4">
        <v>13</v>
      </c>
    </row>
    <row r="62" spans="1:18" ht="15" x14ac:dyDescent="0.25">
      <c r="A62" s="4" t="s">
        <v>36</v>
      </c>
      <c r="B62" s="4" t="s">
        <v>29</v>
      </c>
      <c r="C62" s="4" t="s">
        <v>25</v>
      </c>
      <c r="D62" s="5">
        <v>42987</v>
      </c>
      <c r="E62" s="4">
        <v>34413</v>
      </c>
      <c r="F62" s="4">
        <v>146.97478319999999</v>
      </c>
      <c r="G62" s="4">
        <v>18449</v>
      </c>
      <c r="H62" s="4">
        <v>6242</v>
      </c>
      <c r="I62" s="4">
        <v>4824</v>
      </c>
      <c r="J62" s="4">
        <v>3015</v>
      </c>
      <c r="K62" s="4">
        <v>2141</v>
      </c>
      <c r="L62" s="4">
        <v>1390</v>
      </c>
      <c r="M62" s="6">
        <v>8.1018518518518516E-5</v>
      </c>
      <c r="N62" s="4">
        <v>18691</v>
      </c>
      <c r="O62" s="4">
        <v>28</v>
      </c>
      <c r="P62" s="4">
        <v>14</v>
      </c>
      <c r="Q62" s="4">
        <v>18661</v>
      </c>
      <c r="R62" s="4">
        <v>170</v>
      </c>
    </row>
    <row r="63" spans="1:18" ht="15" x14ac:dyDescent="0.25">
      <c r="A63" s="4" t="s">
        <v>36</v>
      </c>
      <c r="B63" s="4" t="s">
        <v>29</v>
      </c>
      <c r="C63" s="4" t="s">
        <v>24</v>
      </c>
      <c r="D63" s="5">
        <v>42987</v>
      </c>
      <c r="E63" s="4">
        <v>49700</v>
      </c>
      <c r="F63" s="4">
        <v>174.35958919999999</v>
      </c>
      <c r="G63" s="4">
        <v>23866</v>
      </c>
      <c r="H63" s="4">
        <v>8613</v>
      </c>
      <c r="I63" s="4">
        <v>6592</v>
      </c>
      <c r="J63" s="4">
        <v>3951</v>
      </c>
      <c r="K63" s="4">
        <v>3010</v>
      </c>
      <c r="L63" s="4">
        <v>2246</v>
      </c>
      <c r="M63" s="6">
        <v>9.2592592592592588E-5</v>
      </c>
      <c r="N63" s="4">
        <v>24101</v>
      </c>
      <c r="O63" s="4">
        <v>27</v>
      </c>
      <c r="P63" s="4">
        <v>16</v>
      </c>
      <c r="Q63" s="4">
        <v>24068</v>
      </c>
      <c r="R63" s="4">
        <v>134</v>
      </c>
    </row>
    <row r="64" spans="1:18" ht="15" x14ac:dyDescent="0.25">
      <c r="A64" s="4" t="s">
        <v>36</v>
      </c>
      <c r="B64" s="4" t="s">
        <v>29</v>
      </c>
      <c r="C64" s="4" t="s">
        <v>26</v>
      </c>
      <c r="D64" s="5">
        <v>42987</v>
      </c>
      <c r="E64" s="4">
        <v>204942</v>
      </c>
      <c r="F64" s="4">
        <v>643.91759579999996</v>
      </c>
      <c r="G64" s="4">
        <v>97335</v>
      </c>
      <c r="H64" s="4">
        <v>35869</v>
      </c>
      <c r="I64" s="4">
        <v>28730</v>
      </c>
      <c r="J64" s="4">
        <v>18616</v>
      </c>
      <c r="K64" s="4">
        <v>13960</v>
      </c>
      <c r="L64" s="4">
        <v>9687</v>
      </c>
      <c r="M64" s="6">
        <v>9.2592592592592588E-5</v>
      </c>
      <c r="N64" s="4">
        <v>98972</v>
      </c>
      <c r="O64" s="4">
        <v>191</v>
      </c>
      <c r="P64" s="4">
        <v>57</v>
      </c>
      <c r="Q64" s="4">
        <v>98832</v>
      </c>
      <c r="R64" s="4">
        <v>1249</v>
      </c>
    </row>
    <row r="65" spans="1:18" ht="15" x14ac:dyDescent="0.25">
      <c r="A65" s="4" t="s">
        <v>37</v>
      </c>
      <c r="B65" s="4" t="s">
        <v>19</v>
      </c>
      <c r="C65" s="4" t="s">
        <v>20</v>
      </c>
      <c r="D65" s="5">
        <v>42987</v>
      </c>
      <c r="E65" s="4">
        <v>0</v>
      </c>
      <c r="F65" s="4">
        <v>0.12988051</v>
      </c>
      <c r="G65" s="4">
        <v>6</v>
      </c>
      <c r="H65" s="4">
        <v>5</v>
      </c>
      <c r="I65" s="4">
        <v>4</v>
      </c>
      <c r="J65" s="4">
        <v>4</v>
      </c>
      <c r="K65" s="4">
        <v>5</v>
      </c>
      <c r="L65" s="4">
        <v>5</v>
      </c>
      <c r="M65" s="6">
        <v>1.8518518518518518E-4</v>
      </c>
      <c r="N65" s="4">
        <v>6</v>
      </c>
      <c r="O65" s="7"/>
      <c r="P65" s="7"/>
      <c r="Q65" s="4">
        <v>6</v>
      </c>
      <c r="R65" s="7"/>
    </row>
    <row r="66" spans="1:18" ht="15" x14ac:dyDescent="0.25">
      <c r="A66" s="4" t="s">
        <v>37</v>
      </c>
      <c r="B66" s="4" t="s">
        <v>19</v>
      </c>
      <c r="C66" s="4" t="s">
        <v>21</v>
      </c>
      <c r="D66" s="5">
        <v>42987</v>
      </c>
      <c r="E66" s="4">
        <v>0</v>
      </c>
      <c r="F66" s="4">
        <v>0.189825361</v>
      </c>
      <c r="G66" s="4">
        <v>18</v>
      </c>
      <c r="H66" s="4">
        <v>8</v>
      </c>
      <c r="I66" s="4">
        <v>8</v>
      </c>
      <c r="J66" s="4">
        <v>6</v>
      </c>
      <c r="K66" s="4">
        <v>5</v>
      </c>
      <c r="L66" s="4">
        <v>3</v>
      </c>
      <c r="M66" s="6">
        <v>1.0416666666666667E-4</v>
      </c>
      <c r="N66" s="4">
        <v>19</v>
      </c>
      <c r="O66" s="7"/>
      <c r="P66" s="7"/>
      <c r="Q66" s="4">
        <v>19</v>
      </c>
      <c r="R66" s="4">
        <v>1</v>
      </c>
    </row>
    <row r="67" spans="1:18" ht="15" x14ac:dyDescent="0.25">
      <c r="A67" s="4" t="s">
        <v>37</v>
      </c>
      <c r="B67" s="4" t="s">
        <v>19</v>
      </c>
      <c r="C67" s="4" t="s">
        <v>22</v>
      </c>
      <c r="D67" s="5">
        <v>42987</v>
      </c>
      <c r="E67" s="4">
        <v>2496</v>
      </c>
      <c r="F67" s="4">
        <v>14.356791749999999</v>
      </c>
      <c r="G67" s="4">
        <v>1119</v>
      </c>
      <c r="H67" s="4">
        <v>286</v>
      </c>
      <c r="I67" s="4">
        <v>286</v>
      </c>
      <c r="J67" s="4">
        <v>168</v>
      </c>
      <c r="K67" s="4">
        <v>131</v>
      </c>
      <c r="L67" s="4">
        <v>94</v>
      </c>
      <c r="M67" s="6">
        <v>6.9444444444444444E-5</v>
      </c>
      <c r="N67" s="4">
        <v>1134</v>
      </c>
      <c r="O67" s="4">
        <v>1</v>
      </c>
      <c r="P67" s="7"/>
      <c r="Q67" s="4">
        <v>1133</v>
      </c>
      <c r="R67" s="4">
        <v>13</v>
      </c>
    </row>
    <row r="68" spans="1:18" ht="15" x14ac:dyDescent="0.25">
      <c r="A68" s="4" t="s">
        <v>37</v>
      </c>
      <c r="B68" s="4" t="s">
        <v>19</v>
      </c>
      <c r="C68" s="4" t="s">
        <v>23</v>
      </c>
      <c r="D68" s="5">
        <v>42987</v>
      </c>
      <c r="E68" s="4">
        <v>3779</v>
      </c>
      <c r="F68" s="4">
        <v>15.925348680000001</v>
      </c>
      <c r="G68" s="4">
        <v>1502</v>
      </c>
      <c r="H68" s="4">
        <v>480</v>
      </c>
      <c r="I68" s="4">
        <v>484</v>
      </c>
      <c r="J68" s="4">
        <v>292</v>
      </c>
      <c r="K68" s="4">
        <v>246</v>
      </c>
      <c r="L68" s="4">
        <v>191</v>
      </c>
      <c r="M68" s="6">
        <v>8.1018518518518516E-5</v>
      </c>
      <c r="N68" s="4">
        <v>1541</v>
      </c>
      <c r="O68" s="4">
        <v>3</v>
      </c>
      <c r="P68" s="7"/>
      <c r="Q68" s="4">
        <v>1538</v>
      </c>
      <c r="R68" s="4">
        <v>33</v>
      </c>
    </row>
    <row r="69" spans="1:18" ht="15" x14ac:dyDescent="0.25">
      <c r="A69" s="4" t="s">
        <v>37</v>
      </c>
      <c r="B69" s="4" t="s">
        <v>19</v>
      </c>
      <c r="C69" s="4" t="s">
        <v>25</v>
      </c>
      <c r="D69" s="5">
        <v>42987</v>
      </c>
      <c r="E69" s="4">
        <v>41955</v>
      </c>
      <c r="F69" s="4">
        <v>139.61155740000001</v>
      </c>
      <c r="G69" s="4">
        <v>13719</v>
      </c>
      <c r="H69" s="4">
        <v>5088</v>
      </c>
      <c r="I69" s="4">
        <v>5111</v>
      </c>
      <c r="J69" s="4">
        <v>3361</v>
      </c>
      <c r="K69" s="4">
        <v>2885</v>
      </c>
      <c r="L69" s="4">
        <v>1752</v>
      </c>
      <c r="M69" s="6">
        <v>6.9444444444444444E-5</v>
      </c>
      <c r="N69" s="4">
        <v>14073</v>
      </c>
      <c r="O69" s="4">
        <v>28</v>
      </c>
      <c r="P69" s="4">
        <v>20</v>
      </c>
      <c r="Q69" s="4">
        <v>14036</v>
      </c>
      <c r="R69" s="4">
        <v>269</v>
      </c>
    </row>
    <row r="70" spans="1:18" ht="15" x14ac:dyDescent="0.25">
      <c r="A70" s="4" t="s">
        <v>37</v>
      </c>
      <c r="B70" s="4" t="s">
        <v>19</v>
      </c>
      <c r="C70" s="4" t="s">
        <v>24</v>
      </c>
      <c r="D70" s="5">
        <v>42987</v>
      </c>
      <c r="E70" s="4">
        <v>45991</v>
      </c>
      <c r="F70" s="4">
        <v>92.145226390000005</v>
      </c>
      <c r="G70" s="4">
        <v>12507</v>
      </c>
      <c r="H70" s="4">
        <v>4505</v>
      </c>
      <c r="I70" s="4">
        <v>4554</v>
      </c>
      <c r="J70" s="4">
        <v>3203</v>
      </c>
      <c r="K70" s="4">
        <v>2790</v>
      </c>
      <c r="L70" s="4">
        <v>2048</v>
      </c>
      <c r="M70" s="6">
        <v>6.9444444444444444E-5</v>
      </c>
      <c r="N70" s="4">
        <v>12833</v>
      </c>
      <c r="O70" s="4">
        <v>34</v>
      </c>
      <c r="P70" s="4">
        <v>19</v>
      </c>
      <c r="Q70" s="4">
        <v>12769</v>
      </c>
      <c r="R70" s="4">
        <v>192</v>
      </c>
    </row>
    <row r="71" spans="1:18" ht="15" x14ac:dyDescent="0.25">
      <c r="A71" s="4" t="s">
        <v>37</v>
      </c>
      <c r="B71" s="4" t="s">
        <v>19</v>
      </c>
      <c r="C71" s="4" t="s">
        <v>26</v>
      </c>
      <c r="D71" s="5">
        <v>42987</v>
      </c>
      <c r="E71" s="4">
        <v>256728</v>
      </c>
      <c r="F71" s="4">
        <v>737.64136989999997</v>
      </c>
      <c r="G71" s="4">
        <v>84220</v>
      </c>
      <c r="H71" s="4">
        <v>35062</v>
      </c>
      <c r="I71" s="4">
        <v>35146</v>
      </c>
      <c r="J71" s="4">
        <v>24488</v>
      </c>
      <c r="K71" s="4">
        <v>20995</v>
      </c>
      <c r="L71" s="4">
        <v>13693</v>
      </c>
      <c r="M71" s="6">
        <v>8.1018518518518516E-5</v>
      </c>
      <c r="N71" s="4">
        <v>87110</v>
      </c>
      <c r="O71" s="4">
        <v>392</v>
      </c>
      <c r="P71" s="4">
        <v>107</v>
      </c>
      <c r="Q71" s="4">
        <v>86786</v>
      </c>
      <c r="R71" s="4">
        <v>2067</v>
      </c>
    </row>
    <row r="72" spans="1:18" ht="15" x14ac:dyDescent="0.25">
      <c r="A72" s="4" t="s">
        <v>38</v>
      </c>
      <c r="B72" s="4" t="s">
        <v>32</v>
      </c>
      <c r="C72" s="4" t="s">
        <v>21</v>
      </c>
      <c r="D72" s="5">
        <v>42988</v>
      </c>
      <c r="E72" s="4">
        <v>12</v>
      </c>
      <c r="F72" s="4">
        <v>1.9981617E-2</v>
      </c>
      <c r="G72" s="4">
        <v>8</v>
      </c>
      <c r="H72" s="4">
        <v>3</v>
      </c>
      <c r="I72" s="4">
        <v>1</v>
      </c>
      <c r="J72" s="4">
        <v>1</v>
      </c>
      <c r="K72" s="4">
        <v>1</v>
      </c>
      <c r="L72" s="4">
        <v>1</v>
      </c>
      <c r="M72" s="6">
        <v>1.8518518518518518E-4</v>
      </c>
      <c r="N72" s="4">
        <v>11</v>
      </c>
      <c r="O72" s="7"/>
      <c r="P72" s="4">
        <v>1</v>
      </c>
      <c r="Q72" s="4">
        <v>9</v>
      </c>
      <c r="R72" s="7"/>
    </row>
    <row r="73" spans="1:18" ht="15" x14ac:dyDescent="0.25">
      <c r="A73" s="4" t="s">
        <v>38</v>
      </c>
      <c r="B73" s="4" t="s">
        <v>32</v>
      </c>
      <c r="C73" s="4" t="s">
        <v>20</v>
      </c>
      <c r="D73" s="5">
        <v>42988</v>
      </c>
      <c r="E73" s="4">
        <v>15</v>
      </c>
      <c r="F73" s="4">
        <v>9.9908080000000003E-3</v>
      </c>
      <c r="G73" s="4">
        <v>3</v>
      </c>
      <c r="H73" s="4">
        <v>3</v>
      </c>
      <c r="I73" s="4">
        <v>2</v>
      </c>
      <c r="J73" s="4">
        <v>2</v>
      </c>
      <c r="K73" s="4">
        <v>2</v>
      </c>
      <c r="L73" s="4">
        <v>2</v>
      </c>
      <c r="M73" s="6">
        <v>1.1226851851851851E-3</v>
      </c>
      <c r="N73" s="4">
        <v>5</v>
      </c>
      <c r="O73" s="7"/>
      <c r="P73" s="7"/>
      <c r="Q73" s="4">
        <v>3</v>
      </c>
      <c r="R73" s="7"/>
    </row>
    <row r="74" spans="1:18" ht="15" x14ac:dyDescent="0.25">
      <c r="A74" s="4" t="s">
        <v>38</v>
      </c>
      <c r="B74" s="4" t="s">
        <v>32</v>
      </c>
      <c r="C74" s="4" t="s">
        <v>23</v>
      </c>
      <c r="D74" s="5">
        <v>42988</v>
      </c>
      <c r="E74" s="4">
        <v>2816</v>
      </c>
      <c r="F74" s="4">
        <v>12.84817967</v>
      </c>
      <c r="G74" s="4">
        <v>2854</v>
      </c>
      <c r="H74" s="4">
        <v>1188</v>
      </c>
      <c r="I74" s="4">
        <v>421</v>
      </c>
      <c r="J74" s="4">
        <v>310</v>
      </c>
      <c r="K74" s="4">
        <v>256</v>
      </c>
      <c r="L74" s="4">
        <v>208</v>
      </c>
      <c r="M74" s="6">
        <v>1.7361111111111112E-4</v>
      </c>
      <c r="N74" s="4">
        <v>2884</v>
      </c>
      <c r="O74" s="4">
        <v>7</v>
      </c>
      <c r="P74" s="4">
        <v>3</v>
      </c>
      <c r="Q74" s="4">
        <v>2878</v>
      </c>
      <c r="R74" s="4">
        <v>14</v>
      </c>
    </row>
    <row r="75" spans="1:18" ht="15" x14ac:dyDescent="0.25">
      <c r="A75" s="4" t="s">
        <v>38</v>
      </c>
      <c r="B75" s="4" t="s">
        <v>32</v>
      </c>
      <c r="C75" s="4" t="s">
        <v>22</v>
      </c>
      <c r="D75" s="5">
        <v>42988</v>
      </c>
      <c r="E75" s="4">
        <v>3157</v>
      </c>
      <c r="F75" s="4">
        <v>10.79007313</v>
      </c>
      <c r="G75" s="4">
        <v>1856</v>
      </c>
      <c r="H75" s="4">
        <v>668</v>
      </c>
      <c r="I75" s="4">
        <v>205</v>
      </c>
      <c r="J75" s="4">
        <v>146</v>
      </c>
      <c r="K75" s="4">
        <v>119</v>
      </c>
      <c r="L75" s="4">
        <v>100</v>
      </c>
      <c r="M75" s="6">
        <v>1.3888888888888889E-4</v>
      </c>
      <c r="N75" s="4">
        <v>1864</v>
      </c>
      <c r="O75" s="4">
        <v>2</v>
      </c>
      <c r="P75" s="4">
        <v>1</v>
      </c>
      <c r="Q75" s="4">
        <v>1861</v>
      </c>
      <c r="R75" s="4">
        <v>2</v>
      </c>
    </row>
    <row r="76" spans="1:18" ht="15" x14ac:dyDescent="0.25">
      <c r="A76" s="4" t="s">
        <v>38</v>
      </c>
      <c r="B76" s="4" t="s">
        <v>32</v>
      </c>
      <c r="C76" s="4" t="s">
        <v>24</v>
      </c>
      <c r="D76" s="5">
        <v>42988</v>
      </c>
      <c r="E76" s="4">
        <v>17790</v>
      </c>
      <c r="F76" s="4">
        <v>39.823362510000003</v>
      </c>
      <c r="G76" s="4">
        <v>9755</v>
      </c>
      <c r="H76" s="4">
        <v>3382</v>
      </c>
      <c r="I76" s="4">
        <v>1205</v>
      </c>
      <c r="J76" s="4">
        <v>958</v>
      </c>
      <c r="K76" s="4">
        <v>805</v>
      </c>
      <c r="L76" s="4">
        <v>697</v>
      </c>
      <c r="M76" s="6">
        <v>1.3888888888888889E-4</v>
      </c>
      <c r="N76" s="4">
        <v>9829</v>
      </c>
      <c r="O76" s="4">
        <v>24</v>
      </c>
      <c r="P76" s="4">
        <v>8</v>
      </c>
      <c r="Q76" s="4">
        <v>9814</v>
      </c>
      <c r="R76" s="4">
        <v>27</v>
      </c>
    </row>
    <row r="77" spans="1:18" ht="15" x14ac:dyDescent="0.25">
      <c r="A77" s="4" t="s">
        <v>38</v>
      </c>
      <c r="B77" s="4" t="s">
        <v>32</v>
      </c>
      <c r="C77" s="4" t="s">
        <v>25</v>
      </c>
      <c r="D77" s="5">
        <v>42988</v>
      </c>
      <c r="E77" s="4">
        <v>38140</v>
      </c>
      <c r="F77" s="4">
        <v>104.51384729999999</v>
      </c>
      <c r="G77" s="4">
        <v>20735</v>
      </c>
      <c r="H77" s="4">
        <v>7620</v>
      </c>
      <c r="I77" s="4">
        <v>2926</v>
      </c>
      <c r="J77" s="4">
        <v>2244</v>
      </c>
      <c r="K77" s="4">
        <v>1771</v>
      </c>
      <c r="L77" s="4">
        <v>1488</v>
      </c>
      <c r="M77" s="6">
        <v>1.3888888888888889E-4</v>
      </c>
      <c r="N77" s="4">
        <v>20945</v>
      </c>
      <c r="O77" s="4">
        <v>61</v>
      </c>
      <c r="P77" s="4">
        <v>13</v>
      </c>
      <c r="Q77" s="4">
        <v>20902</v>
      </c>
      <c r="R77" s="4">
        <v>93</v>
      </c>
    </row>
    <row r="78" spans="1:18" ht="15" x14ac:dyDescent="0.25">
      <c r="A78" s="4" t="s">
        <v>38</v>
      </c>
      <c r="B78" s="4" t="s">
        <v>32</v>
      </c>
      <c r="C78" s="4" t="s">
        <v>26</v>
      </c>
      <c r="D78" s="5">
        <v>42988</v>
      </c>
      <c r="E78" s="4">
        <v>331291</v>
      </c>
      <c r="F78" s="4">
        <v>831.99456499999997</v>
      </c>
      <c r="G78" s="4">
        <v>179611</v>
      </c>
      <c r="H78" s="4">
        <v>74019</v>
      </c>
      <c r="I78" s="4">
        <v>29786</v>
      </c>
      <c r="J78" s="4">
        <v>23219</v>
      </c>
      <c r="K78" s="4">
        <v>18850</v>
      </c>
      <c r="L78" s="4">
        <v>15940</v>
      </c>
      <c r="M78" s="6">
        <v>1.6203703703703703E-4</v>
      </c>
      <c r="N78" s="4">
        <v>182041</v>
      </c>
      <c r="O78" s="4">
        <v>764</v>
      </c>
      <c r="P78" s="4">
        <v>111</v>
      </c>
      <c r="Q78" s="4">
        <v>181680</v>
      </c>
      <c r="R78" s="4">
        <v>1194</v>
      </c>
    </row>
    <row r="79" spans="1:18" ht="15" x14ac:dyDescent="0.25">
      <c r="A79" s="4" t="s">
        <v>39</v>
      </c>
      <c r="B79" s="4" t="s">
        <v>32</v>
      </c>
      <c r="C79" s="4" t="s">
        <v>21</v>
      </c>
      <c r="D79" s="5">
        <v>42979</v>
      </c>
      <c r="E79" s="4">
        <v>0</v>
      </c>
      <c r="F79" s="4">
        <v>0.12915532399999999</v>
      </c>
      <c r="G79" s="4">
        <v>14</v>
      </c>
      <c r="H79" s="4">
        <v>5</v>
      </c>
      <c r="I79" s="4">
        <v>5</v>
      </c>
      <c r="J79" s="4">
        <v>3</v>
      </c>
      <c r="K79" s="4">
        <v>3</v>
      </c>
      <c r="L79" s="4">
        <v>3</v>
      </c>
      <c r="M79" s="6">
        <v>8.1018518518518516E-5</v>
      </c>
      <c r="N79" s="4">
        <v>15</v>
      </c>
      <c r="O79" s="7"/>
      <c r="P79" s="7"/>
      <c r="Q79" s="4">
        <v>15</v>
      </c>
      <c r="R79" s="4">
        <v>1</v>
      </c>
    </row>
    <row r="80" spans="1:18" ht="15" x14ac:dyDescent="0.25">
      <c r="A80" s="4" t="s">
        <v>39</v>
      </c>
      <c r="B80" s="4" t="s">
        <v>32</v>
      </c>
      <c r="C80" s="4" t="s">
        <v>20</v>
      </c>
      <c r="D80" s="5">
        <v>42979</v>
      </c>
      <c r="E80" s="4">
        <v>64</v>
      </c>
      <c r="F80" s="4">
        <v>0.20863552399999999</v>
      </c>
      <c r="G80" s="4">
        <v>3</v>
      </c>
      <c r="H80" s="4">
        <v>2</v>
      </c>
      <c r="I80" s="4">
        <v>2</v>
      </c>
      <c r="J80" s="4">
        <v>1</v>
      </c>
      <c r="K80" s="4">
        <v>1</v>
      </c>
      <c r="L80" s="7"/>
      <c r="M80" s="6">
        <v>8.1018518518518516E-5</v>
      </c>
      <c r="N80" s="4">
        <v>3</v>
      </c>
      <c r="O80" s="7"/>
      <c r="P80" s="7"/>
      <c r="Q80" s="4">
        <v>3</v>
      </c>
      <c r="R80" s="7"/>
    </row>
    <row r="81" spans="1:18" ht="15" x14ac:dyDescent="0.25">
      <c r="A81" s="4" t="s">
        <v>39</v>
      </c>
      <c r="B81" s="4" t="s">
        <v>32</v>
      </c>
      <c r="C81" s="4" t="s">
        <v>22</v>
      </c>
      <c r="D81" s="5">
        <v>42979</v>
      </c>
      <c r="E81" s="4">
        <v>1920</v>
      </c>
      <c r="F81" s="4">
        <v>9.2097681169999994</v>
      </c>
      <c r="G81" s="4">
        <v>934</v>
      </c>
      <c r="H81" s="4">
        <v>237</v>
      </c>
      <c r="I81" s="4">
        <v>240</v>
      </c>
      <c r="J81" s="4">
        <v>146</v>
      </c>
      <c r="K81" s="4">
        <v>126</v>
      </c>
      <c r="L81" s="4">
        <v>114</v>
      </c>
      <c r="M81" s="6">
        <v>8.1018518518518516E-5</v>
      </c>
      <c r="N81" s="4">
        <v>942</v>
      </c>
      <c r="O81" s="7"/>
      <c r="P81" s="4">
        <v>2</v>
      </c>
      <c r="Q81" s="4">
        <v>941</v>
      </c>
      <c r="R81" s="4">
        <v>5</v>
      </c>
    </row>
    <row r="82" spans="1:18" ht="15" x14ac:dyDescent="0.25">
      <c r="A82" s="4" t="s">
        <v>39</v>
      </c>
      <c r="B82" s="4" t="s">
        <v>32</v>
      </c>
      <c r="C82" s="4" t="s">
        <v>23</v>
      </c>
      <c r="D82" s="5">
        <v>42979</v>
      </c>
      <c r="E82" s="4">
        <v>3456</v>
      </c>
      <c r="F82" s="4">
        <v>15.87616985</v>
      </c>
      <c r="G82" s="4">
        <v>1441</v>
      </c>
      <c r="H82" s="4">
        <v>378</v>
      </c>
      <c r="I82" s="4">
        <v>383</v>
      </c>
      <c r="J82" s="4">
        <v>197</v>
      </c>
      <c r="K82" s="4">
        <v>172</v>
      </c>
      <c r="L82" s="4">
        <v>150</v>
      </c>
      <c r="M82" s="6">
        <v>5.7870370370370373E-5</v>
      </c>
      <c r="N82" s="4">
        <v>1468</v>
      </c>
      <c r="O82" s="4">
        <v>2</v>
      </c>
      <c r="P82" s="4">
        <v>1</v>
      </c>
      <c r="Q82" s="4">
        <v>1466</v>
      </c>
      <c r="R82" s="4">
        <v>22</v>
      </c>
    </row>
    <row r="83" spans="1:18" ht="15" x14ac:dyDescent="0.25">
      <c r="A83" s="4" t="s">
        <v>39</v>
      </c>
      <c r="B83" s="4" t="s">
        <v>32</v>
      </c>
      <c r="C83" s="4" t="s">
        <v>25</v>
      </c>
      <c r="D83" s="5">
        <v>42979</v>
      </c>
      <c r="E83" s="4">
        <v>39293</v>
      </c>
      <c r="F83" s="4">
        <v>131.25161439999999</v>
      </c>
      <c r="G83" s="4">
        <v>16340</v>
      </c>
      <c r="H83" s="4">
        <v>4871</v>
      </c>
      <c r="I83" s="4">
        <v>4965</v>
      </c>
      <c r="J83" s="4">
        <v>3230</v>
      </c>
      <c r="K83" s="4">
        <v>2840</v>
      </c>
      <c r="L83" s="4">
        <v>2533</v>
      </c>
      <c r="M83" s="6">
        <v>6.9444444444444444E-5</v>
      </c>
      <c r="N83" s="4">
        <v>16584</v>
      </c>
      <c r="O83" s="4">
        <v>15</v>
      </c>
      <c r="P83" s="4">
        <v>14</v>
      </c>
      <c r="Q83" s="4">
        <v>16558</v>
      </c>
      <c r="R83" s="4">
        <v>189</v>
      </c>
    </row>
    <row r="84" spans="1:18" ht="15" x14ac:dyDescent="0.25">
      <c r="A84" s="4" t="s">
        <v>39</v>
      </c>
      <c r="B84" s="4" t="s">
        <v>32</v>
      </c>
      <c r="C84" s="4" t="s">
        <v>24</v>
      </c>
      <c r="D84" s="5">
        <v>42979</v>
      </c>
      <c r="E84" s="4">
        <v>57148</v>
      </c>
      <c r="F84" s="4">
        <v>174.52858309999999</v>
      </c>
      <c r="G84" s="4">
        <v>22474</v>
      </c>
      <c r="H84" s="4">
        <v>5879</v>
      </c>
      <c r="I84" s="4">
        <v>6024</v>
      </c>
      <c r="J84" s="4">
        <v>3480</v>
      </c>
      <c r="K84" s="4">
        <v>2856</v>
      </c>
      <c r="L84" s="4">
        <v>2534</v>
      </c>
      <c r="M84" s="6">
        <v>5.7870370370370373E-5</v>
      </c>
      <c r="N84" s="4">
        <v>22650</v>
      </c>
      <c r="O84" s="4">
        <v>15</v>
      </c>
      <c r="P84" s="4">
        <v>11</v>
      </c>
      <c r="Q84" s="4">
        <v>22602</v>
      </c>
      <c r="R84" s="4">
        <v>102</v>
      </c>
    </row>
    <row r="85" spans="1:18" ht="15" x14ac:dyDescent="0.25">
      <c r="A85" s="4" t="s">
        <v>39</v>
      </c>
      <c r="B85" s="4" t="s">
        <v>32</v>
      </c>
      <c r="C85" s="4" t="s">
        <v>26</v>
      </c>
      <c r="D85" s="5">
        <v>42979</v>
      </c>
      <c r="E85" s="4">
        <v>258092</v>
      </c>
      <c r="F85" s="4">
        <v>668.79607369999997</v>
      </c>
      <c r="G85" s="4">
        <v>82588</v>
      </c>
      <c r="H85" s="4">
        <v>28467</v>
      </c>
      <c r="I85" s="4">
        <v>29038</v>
      </c>
      <c r="J85" s="4">
        <v>19350</v>
      </c>
      <c r="K85" s="4">
        <v>17308</v>
      </c>
      <c r="L85" s="4">
        <v>15807</v>
      </c>
      <c r="M85" s="6">
        <v>5.7870370370370373E-5</v>
      </c>
      <c r="N85" s="4">
        <v>84262</v>
      </c>
      <c r="O85" s="4">
        <v>138</v>
      </c>
      <c r="P85" s="4">
        <v>104</v>
      </c>
      <c r="Q85" s="4">
        <v>83969</v>
      </c>
      <c r="R85" s="4">
        <v>1138</v>
      </c>
    </row>
    <row r="86" spans="1:18" ht="15" x14ac:dyDescent="0.25">
      <c r="A86" s="4" t="s">
        <v>40</v>
      </c>
      <c r="B86" s="4" t="s">
        <v>32</v>
      </c>
      <c r="C86" s="4" t="s">
        <v>21</v>
      </c>
      <c r="D86" s="5">
        <v>42988</v>
      </c>
      <c r="E86" s="4">
        <v>0</v>
      </c>
      <c r="F86" s="4">
        <v>6.9934261999999997E-2</v>
      </c>
      <c r="G86" s="4">
        <v>13</v>
      </c>
      <c r="H86" s="4">
        <v>4</v>
      </c>
      <c r="I86" s="4">
        <v>3</v>
      </c>
      <c r="J86" s="4">
        <v>2</v>
      </c>
      <c r="K86" s="4">
        <v>2</v>
      </c>
      <c r="L86" s="4">
        <v>1</v>
      </c>
      <c r="M86" s="6">
        <v>8.1018518518518516E-5</v>
      </c>
      <c r="N86" s="4">
        <v>13</v>
      </c>
      <c r="O86" s="7"/>
      <c r="P86" s="7"/>
      <c r="Q86" s="4">
        <v>13</v>
      </c>
      <c r="R86" s="7"/>
    </row>
    <row r="87" spans="1:18" ht="15" x14ac:dyDescent="0.25">
      <c r="A87" s="4" t="s">
        <v>40</v>
      </c>
      <c r="B87" s="4" t="s">
        <v>32</v>
      </c>
      <c r="C87" s="4" t="s">
        <v>20</v>
      </c>
      <c r="D87" s="5">
        <v>42988</v>
      </c>
      <c r="E87" s="4">
        <v>37</v>
      </c>
      <c r="F87" s="4">
        <v>3.9962434999999998E-2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6">
        <v>3.3564814814814812E-4</v>
      </c>
      <c r="N87" s="4">
        <v>1</v>
      </c>
      <c r="O87" s="7"/>
      <c r="P87" s="7"/>
      <c r="Q87" s="4">
        <v>1</v>
      </c>
      <c r="R87" s="7"/>
    </row>
    <row r="88" spans="1:18" ht="15" x14ac:dyDescent="0.25">
      <c r="A88" s="4" t="s">
        <v>40</v>
      </c>
      <c r="B88" s="4" t="s">
        <v>32</v>
      </c>
      <c r="C88" s="4" t="s">
        <v>22</v>
      </c>
      <c r="D88" s="5">
        <v>42988</v>
      </c>
      <c r="E88" s="4">
        <v>1260</v>
      </c>
      <c r="F88" s="4">
        <v>4.1061402280000001</v>
      </c>
      <c r="G88" s="4">
        <v>617</v>
      </c>
      <c r="H88" s="4">
        <v>262</v>
      </c>
      <c r="I88" s="4">
        <v>221</v>
      </c>
      <c r="J88" s="4">
        <v>150</v>
      </c>
      <c r="K88" s="4">
        <v>131</v>
      </c>
      <c r="L88" s="4">
        <v>114</v>
      </c>
      <c r="M88" s="6">
        <v>1.273148148148148E-4</v>
      </c>
      <c r="N88" s="4">
        <v>623</v>
      </c>
      <c r="O88" s="4">
        <v>2</v>
      </c>
      <c r="P88" s="7"/>
      <c r="Q88" s="4">
        <v>623</v>
      </c>
      <c r="R88" s="4">
        <v>4</v>
      </c>
    </row>
    <row r="89" spans="1:18" ht="15" x14ac:dyDescent="0.25">
      <c r="A89" s="4" t="s">
        <v>40</v>
      </c>
      <c r="B89" s="4" t="s">
        <v>32</v>
      </c>
      <c r="C89" s="4" t="s">
        <v>23</v>
      </c>
      <c r="D89" s="5">
        <v>42988</v>
      </c>
      <c r="E89" s="4">
        <v>1303</v>
      </c>
      <c r="F89" s="4">
        <v>3.2169760429999998</v>
      </c>
      <c r="G89" s="4">
        <v>594</v>
      </c>
      <c r="H89" s="4">
        <v>263</v>
      </c>
      <c r="I89" s="4">
        <v>213</v>
      </c>
      <c r="J89" s="4">
        <v>145</v>
      </c>
      <c r="K89" s="4">
        <v>111</v>
      </c>
      <c r="L89" s="4">
        <v>100</v>
      </c>
      <c r="M89" s="6">
        <v>1.1574074074074075E-4</v>
      </c>
      <c r="N89" s="4">
        <v>598</v>
      </c>
      <c r="O89" s="7"/>
      <c r="P89" s="7"/>
      <c r="Q89" s="4">
        <v>598</v>
      </c>
      <c r="R89" s="4">
        <v>4</v>
      </c>
    </row>
    <row r="90" spans="1:18" ht="15" x14ac:dyDescent="0.25">
      <c r="A90" s="4" t="s">
        <v>40</v>
      </c>
      <c r="B90" s="4" t="s">
        <v>32</v>
      </c>
      <c r="C90" s="4" t="s">
        <v>24</v>
      </c>
      <c r="D90" s="5">
        <v>42988</v>
      </c>
      <c r="E90" s="4">
        <v>29051</v>
      </c>
      <c r="F90" s="4">
        <v>66.897116710000006</v>
      </c>
      <c r="G90" s="4">
        <v>14115</v>
      </c>
      <c r="H90" s="4">
        <v>5853</v>
      </c>
      <c r="I90" s="4">
        <v>4579</v>
      </c>
      <c r="J90" s="4">
        <v>3330</v>
      </c>
      <c r="K90" s="4">
        <v>2874</v>
      </c>
      <c r="L90" s="4">
        <v>2614</v>
      </c>
      <c r="M90" s="6">
        <v>1.1574074074074075E-4</v>
      </c>
      <c r="N90" s="4">
        <v>14190</v>
      </c>
      <c r="O90" s="4">
        <v>8</v>
      </c>
      <c r="P90" s="4">
        <v>5</v>
      </c>
      <c r="Q90" s="4">
        <v>14154</v>
      </c>
      <c r="R90" s="4">
        <v>26</v>
      </c>
    </row>
    <row r="91" spans="1:18" ht="15" x14ac:dyDescent="0.25">
      <c r="A91" s="4" t="s">
        <v>40</v>
      </c>
      <c r="B91" s="4" t="s">
        <v>32</v>
      </c>
      <c r="C91" s="4" t="s">
        <v>25</v>
      </c>
      <c r="D91" s="5">
        <v>42988</v>
      </c>
      <c r="E91" s="4">
        <v>90736</v>
      </c>
      <c r="F91" s="4">
        <v>241.64285570000001</v>
      </c>
      <c r="G91" s="4">
        <v>45746</v>
      </c>
      <c r="H91" s="4">
        <v>21084</v>
      </c>
      <c r="I91" s="4">
        <v>17899</v>
      </c>
      <c r="J91" s="4">
        <v>13699</v>
      </c>
      <c r="K91" s="4">
        <v>11423</v>
      </c>
      <c r="L91" s="4">
        <v>10068</v>
      </c>
      <c r="M91" s="6">
        <v>1.273148148148148E-4</v>
      </c>
      <c r="N91" s="4">
        <v>46112</v>
      </c>
      <c r="O91" s="4">
        <v>36</v>
      </c>
      <c r="P91" s="4">
        <v>28</v>
      </c>
      <c r="Q91" s="4">
        <v>46055</v>
      </c>
      <c r="R91" s="4">
        <v>245</v>
      </c>
    </row>
    <row r="92" spans="1:18" ht="15" x14ac:dyDescent="0.25">
      <c r="A92" s="4" t="s">
        <v>40</v>
      </c>
      <c r="B92" s="4" t="s">
        <v>32</v>
      </c>
      <c r="C92" s="4" t="s">
        <v>26</v>
      </c>
      <c r="D92" s="5">
        <v>42988</v>
      </c>
      <c r="E92" s="4">
        <v>325832</v>
      </c>
      <c r="F92" s="4">
        <v>684.02701460000003</v>
      </c>
      <c r="G92" s="4">
        <v>150996</v>
      </c>
      <c r="H92" s="4">
        <v>71363</v>
      </c>
      <c r="I92" s="4">
        <v>60813</v>
      </c>
      <c r="J92" s="4">
        <v>46317</v>
      </c>
      <c r="K92" s="4">
        <v>38003</v>
      </c>
      <c r="L92" s="4">
        <v>34149</v>
      </c>
      <c r="M92" s="6">
        <v>1.273148148148148E-4</v>
      </c>
      <c r="N92" s="4">
        <v>152423</v>
      </c>
      <c r="O92" s="4">
        <v>166</v>
      </c>
      <c r="P92" s="4">
        <v>73</v>
      </c>
      <c r="Q92" s="4">
        <v>152129</v>
      </c>
      <c r="R92" s="4">
        <v>894</v>
      </c>
    </row>
    <row r="93" spans="1:18" ht="15" x14ac:dyDescent="0.25">
      <c r="A93" s="4" t="s">
        <v>41</v>
      </c>
      <c r="B93" s="4" t="s">
        <v>19</v>
      </c>
      <c r="C93" s="4" t="s">
        <v>20</v>
      </c>
      <c r="D93" s="5">
        <v>42989</v>
      </c>
      <c r="E93" s="4">
        <v>0</v>
      </c>
      <c r="F93" s="4">
        <v>7.9926468000000001E-2</v>
      </c>
      <c r="G93" s="4">
        <v>4</v>
      </c>
      <c r="H93" s="4">
        <v>2</v>
      </c>
      <c r="I93" s="4">
        <v>2</v>
      </c>
      <c r="J93" s="4">
        <v>1</v>
      </c>
      <c r="K93" s="4">
        <v>1</v>
      </c>
      <c r="L93" s="4">
        <v>1</v>
      </c>
      <c r="M93" s="6">
        <v>2.0833333333333335E-4</v>
      </c>
      <c r="N93" s="4">
        <v>4</v>
      </c>
      <c r="O93" s="7"/>
      <c r="P93" s="7"/>
      <c r="Q93" s="4">
        <v>4</v>
      </c>
      <c r="R93" s="7"/>
    </row>
    <row r="94" spans="1:18" ht="15" x14ac:dyDescent="0.25">
      <c r="A94" s="4" t="s">
        <v>41</v>
      </c>
      <c r="B94" s="4" t="s">
        <v>19</v>
      </c>
      <c r="C94" s="4" t="s">
        <v>21</v>
      </c>
      <c r="D94" s="5">
        <v>42989</v>
      </c>
      <c r="E94" s="4">
        <v>47</v>
      </c>
      <c r="F94" s="4">
        <v>7.9926468000000001E-2</v>
      </c>
      <c r="G94" s="4">
        <v>20</v>
      </c>
      <c r="H94" s="4">
        <v>8</v>
      </c>
      <c r="I94" s="4">
        <v>6</v>
      </c>
      <c r="J94" s="4">
        <v>6</v>
      </c>
      <c r="K94" s="4">
        <v>3</v>
      </c>
      <c r="L94" s="4">
        <v>2</v>
      </c>
      <c r="M94" s="6">
        <v>1.3888888888888889E-4</v>
      </c>
      <c r="N94" s="4">
        <v>20</v>
      </c>
      <c r="O94" s="7"/>
      <c r="P94" s="7"/>
      <c r="Q94" s="4">
        <v>20</v>
      </c>
      <c r="R94" s="7"/>
    </row>
    <row r="95" spans="1:18" ht="15" x14ac:dyDescent="0.25">
      <c r="A95" s="4" t="s">
        <v>41</v>
      </c>
      <c r="B95" s="4" t="s">
        <v>19</v>
      </c>
      <c r="C95" s="4" t="s">
        <v>22</v>
      </c>
      <c r="D95" s="5">
        <v>42989</v>
      </c>
      <c r="E95" s="4">
        <v>2454</v>
      </c>
      <c r="F95" s="4">
        <v>7.812812213</v>
      </c>
      <c r="G95" s="4">
        <v>1006</v>
      </c>
      <c r="H95" s="4">
        <v>272</v>
      </c>
      <c r="I95" s="4">
        <v>188</v>
      </c>
      <c r="J95" s="4">
        <v>119</v>
      </c>
      <c r="K95" s="4">
        <v>91</v>
      </c>
      <c r="L95" s="4">
        <v>61</v>
      </c>
      <c r="M95" s="6">
        <v>8.1018518518518516E-5</v>
      </c>
      <c r="N95" s="4">
        <v>1011</v>
      </c>
      <c r="O95" s="7"/>
      <c r="P95" s="7"/>
      <c r="Q95" s="4">
        <v>1008</v>
      </c>
      <c r="R95" s="4">
        <v>2</v>
      </c>
    </row>
    <row r="96" spans="1:18" ht="15" x14ac:dyDescent="0.25">
      <c r="A96" s="4" t="s">
        <v>41</v>
      </c>
      <c r="B96" s="4" t="s">
        <v>19</v>
      </c>
      <c r="C96" s="4" t="s">
        <v>23</v>
      </c>
      <c r="D96" s="5">
        <v>42989</v>
      </c>
      <c r="E96" s="4">
        <v>2923</v>
      </c>
      <c r="F96" s="4">
        <v>7.7528673619999999</v>
      </c>
      <c r="G96" s="4">
        <v>1173</v>
      </c>
      <c r="H96" s="4">
        <v>390</v>
      </c>
      <c r="I96" s="4">
        <v>240</v>
      </c>
      <c r="J96" s="4">
        <v>164</v>
      </c>
      <c r="K96" s="4">
        <v>128</v>
      </c>
      <c r="L96" s="4">
        <v>97</v>
      </c>
      <c r="M96" s="6">
        <v>8.1018518518518516E-5</v>
      </c>
      <c r="N96" s="4">
        <v>1200</v>
      </c>
      <c r="O96" s="4">
        <v>4</v>
      </c>
      <c r="P96" s="4">
        <v>1</v>
      </c>
      <c r="Q96" s="4">
        <v>1198</v>
      </c>
      <c r="R96" s="4">
        <v>20</v>
      </c>
    </row>
    <row r="97" spans="1:18" ht="15" x14ac:dyDescent="0.25">
      <c r="A97" s="4" t="s">
        <v>41</v>
      </c>
      <c r="B97" s="4" t="s">
        <v>19</v>
      </c>
      <c r="C97" s="4" t="s">
        <v>24</v>
      </c>
      <c r="D97" s="5">
        <v>42989</v>
      </c>
      <c r="E97" s="4">
        <v>24317</v>
      </c>
      <c r="F97" s="4">
        <v>44.359189550000004</v>
      </c>
      <c r="G97" s="4">
        <v>8578</v>
      </c>
      <c r="H97" s="4">
        <v>3117</v>
      </c>
      <c r="I97" s="4">
        <v>2250</v>
      </c>
      <c r="J97" s="4">
        <v>1796</v>
      </c>
      <c r="K97" s="4">
        <v>1574</v>
      </c>
      <c r="L97" s="4">
        <v>1303</v>
      </c>
      <c r="M97" s="6">
        <v>1.0416666666666667E-4</v>
      </c>
      <c r="N97" s="4">
        <v>8772</v>
      </c>
      <c r="O97" s="4">
        <v>16</v>
      </c>
      <c r="P97" s="4">
        <v>5</v>
      </c>
      <c r="Q97" s="4">
        <v>8730</v>
      </c>
      <c r="R97" s="4">
        <v>113</v>
      </c>
    </row>
    <row r="98" spans="1:18" ht="15" x14ac:dyDescent="0.25">
      <c r="A98" s="4" t="s">
        <v>41</v>
      </c>
      <c r="B98" s="4" t="s">
        <v>19</v>
      </c>
      <c r="C98" s="4" t="s">
        <v>25</v>
      </c>
      <c r="D98" s="5">
        <v>42989</v>
      </c>
      <c r="E98" s="4">
        <v>84980</v>
      </c>
      <c r="F98" s="4">
        <v>192.62278699999999</v>
      </c>
      <c r="G98" s="4">
        <v>30821</v>
      </c>
      <c r="H98" s="4">
        <v>9065</v>
      </c>
      <c r="I98" s="4">
        <v>5881</v>
      </c>
      <c r="J98" s="4">
        <v>4134</v>
      </c>
      <c r="K98" s="4">
        <v>3187</v>
      </c>
      <c r="L98" s="4">
        <v>2383</v>
      </c>
      <c r="M98" s="6">
        <v>6.9444444444444444E-5</v>
      </c>
      <c r="N98" s="4">
        <v>31114</v>
      </c>
      <c r="O98" s="4">
        <v>30</v>
      </c>
      <c r="P98" s="4">
        <v>15</v>
      </c>
      <c r="Q98" s="4">
        <v>31060</v>
      </c>
      <c r="R98" s="4">
        <v>194</v>
      </c>
    </row>
    <row r="99" spans="1:18" ht="15" x14ac:dyDescent="0.25">
      <c r="A99" s="4" t="s">
        <v>41</v>
      </c>
      <c r="B99" s="4" t="s">
        <v>19</v>
      </c>
      <c r="C99" s="4" t="s">
        <v>26</v>
      </c>
      <c r="D99" s="5">
        <v>42989</v>
      </c>
      <c r="E99" s="4">
        <v>393672</v>
      </c>
      <c r="F99" s="4">
        <v>747.29249089999996</v>
      </c>
      <c r="G99" s="4">
        <v>158031</v>
      </c>
      <c r="H99" s="4">
        <v>49950</v>
      </c>
      <c r="I99" s="4">
        <v>34094</v>
      </c>
      <c r="J99" s="4">
        <v>24455</v>
      </c>
      <c r="K99" s="4">
        <v>19269</v>
      </c>
      <c r="L99" s="4">
        <v>15106</v>
      </c>
      <c r="M99" s="6">
        <v>8.1018518518518516E-5</v>
      </c>
      <c r="N99" s="4">
        <v>160648</v>
      </c>
      <c r="O99" s="4">
        <v>386</v>
      </c>
      <c r="P99" s="4">
        <v>108</v>
      </c>
      <c r="Q99" s="4">
        <v>160246</v>
      </c>
      <c r="R99" s="4">
        <v>1721</v>
      </c>
    </row>
    <row r="100" spans="1:18" ht="15" x14ac:dyDescent="0.25">
      <c r="A100" s="4" t="s">
        <v>42</v>
      </c>
      <c r="B100" s="4" t="s">
        <v>32</v>
      </c>
      <c r="C100" s="4" t="s">
        <v>21</v>
      </c>
      <c r="D100" s="5">
        <v>42989</v>
      </c>
      <c r="E100" s="4">
        <v>0</v>
      </c>
      <c r="F100" s="4">
        <v>9.9908084999999994E-2</v>
      </c>
      <c r="G100" s="4">
        <v>7</v>
      </c>
      <c r="H100" s="4">
        <v>5</v>
      </c>
      <c r="I100" s="4">
        <v>3</v>
      </c>
      <c r="J100" s="4">
        <v>3</v>
      </c>
      <c r="K100" s="4">
        <v>2</v>
      </c>
      <c r="L100" s="4">
        <v>2</v>
      </c>
      <c r="M100" s="6">
        <v>1.273148148148148E-4</v>
      </c>
      <c r="N100" s="4">
        <v>8</v>
      </c>
      <c r="O100" s="7"/>
      <c r="P100" s="7"/>
      <c r="Q100" s="4">
        <v>8</v>
      </c>
      <c r="R100" s="4">
        <v>1</v>
      </c>
    </row>
    <row r="101" spans="1:18" ht="15" x14ac:dyDescent="0.25">
      <c r="A101" s="4" t="s">
        <v>42</v>
      </c>
      <c r="B101" s="4" t="s">
        <v>32</v>
      </c>
      <c r="C101" s="4" t="s">
        <v>20</v>
      </c>
      <c r="D101" s="5">
        <v>42989</v>
      </c>
      <c r="E101" s="4">
        <v>30</v>
      </c>
      <c r="F101" s="4">
        <v>6.9935658999999997E-2</v>
      </c>
      <c r="G101" s="7"/>
      <c r="H101" s="7"/>
      <c r="I101" s="7"/>
      <c r="J101" s="7"/>
      <c r="K101" s="7"/>
      <c r="L101" s="7"/>
      <c r="M101" s="6">
        <v>0</v>
      </c>
      <c r="N101" s="4">
        <v>0</v>
      </c>
      <c r="O101" s="7"/>
      <c r="P101" s="7"/>
      <c r="Q101" s="7"/>
      <c r="R101" s="7"/>
    </row>
    <row r="102" spans="1:18" ht="15" x14ac:dyDescent="0.25">
      <c r="A102" s="4" t="s">
        <v>42</v>
      </c>
      <c r="B102" s="4" t="s">
        <v>32</v>
      </c>
      <c r="C102" s="4" t="s">
        <v>22</v>
      </c>
      <c r="D102" s="5">
        <v>42989</v>
      </c>
      <c r="E102" s="4">
        <v>1345</v>
      </c>
      <c r="F102" s="4">
        <v>10.290532710000001</v>
      </c>
      <c r="G102" s="4">
        <v>843</v>
      </c>
      <c r="H102" s="4">
        <v>203</v>
      </c>
      <c r="I102" s="4">
        <v>152</v>
      </c>
      <c r="J102" s="4">
        <v>107</v>
      </c>
      <c r="K102" s="4">
        <v>87</v>
      </c>
      <c r="L102" s="4">
        <v>72</v>
      </c>
      <c r="M102" s="6">
        <v>1.6203703703703703E-4</v>
      </c>
      <c r="N102" s="4">
        <v>851</v>
      </c>
      <c r="O102" s="7"/>
      <c r="P102" s="4">
        <v>1</v>
      </c>
      <c r="Q102" s="4">
        <v>851</v>
      </c>
      <c r="R102" s="4">
        <v>7</v>
      </c>
    </row>
    <row r="103" spans="1:18" ht="15" x14ac:dyDescent="0.25">
      <c r="A103" s="4" t="s">
        <v>42</v>
      </c>
      <c r="B103" s="4" t="s">
        <v>32</v>
      </c>
      <c r="C103" s="4" t="s">
        <v>23</v>
      </c>
      <c r="D103" s="5">
        <v>42989</v>
      </c>
      <c r="E103" s="4">
        <v>2498</v>
      </c>
      <c r="F103" s="4">
        <v>11.849098830000001</v>
      </c>
      <c r="G103" s="4">
        <v>1056</v>
      </c>
      <c r="H103" s="4">
        <v>345</v>
      </c>
      <c r="I103" s="4">
        <v>265</v>
      </c>
      <c r="J103" s="4">
        <v>194</v>
      </c>
      <c r="K103" s="4">
        <v>160</v>
      </c>
      <c r="L103" s="4">
        <v>119</v>
      </c>
      <c r="M103" s="6">
        <v>8.1018518518518516E-5</v>
      </c>
      <c r="N103" s="4">
        <v>1074</v>
      </c>
      <c r="O103" s="4">
        <v>1</v>
      </c>
      <c r="P103" s="7"/>
      <c r="Q103" s="4">
        <v>1074</v>
      </c>
      <c r="R103" s="4">
        <v>17</v>
      </c>
    </row>
    <row r="104" spans="1:18" ht="15" x14ac:dyDescent="0.25">
      <c r="A104" s="4" t="s">
        <v>42</v>
      </c>
      <c r="B104" s="4" t="s">
        <v>32</v>
      </c>
      <c r="C104" s="4" t="s">
        <v>25</v>
      </c>
      <c r="D104" s="5">
        <v>42989</v>
      </c>
      <c r="E104" s="4">
        <v>42210</v>
      </c>
      <c r="F104" s="4">
        <v>141.45985690000001</v>
      </c>
      <c r="G104" s="4">
        <v>14852</v>
      </c>
      <c r="H104" s="4">
        <v>6156</v>
      </c>
      <c r="I104" s="4">
        <v>5554</v>
      </c>
      <c r="J104" s="4">
        <v>4948</v>
      </c>
      <c r="K104" s="4">
        <v>4282</v>
      </c>
      <c r="L104" s="4">
        <v>3111</v>
      </c>
      <c r="M104" s="6">
        <v>9.2592592592592588E-5</v>
      </c>
      <c r="N104" s="4">
        <v>15279</v>
      </c>
      <c r="O104" s="4">
        <v>19</v>
      </c>
      <c r="P104" s="4">
        <v>30</v>
      </c>
      <c r="Q104" s="4">
        <v>15229</v>
      </c>
      <c r="R104" s="4">
        <v>327</v>
      </c>
    </row>
    <row r="105" spans="1:18" ht="15" x14ac:dyDescent="0.25">
      <c r="A105" s="4" t="s">
        <v>42</v>
      </c>
      <c r="B105" s="4" t="s">
        <v>32</v>
      </c>
      <c r="C105" s="4" t="s">
        <v>24</v>
      </c>
      <c r="D105" s="5">
        <v>42989</v>
      </c>
      <c r="E105" s="4">
        <v>54700</v>
      </c>
      <c r="F105" s="4">
        <v>184.74003920000001</v>
      </c>
      <c r="G105" s="4">
        <v>18270</v>
      </c>
      <c r="H105" s="4">
        <v>4522</v>
      </c>
      <c r="I105" s="4">
        <v>3607</v>
      </c>
      <c r="J105" s="4">
        <v>2498</v>
      </c>
      <c r="K105" s="4">
        <v>2037</v>
      </c>
      <c r="L105" s="4">
        <v>1731</v>
      </c>
      <c r="M105" s="6">
        <v>5.7870370370370373E-5</v>
      </c>
      <c r="N105" s="4">
        <v>18423</v>
      </c>
      <c r="O105" s="4">
        <v>9</v>
      </c>
      <c r="P105" s="4">
        <v>5</v>
      </c>
      <c r="Q105" s="4">
        <v>18383</v>
      </c>
      <c r="R105" s="4">
        <v>85</v>
      </c>
    </row>
    <row r="106" spans="1:18" ht="15" x14ac:dyDescent="0.25">
      <c r="A106" s="4" t="s">
        <v>42</v>
      </c>
      <c r="B106" s="4" t="s">
        <v>32</v>
      </c>
      <c r="C106" s="4" t="s">
        <v>26</v>
      </c>
      <c r="D106" s="5">
        <v>42989</v>
      </c>
      <c r="E106" s="4">
        <v>229047</v>
      </c>
      <c r="F106" s="4">
        <v>651.49062860000004</v>
      </c>
      <c r="G106" s="4">
        <v>72162</v>
      </c>
      <c r="H106" s="4">
        <v>28715</v>
      </c>
      <c r="I106" s="4">
        <v>25111</v>
      </c>
      <c r="J106" s="4">
        <v>21657</v>
      </c>
      <c r="K106" s="4">
        <v>18824</v>
      </c>
      <c r="L106" s="4">
        <v>14965</v>
      </c>
      <c r="M106" s="6">
        <v>8.1018518518518516E-5</v>
      </c>
      <c r="N106" s="4">
        <v>74332</v>
      </c>
      <c r="O106" s="4">
        <v>187</v>
      </c>
      <c r="P106" s="4">
        <v>99</v>
      </c>
      <c r="Q106" s="4">
        <v>74106</v>
      </c>
      <c r="R106" s="4">
        <v>1657</v>
      </c>
    </row>
    <row r="107" spans="1:18" ht="15" x14ac:dyDescent="0.25">
      <c r="A107" s="4" t="s">
        <v>43</v>
      </c>
      <c r="B107" s="4" t="s">
        <v>19</v>
      </c>
      <c r="C107" s="4" t="s">
        <v>21</v>
      </c>
      <c r="D107" s="5">
        <v>42990</v>
      </c>
      <c r="E107" s="4">
        <v>0</v>
      </c>
      <c r="F107" s="4">
        <v>5.9944851E-2</v>
      </c>
      <c r="G107" s="4">
        <v>6</v>
      </c>
      <c r="H107" s="4">
        <v>3</v>
      </c>
      <c r="I107" s="4">
        <v>1</v>
      </c>
      <c r="J107" s="4">
        <v>1</v>
      </c>
      <c r="K107" s="4">
        <v>1</v>
      </c>
      <c r="L107" s="4">
        <v>1</v>
      </c>
      <c r="M107" s="6">
        <v>1.5046296296296297E-4</v>
      </c>
      <c r="N107" s="4">
        <v>6</v>
      </c>
      <c r="O107" s="7"/>
      <c r="P107" s="7"/>
      <c r="Q107" s="4">
        <v>6</v>
      </c>
      <c r="R107" s="7"/>
    </row>
    <row r="108" spans="1:18" ht="15" x14ac:dyDescent="0.25">
      <c r="A108" s="4" t="s">
        <v>43</v>
      </c>
      <c r="B108" s="4" t="s">
        <v>19</v>
      </c>
      <c r="C108" s="4" t="s">
        <v>20</v>
      </c>
      <c r="D108" s="5">
        <v>42990</v>
      </c>
      <c r="E108" s="4">
        <v>42</v>
      </c>
      <c r="F108" s="4">
        <v>2.9972425E-2</v>
      </c>
      <c r="G108" s="4">
        <v>5</v>
      </c>
      <c r="H108" s="4">
        <v>2</v>
      </c>
      <c r="I108" s="4">
        <v>2</v>
      </c>
      <c r="J108" s="4">
        <v>2</v>
      </c>
      <c r="K108" s="4">
        <v>2</v>
      </c>
      <c r="L108" s="4">
        <v>2</v>
      </c>
      <c r="M108" s="6">
        <v>3.2407407407407406E-4</v>
      </c>
      <c r="N108" s="4">
        <v>6</v>
      </c>
      <c r="O108" s="4">
        <v>1</v>
      </c>
      <c r="P108" s="7"/>
      <c r="Q108" s="4">
        <v>6</v>
      </c>
      <c r="R108" s="7"/>
    </row>
    <row r="109" spans="1:18" ht="15" x14ac:dyDescent="0.25">
      <c r="A109" s="4" t="s">
        <v>43</v>
      </c>
      <c r="B109" s="4" t="s">
        <v>19</v>
      </c>
      <c r="C109" s="4" t="s">
        <v>23</v>
      </c>
      <c r="D109" s="5">
        <v>42990</v>
      </c>
      <c r="E109" s="4">
        <v>2816</v>
      </c>
      <c r="F109" s="4">
        <v>7.2533269389999999</v>
      </c>
      <c r="G109" s="4">
        <v>2439</v>
      </c>
      <c r="H109" s="4">
        <v>1083</v>
      </c>
      <c r="I109" s="4">
        <v>682</v>
      </c>
      <c r="J109" s="4">
        <v>530</v>
      </c>
      <c r="K109" s="4">
        <v>437</v>
      </c>
      <c r="L109" s="4">
        <v>408</v>
      </c>
      <c r="M109" s="6">
        <v>2.0833333333333335E-4</v>
      </c>
      <c r="N109" s="4">
        <v>2468</v>
      </c>
      <c r="O109" s="4">
        <v>6</v>
      </c>
      <c r="P109" s="4">
        <v>3</v>
      </c>
      <c r="Q109" s="4">
        <v>2463</v>
      </c>
      <c r="R109" s="4">
        <v>15</v>
      </c>
    </row>
    <row r="110" spans="1:18" ht="15" x14ac:dyDescent="0.25">
      <c r="A110" s="4" t="s">
        <v>43</v>
      </c>
      <c r="B110" s="4" t="s">
        <v>19</v>
      </c>
      <c r="C110" s="4" t="s">
        <v>22</v>
      </c>
      <c r="D110" s="5">
        <v>42990</v>
      </c>
      <c r="E110" s="4">
        <v>3712</v>
      </c>
      <c r="F110" s="4">
        <v>13.237821200000001</v>
      </c>
      <c r="G110" s="4">
        <v>2457</v>
      </c>
      <c r="H110" s="4">
        <v>941</v>
      </c>
      <c r="I110" s="4">
        <v>594</v>
      </c>
      <c r="J110" s="4">
        <v>462</v>
      </c>
      <c r="K110" s="4">
        <v>348</v>
      </c>
      <c r="L110" s="4">
        <v>326</v>
      </c>
      <c r="M110" s="6">
        <v>1.7361111111111112E-4</v>
      </c>
      <c r="N110" s="4">
        <v>2468</v>
      </c>
      <c r="O110" s="4">
        <v>6</v>
      </c>
      <c r="P110" s="4">
        <v>3</v>
      </c>
      <c r="Q110" s="4">
        <v>2467</v>
      </c>
      <c r="R110" s="4">
        <v>1</v>
      </c>
    </row>
    <row r="111" spans="1:18" ht="15" x14ac:dyDescent="0.25">
      <c r="A111" s="4" t="s">
        <v>43</v>
      </c>
      <c r="B111" s="4" t="s">
        <v>19</v>
      </c>
      <c r="C111" s="4" t="s">
        <v>24</v>
      </c>
      <c r="D111" s="5">
        <v>42990</v>
      </c>
      <c r="E111" s="4">
        <v>27981</v>
      </c>
      <c r="F111" s="4">
        <v>42.10126683</v>
      </c>
      <c r="G111" s="4">
        <v>11388</v>
      </c>
      <c r="H111" s="4">
        <v>4269</v>
      </c>
      <c r="I111" s="4">
        <v>2749</v>
      </c>
      <c r="J111" s="4">
        <v>2216</v>
      </c>
      <c r="K111" s="4">
        <v>1906</v>
      </c>
      <c r="L111" s="4">
        <v>1773</v>
      </c>
      <c r="M111" s="6">
        <v>1.3888888888888889E-4</v>
      </c>
      <c r="N111" s="4">
        <v>11491</v>
      </c>
      <c r="O111" s="4">
        <v>23</v>
      </c>
      <c r="P111" s="4">
        <v>4</v>
      </c>
      <c r="Q111" s="4">
        <v>11462</v>
      </c>
      <c r="R111" s="4">
        <v>40</v>
      </c>
    </row>
    <row r="112" spans="1:18" ht="15" x14ac:dyDescent="0.25">
      <c r="A112" s="4" t="s">
        <v>43</v>
      </c>
      <c r="B112" s="4" t="s">
        <v>19</v>
      </c>
      <c r="C112" s="4" t="s">
        <v>25</v>
      </c>
      <c r="D112" s="5">
        <v>42990</v>
      </c>
      <c r="E112" s="4">
        <v>96638</v>
      </c>
      <c r="F112" s="4">
        <v>196.36934020000001</v>
      </c>
      <c r="G112" s="4">
        <v>44838</v>
      </c>
      <c r="H112" s="4">
        <v>19049</v>
      </c>
      <c r="I112" s="4">
        <v>13252</v>
      </c>
      <c r="J112" s="4">
        <v>10417</v>
      </c>
      <c r="K112" s="4">
        <v>8667</v>
      </c>
      <c r="L112" s="4">
        <v>7996</v>
      </c>
      <c r="M112" s="6">
        <v>1.5046296296296297E-4</v>
      </c>
      <c r="N112" s="4">
        <v>45243</v>
      </c>
      <c r="O112" s="4">
        <v>79</v>
      </c>
      <c r="P112" s="4">
        <v>45</v>
      </c>
      <c r="Q112" s="4">
        <v>45189</v>
      </c>
      <c r="R112" s="4">
        <v>226</v>
      </c>
    </row>
    <row r="113" spans="1:18" ht="15" x14ac:dyDescent="0.25">
      <c r="A113" s="4" t="s">
        <v>43</v>
      </c>
      <c r="B113" s="4" t="s">
        <v>19</v>
      </c>
      <c r="C113" s="4" t="s">
        <v>26</v>
      </c>
      <c r="D113" s="5">
        <v>42990</v>
      </c>
      <c r="E113" s="4">
        <v>445433</v>
      </c>
      <c r="F113" s="4">
        <v>740.9483275</v>
      </c>
      <c r="G113" s="4">
        <v>227773</v>
      </c>
      <c r="H113" s="4">
        <v>102574</v>
      </c>
      <c r="I113" s="4">
        <v>66583</v>
      </c>
      <c r="J113" s="4">
        <v>52046</v>
      </c>
      <c r="K113" s="4">
        <v>43338</v>
      </c>
      <c r="L113" s="4">
        <v>39785</v>
      </c>
      <c r="M113" s="6">
        <v>1.8518518518518518E-4</v>
      </c>
      <c r="N113" s="4">
        <v>230109</v>
      </c>
      <c r="O113" s="4">
        <v>658</v>
      </c>
      <c r="P113" s="4">
        <v>167</v>
      </c>
      <c r="Q113" s="4">
        <v>229938</v>
      </c>
      <c r="R113" s="4">
        <v>1340</v>
      </c>
    </row>
    <row r="114" spans="1:18" ht="15" x14ac:dyDescent="0.25">
      <c r="A114" s="4" t="s">
        <v>44</v>
      </c>
      <c r="B114" s="4" t="s">
        <v>29</v>
      </c>
      <c r="C114" s="4" t="s">
        <v>21</v>
      </c>
      <c r="D114" s="5">
        <v>42990</v>
      </c>
      <c r="E114" s="4">
        <v>0</v>
      </c>
      <c r="F114" s="4">
        <v>0.21979778599999999</v>
      </c>
      <c r="G114" s="4">
        <v>25</v>
      </c>
      <c r="H114" s="4">
        <v>12</v>
      </c>
      <c r="I114" s="4">
        <v>8</v>
      </c>
      <c r="J114" s="4">
        <v>6</v>
      </c>
      <c r="K114" s="4">
        <v>5</v>
      </c>
      <c r="L114" s="4">
        <v>4</v>
      </c>
      <c r="M114" s="6">
        <v>1.273148148148148E-4</v>
      </c>
      <c r="N114" s="4">
        <v>25</v>
      </c>
      <c r="O114" s="7"/>
      <c r="P114" s="7"/>
      <c r="Q114" s="4">
        <v>25</v>
      </c>
      <c r="R114" s="7"/>
    </row>
    <row r="115" spans="1:18" ht="15" x14ac:dyDescent="0.25">
      <c r="A115" s="4" t="s">
        <v>44</v>
      </c>
      <c r="B115" s="4" t="s">
        <v>29</v>
      </c>
      <c r="C115" s="4" t="s">
        <v>20</v>
      </c>
      <c r="D115" s="5">
        <v>42990</v>
      </c>
      <c r="E115" s="4">
        <v>0</v>
      </c>
      <c r="F115" s="4">
        <v>4.9954041999999997E-2</v>
      </c>
      <c r="G115" s="4">
        <v>1</v>
      </c>
      <c r="H115" s="7"/>
      <c r="I115" s="7"/>
      <c r="J115" s="7"/>
      <c r="K115" s="7"/>
      <c r="L115" s="7"/>
      <c r="M115" s="6">
        <v>2.3148148148148147E-5</v>
      </c>
      <c r="N115" s="4">
        <v>1</v>
      </c>
      <c r="O115" s="7"/>
      <c r="P115" s="7"/>
      <c r="Q115" s="4">
        <v>1</v>
      </c>
      <c r="R115" s="7"/>
    </row>
    <row r="116" spans="1:18" ht="15" x14ac:dyDescent="0.25">
      <c r="A116" s="4" t="s">
        <v>44</v>
      </c>
      <c r="B116" s="4" t="s">
        <v>29</v>
      </c>
      <c r="C116" s="4" t="s">
        <v>22</v>
      </c>
      <c r="D116" s="5">
        <v>42990</v>
      </c>
      <c r="E116" s="4">
        <v>1029</v>
      </c>
      <c r="F116" s="4">
        <v>4.415937338</v>
      </c>
      <c r="G116" s="4">
        <v>394</v>
      </c>
      <c r="H116" s="4">
        <v>106</v>
      </c>
      <c r="I116" s="4">
        <v>80</v>
      </c>
      <c r="J116" s="4">
        <v>52</v>
      </c>
      <c r="K116" s="4">
        <v>34</v>
      </c>
      <c r="L116" s="4">
        <v>28</v>
      </c>
      <c r="M116" s="6">
        <v>6.9444444444444444E-5</v>
      </c>
      <c r="N116" s="4">
        <v>396</v>
      </c>
      <c r="O116" s="7"/>
      <c r="P116" s="7"/>
      <c r="Q116" s="4">
        <v>396</v>
      </c>
      <c r="R116" s="4">
        <v>2</v>
      </c>
    </row>
    <row r="117" spans="1:18" ht="15" x14ac:dyDescent="0.25">
      <c r="A117" s="4" t="s">
        <v>44</v>
      </c>
      <c r="B117" s="4" t="s">
        <v>29</v>
      </c>
      <c r="C117" s="4" t="s">
        <v>23</v>
      </c>
      <c r="D117" s="5">
        <v>42990</v>
      </c>
      <c r="E117" s="4">
        <v>1345</v>
      </c>
      <c r="F117" s="4">
        <v>4.555808656</v>
      </c>
      <c r="G117" s="4">
        <v>495</v>
      </c>
      <c r="H117" s="4">
        <v>153</v>
      </c>
      <c r="I117" s="4">
        <v>109</v>
      </c>
      <c r="J117" s="4">
        <v>65</v>
      </c>
      <c r="K117" s="4">
        <v>48</v>
      </c>
      <c r="L117" s="4">
        <v>30</v>
      </c>
      <c r="M117" s="6">
        <v>6.9444444444444444E-5</v>
      </c>
      <c r="N117" s="4">
        <v>505</v>
      </c>
      <c r="O117" s="4">
        <v>1</v>
      </c>
      <c r="P117" s="4">
        <v>1</v>
      </c>
      <c r="Q117" s="4">
        <v>504</v>
      </c>
      <c r="R117" s="4">
        <v>7</v>
      </c>
    </row>
    <row r="118" spans="1:18" ht="15" x14ac:dyDescent="0.25">
      <c r="A118" s="4" t="s">
        <v>44</v>
      </c>
      <c r="B118" s="4" t="s">
        <v>29</v>
      </c>
      <c r="C118" s="4" t="s">
        <v>24</v>
      </c>
      <c r="D118" s="5">
        <v>42990</v>
      </c>
      <c r="E118" s="4">
        <v>31328</v>
      </c>
      <c r="F118" s="4">
        <v>76.599528430000007</v>
      </c>
      <c r="G118" s="4">
        <v>10837</v>
      </c>
      <c r="H118" s="4">
        <v>3452</v>
      </c>
      <c r="I118" s="4">
        <v>2708</v>
      </c>
      <c r="J118" s="4">
        <v>1926</v>
      </c>
      <c r="K118" s="4">
        <v>1533</v>
      </c>
      <c r="L118" s="4">
        <v>1244</v>
      </c>
      <c r="M118" s="6">
        <v>8.1018518518518516E-5</v>
      </c>
      <c r="N118" s="4">
        <v>10951</v>
      </c>
      <c r="O118" s="4">
        <v>5</v>
      </c>
      <c r="P118" s="4">
        <v>7</v>
      </c>
      <c r="Q118" s="4">
        <v>10925</v>
      </c>
      <c r="R118" s="4">
        <v>65</v>
      </c>
    </row>
    <row r="119" spans="1:18" ht="15" x14ac:dyDescent="0.25">
      <c r="A119" s="4" t="s">
        <v>44</v>
      </c>
      <c r="B119" s="4" t="s">
        <v>29</v>
      </c>
      <c r="C119" s="4" t="s">
        <v>25</v>
      </c>
      <c r="D119" s="5">
        <v>42990</v>
      </c>
      <c r="E119" s="4">
        <v>77199</v>
      </c>
      <c r="F119" s="4">
        <v>283.88882230000002</v>
      </c>
      <c r="G119" s="4">
        <v>32272</v>
      </c>
      <c r="H119" s="4">
        <v>10566</v>
      </c>
      <c r="I119" s="4">
        <v>7652</v>
      </c>
      <c r="J119" s="4">
        <v>4934</v>
      </c>
      <c r="K119" s="4">
        <v>3420</v>
      </c>
      <c r="L119" s="4">
        <v>2388</v>
      </c>
      <c r="M119" s="6">
        <v>6.9444444444444444E-5</v>
      </c>
      <c r="N119" s="4">
        <v>32470</v>
      </c>
      <c r="O119" s="4">
        <v>2</v>
      </c>
      <c r="P119" s="4">
        <v>25</v>
      </c>
      <c r="Q119" s="4">
        <v>32427</v>
      </c>
      <c r="R119" s="4">
        <v>128</v>
      </c>
    </row>
    <row r="120" spans="1:18" ht="15" x14ac:dyDescent="0.25">
      <c r="A120" s="4" t="s">
        <v>44</v>
      </c>
      <c r="B120" s="4" t="s">
        <v>29</v>
      </c>
      <c r="C120" s="4" t="s">
        <v>26</v>
      </c>
      <c r="D120" s="5">
        <v>42990</v>
      </c>
      <c r="E120" s="4">
        <v>202318</v>
      </c>
      <c r="F120" s="4">
        <v>630.2701515</v>
      </c>
      <c r="G120" s="4">
        <v>83974</v>
      </c>
      <c r="H120" s="4">
        <v>27945</v>
      </c>
      <c r="I120" s="4">
        <v>20427</v>
      </c>
      <c r="J120" s="4">
        <v>12964</v>
      </c>
      <c r="K120" s="4">
        <v>9219</v>
      </c>
      <c r="L120" s="4">
        <v>6635</v>
      </c>
      <c r="M120" s="6">
        <v>6.9444444444444444E-5</v>
      </c>
      <c r="N120" s="4">
        <v>84642</v>
      </c>
      <c r="O120" s="4">
        <v>30</v>
      </c>
      <c r="P120" s="4">
        <v>34</v>
      </c>
      <c r="Q120" s="4">
        <v>84480</v>
      </c>
      <c r="R120" s="4">
        <v>442</v>
      </c>
    </row>
    <row r="121" spans="1:18" ht="15" x14ac:dyDescent="0.25">
      <c r="A121" s="4" t="s">
        <v>45</v>
      </c>
      <c r="B121" s="4" t="s">
        <v>32</v>
      </c>
      <c r="C121" s="4" t="s">
        <v>21</v>
      </c>
      <c r="D121" s="5">
        <v>42991</v>
      </c>
      <c r="E121" s="4">
        <v>0</v>
      </c>
      <c r="F121" s="4">
        <v>0.119889701</v>
      </c>
      <c r="G121" s="4">
        <v>20</v>
      </c>
      <c r="H121" s="4">
        <v>7</v>
      </c>
      <c r="I121" s="4">
        <v>2</v>
      </c>
      <c r="J121" s="4">
        <v>2</v>
      </c>
      <c r="K121" s="4">
        <v>2</v>
      </c>
      <c r="L121" s="4">
        <v>2</v>
      </c>
      <c r="M121" s="6">
        <v>8.1018518518518516E-5</v>
      </c>
      <c r="N121" s="4">
        <v>20</v>
      </c>
      <c r="O121" s="7"/>
      <c r="P121" s="7"/>
      <c r="Q121" s="4">
        <v>20</v>
      </c>
      <c r="R121" s="7"/>
    </row>
    <row r="122" spans="1:18" ht="15" x14ac:dyDescent="0.25">
      <c r="A122" s="4" t="s">
        <v>45</v>
      </c>
      <c r="B122" s="4" t="s">
        <v>32</v>
      </c>
      <c r="C122" s="4" t="s">
        <v>20</v>
      </c>
      <c r="D122" s="5">
        <v>42991</v>
      </c>
      <c r="E122" s="4">
        <v>50</v>
      </c>
      <c r="F122" s="4">
        <v>6.9935658999999997E-2</v>
      </c>
      <c r="G122" s="7"/>
      <c r="H122" s="7"/>
      <c r="I122" s="7"/>
      <c r="J122" s="7"/>
      <c r="K122" s="7"/>
      <c r="L122" s="7"/>
      <c r="M122" s="6">
        <v>0</v>
      </c>
      <c r="N122" s="4">
        <v>0</v>
      </c>
      <c r="O122" s="7"/>
      <c r="P122" s="7"/>
      <c r="Q122" s="7"/>
      <c r="R122" s="7"/>
    </row>
    <row r="123" spans="1:18" ht="15" x14ac:dyDescent="0.25">
      <c r="A123" s="4" t="s">
        <v>45</v>
      </c>
      <c r="B123" s="4" t="s">
        <v>32</v>
      </c>
      <c r="C123" s="4" t="s">
        <v>23</v>
      </c>
      <c r="D123" s="5">
        <v>42991</v>
      </c>
      <c r="E123" s="4">
        <v>1382</v>
      </c>
      <c r="F123" s="4">
        <v>4.2760660189999999</v>
      </c>
      <c r="G123" s="4">
        <v>636</v>
      </c>
      <c r="H123" s="4">
        <v>281</v>
      </c>
      <c r="I123" s="4">
        <v>188</v>
      </c>
      <c r="J123" s="4">
        <v>103</v>
      </c>
      <c r="K123" s="4">
        <v>84</v>
      </c>
      <c r="L123" s="4">
        <v>70</v>
      </c>
      <c r="M123" s="6">
        <v>1.0416666666666667E-4</v>
      </c>
      <c r="N123" s="4">
        <v>645</v>
      </c>
      <c r="O123" s="4">
        <v>1</v>
      </c>
      <c r="P123" s="7"/>
      <c r="Q123" s="4">
        <v>645</v>
      </c>
      <c r="R123" s="4">
        <v>8</v>
      </c>
    </row>
    <row r="124" spans="1:18" ht="15" x14ac:dyDescent="0.25">
      <c r="A124" s="4" t="s">
        <v>45</v>
      </c>
      <c r="B124" s="4" t="s">
        <v>32</v>
      </c>
      <c r="C124" s="4" t="s">
        <v>22</v>
      </c>
      <c r="D124" s="5">
        <v>42991</v>
      </c>
      <c r="E124" s="4">
        <v>1613</v>
      </c>
      <c r="F124" s="4">
        <v>6.713823283</v>
      </c>
      <c r="G124" s="4">
        <v>834</v>
      </c>
      <c r="H124" s="4">
        <v>337</v>
      </c>
      <c r="I124" s="4">
        <v>230</v>
      </c>
      <c r="J124" s="4">
        <v>111</v>
      </c>
      <c r="K124" s="4">
        <v>86</v>
      </c>
      <c r="L124" s="4">
        <v>65</v>
      </c>
      <c r="M124" s="6">
        <v>9.2592592592592588E-5</v>
      </c>
      <c r="N124" s="4">
        <v>836</v>
      </c>
      <c r="O124" s="7"/>
      <c r="P124" s="7"/>
      <c r="Q124" s="4">
        <v>836</v>
      </c>
      <c r="R124" s="4">
        <v>2</v>
      </c>
    </row>
    <row r="125" spans="1:18" ht="15" x14ac:dyDescent="0.25">
      <c r="A125" s="4" t="s">
        <v>45</v>
      </c>
      <c r="B125" s="4" t="s">
        <v>32</v>
      </c>
      <c r="C125" s="4" t="s">
        <v>24</v>
      </c>
      <c r="D125" s="5">
        <v>42991</v>
      </c>
      <c r="E125" s="4">
        <v>44141</v>
      </c>
      <c r="F125" s="4">
        <v>107.64097030000001</v>
      </c>
      <c r="G125" s="4">
        <v>22141</v>
      </c>
      <c r="H125" s="4">
        <v>9495</v>
      </c>
      <c r="I125" s="4">
        <v>6863</v>
      </c>
      <c r="J125" s="4">
        <v>4476</v>
      </c>
      <c r="K125" s="4">
        <v>3815</v>
      </c>
      <c r="L125" s="4">
        <v>3209</v>
      </c>
      <c r="M125" s="6">
        <v>1.0416666666666667E-4</v>
      </c>
      <c r="N125" s="4">
        <v>22343</v>
      </c>
      <c r="O125" s="4">
        <v>9</v>
      </c>
      <c r="P125" s="4">
        <v>10</v>
      </c>
      <c r="Q125" s="4">
        <v>22282</v>
      </c>
      <c r="R125" s="4">
        <v>101</v>
      </c>
    </row>
    <row r="126" spans="1:18" ht="15" x14ac:dyDescent="0.25">
      <c r="A126" s="4" t="s">
        <v>45</v>
      </c>
      <c r="B126" s="4" t="s">
        <v>32</v>
      </c>
      <c r="C126" s="4" t="s">
        <v>25</v>
      </c>
      <c r="D126" s="5">
        <v>42991</v>
      </c>
      <c r="E126" s="4">
        <v>71841</v>
      </c>
      <c r="F126" s="4">
        <v>250.3396875</v>
      </c>
      <c r="G126" s="4">
        <v>35156</v>
      </c>
      <c r="H126" s="4">
        <v>14359</v>
      </c>
      <c r="I126" s="4">
        <v>9966</v>
      </c>
      <c r="J126" s="4">
        <v>5257</v>
      </c>
      <c r="K126" s="4">
        <v>4237</v>
      </c>
      <c r="L126" s="4">
        <v>3220</v>
      </c>
      <c r="M126" s="6">
        <v>9.2592592592592588E-5</v>
      </c>
      <c r="N126" s="4">
        <v>35363</v>
      </c>
      <c r="O126" s="4">
        <v>9</v>
      </c>
      <c r="P126" s="4">
        <v>11</v>
      </c>
      <c r="Q126" s="4">
        <v>35331</v>
      </c>
      <c r="R126" s="4">
        <v>155</v>
      </c>
    </row>
    <row r="127" spans="1:18" ht="15" x14ac:dyDescent="0.25">
      <c r="A127" s="4" t="s">
        <v>45</v>
      </c>
      <c r="B127" s="4" t="s">
        <v>32</v>
      </c>
      <c r="C127" s="4" t="s">
        <v>26</v>
      </c>
      <c r="D127" s="5">
        <v>42991</v>
      </c>
      <c r="E127" s="4">
        <v>231259</v>
      </c>
      <c r="F127" s="4">
        <v>630.83962750000001</v>
      </c>
      <c r="G127" s="4">
        <v>103391</v>
      </c>
      <c r="H127" s="4">
        <v>45021</v>
      </c>
      <c r="I127" s="4">
        <v>31641</v>
      </c>
      <c r="J127" s="4">
        <v>17686</v>
      </c>
      <c r="K127" s="4">
        <v>14378</v>
      </c>
      <c r="L127" s="4">
        <v>11633</v>
      </c>
      <c r="M127" s="6">
        <v>9.2592592592592588E-5</v>
      </c>
      <c r="N127" s="4">
        <v>104411</v>
      </c>
      <c r="O127" s="4">
        <v>80</v>
      </c>
      <c r="P127" s="4">
        <v>35</v>
      </c>
      <c r="Q127" s="4">
        <v>104238</v>
      </c>
      <c r="R127" s="4">
        <v>732</v>
      </c>
    </row>
    <row r="128" spans="1:18" ht="15" x14ac:dyDescent="0.25">
      <c r="A128" s="4" t="s">
        <v>46</v>
      </c>
      <c r="B128" s="4" t="s">
        <v>19</v>
      </c>
      <c r="C128" s="4" t="s">
        <v>20</v>
      </c>
      <c r="D128" s="5">
        <v>42991</v>
      </c>
      <c r="E128" s="4">
        <v>25</v>
      </c>
      <c r="F128" s="4">
        <v>2.9971826E-2</v>
      </c>
      <c r="G128" s="4">
        <v>1</v>
      </c>
      <c r="H128" s="7"/>
      <c r="I128" s="7"/>
      <c r="J128" s="7"/>
      <c r="K128" s="7"/>
      <c r="L128" s="7"/>
      <c r="M128" s="6">
        <v>3.4722222222222222E-5</v>
      </c>
      <c r="N128" s="4">
        <v>1</v>
      </c>
      <c r="O128" s="7"/>
      <c r="P128" s="7"/>
      <c r="Q128" s="4">
        <v>1</v>
      </c>
      <c r="R128" s="7"/>
    </row>
    <row r="129" spans="1:18" ht="15" x14ac:dyDescent="0.25">
      <c r="A129" s="4" t="s">
        <v>46</v>
      </c>
      <c r="B129" s="4" t="s">
        <v>19</v>
      </c>
      <c r="C129" s="4" t="s">
        <v>21</v>
      </c>
      <c r="D129" s="5">
        <v>42991</v>
      </c>
      <c r="E129" s="4">
        <v>64</v>
      </c>
      <c r="F129" s="4">
        <v>0.25975583000000002</v>
      </c>
      <c r="G129" s="4">
        <v>21</v>
      </c>
      <c r="H129" s="4">
        <v>14</v>
      </c>
      <c r="I129" s="4">
        <v>6</v>
      </c>
      <c r="J129" s="4">
        <v>6</v>
      </c>
      <c r="K129" s="4">
        <v>5</v>
      </c>
      <c r="L129" s="4">
        <v>3</v>
      </c>
      <c r="M129" s="6">
        <v>1.1574074074074075E-4</v>
      </c>
      <c r="N129" s="4">
        <v>21</v>
      </c>
      <c r="O129" s="7"/>
      <c r="P129" s="7"/>
      <c r="Q129" s="4">
        <v>21</v>
      </c>
      <c r="R129" s="7"/>
    </row>
    <row r="130" spans="1:18" ht="15" x14ac:dyDescent="0.25">
      <c r="A130" s="4" t="s">
        <v>46</v>
      </c>
      <c r="B130" s="4" t="s">
        <v>19</v>
      </c>
      <c r="C130" s="4" t="s">
        <v>22</v>
      </c>
      <c r="D130" s="5">
        <v>42991</v>
      </c>
      <c r="E130" s="4">
        <v>1280</v>
      </c>
      <c r="F130" s="4">
        <v>6.3040741699999998</v>
      </c>
      <c r="G130" s="4">
        <v>576</v>
      </c>
      <c r="H130" s="4">
        <v>223</v>
      </c>
      <c r="I130" s="4">
        <v>102</v>
      </c>
      <c r="J130" s="4">
        <v>66</v>
      </c>
      <c r="K130" s="4">
        <v>54</v>
      </c>
      <c r="L130" s="4">
        <v>44</v>
      </c>
      <c r="M130" s="6">
        <v>8.1018518518518516E-5</v>
      </c>
      <c r="N130" s="4">
        <v>580</v>
      </c>
      <c r="O130" s="4">
        <v>2</v>
      </c>
      <c r="P130" s="7"/>
      <c r="Q130" s="4">
        <v>580</v>
      </c>
      <c r="R130" s="4">
        <v>2</v>
      </c>
    </row>
    <row r="131" spans="1:18" ht="15" x14ac:dyDescent="0.25">
      <c r="A131" s="4" t="s">
        <v>46</v>
      </c>
      <c r="B131" s="4" t="s">
        <v>19</v>
      </c>
      <c r="C131" s="4" t="s">
        <v>23</v>
      </c>
      <c r="D131" s="5">
        <v>42991</v>
      </c>
      <c r="E131" s="4">
        <v>1792</v>
      </c>
      <c r="F131" s="4">
        <v>6.7336703499999997</v>
      </c>
      <c r="G131" s="4">
        <v>699</v>
      </c>
      <c r="H131" s="4">
        <v>299</v>
      </c>
      <c r="I131" s="4">
        <v>155</v>
      </c>
      <c r="J131" s="4">
        <v>99</v>
      </c>
      <c r="K131" s="4">
        <v>84</v>
      </c>
      <c r="L131" s="4">
        <v>64</v>
      </c>
      <c r="M131" s="6">
        <v>9.2592592592592588E-5</v>
      </c>
      <c r="N131" s="4">
        <v>711</v>
      </c>
      <c r="O131" s="7"/>
      <c r="P131" s="7"/>
      <c r="Q131" s="4">
        <v>710</v>
      </c>
      <c r="R131" s="4">
        <v>11</v>
      </c>
    </row>
    <row r="132" spans="1:18" ht="15" x14ac:dyDescent="0.25">
      <c r="A132" s="4" t="s">
        <v>46</v>
      </c>
      <c r="B132" s="4" t="s">
        <v>19</v>
      </c>
      <c r="C132" s="4" t="s">
        <v>24</v>
      </c>
      <c r="D132" s="5">
        <v>42991</v>
      </c>
      <c r="E132" s="4">
        <v>30908</v>
      </c>
      <c r="F132" s="4">
        <v>90.954502770000005</v>
      </c>
      <c r="G132" s="4">
        <v>8508</v>
      </c>
      <c r="H132" s="4">
        <v>3014</v>
      </c>
      <c r="I132" s="4">
        <v>1845</v>
      </c>
      <c r="J132" s="4">
        <v>1326</v>
      </c>
      <c r="K132" s="4">
        <v>1089</v>
      </c>
      <c r="L132" s="4">
        <v>927</v>
      </c>
      <c r="M132" s="6">
        <v>6.9444444444444444E-5</v>
      </c>
      <c r="N132" s="4">
        <v>8647</v>
      </c>
      <c r="O132" s="4">
        <v>10</v>
      </c>
      <c r="P132" s="4">
        <v>9</v>
      </c>
      <c r="Q132" s="4">
        <v>8609</v>
      </c>
      <c r="R132" s="4">
        <v>76</v>
      </c>
    </row>
    <row r="133" spans="1:18" ht="15" x14ac:dyDescent="0.25">
      <c r="A133" s="4" t="s">
        <v>46</v>
      </c>
      <c r="B133" s="4" t="s">
        <v>19</v>
      </c>
      <c r="C133" s="4" t="s">
        <v>25</v>
      </c>
      <c r="D133" s="5">
        <v>42991</v>
      </c>
      <c r="E133" s="4">
        <v>61752</v>
      </c>
      <c r="F133" s="4">
        <v>204.24800690000001</v>
      </c>
      <c r="G133" s="4">
        <v>20686</v>
      </c>
      <c r="H133" s="4">
        <v>10729</v>
      </c>
      <c r="I133" s="4">
        <v>5630</v>
      </c>
      <c r="J133" s="4">
        <v>3981</v>
      </c>
      <c r="K133" s="4">
        <v>3192</v>
      </c>
      <c r="L133" s="4">
        <v>2389</v>
      </c>
      <c r="M133" s="6">
        <v>9.2592592592592588E-5</v>
      </c>
      <c r="N133" s="4">
        <v>20955</v>
      </c>
      <c r="O133" s="4">
        <v>18</v>
      </c>
      <c r="P133" s="4">
        <v>32</v>
      </c>
      <c r="Q133" s="4">
        <v>20933</v>
      </c>
      <c r="R133" s="4">
        <v>197</v>
      </c>
    </row>
    <row r="134" spans="1:18" ht="15" x14ac:dyDescent="0.25">
      <c r="A134" s="4" t="s">
        <v>46</v>
      </c>
      <c r="B134" s="4" t="s">
        <v>19</v>
      </c>
      <c r="C134" s="4" t="s">
        <v>26</v>
      </c>
      <c r="D134" s="5">
        <v>42991</v>
      </c>
      <c r="E134" s="4">
        <v>259740</v>
      </c>
      <c r="F134" s="4">
        <v>691.47001820000003</v>
      </c>
      <c r="G134" s="4">
        <v>77725</v>
      </c>
      <c r="H134" s="4">
        <v>40389</v>
      </c>
      <c r="I134" s="4">
        <v>22861</v>
      </c>
      <c r="J134" s="4">
        <v>15999</v>
      </c>
      <c r="K134" s="4">
        <v>12842</v>
      </c>
      <c r="L134" s="4">
        <v>9811</v>
      </c>
      <c r="M134" s="6">
        <v>9.2592592592592588E-5</v>
      </c>
      <c r="N134" s="4">
        <v>79293</v>
      </c>
      <c r="O134" s="4">
        <v>157</v>
      </c>
      <c r="P134" s="4">
        <v>76</v>
      </c>
      <c r="Q134" s="4">
        <v>79064</v>
      </c>
      <c r="R134" s="4">
        <v>1106</v>
      </c>
    </row>
    <row r="135" spans="1:18" ht="15" x14ac:dyDescent="0.25">
      <c r="A135" s="4" t="s">
        <v>47</v>
      </c>
      <c r="B135" s="4" t="s">
        <v>29</v>
      </c>
      <c r="C135" s="4" t="s">
        <v>21</v>
      </c>
      <c r="D135" s="5">
        <v>42992</v>
      </c>
      <c r="E135" s="4">
        <v>0</v>
      </c>
      <c r="F135" s="4">
        <v>3.9962434999999998E-2</v>
      </c>
      <c r="G135" s="4">
        <v>9</v>
      </c>
      <c r="H135" s="4">
        <v>7</v>
      </c>
      <c r="I135" s="4">
        <v>5</v>
      </c>
      <c r="J135" s="4">
        <v>3</v>
      </c>
      <c r="K135" s="4">
        <v>2</v>
      </c>
      <c r="L135" s="4">
        <v>2</v>
      </c>
      <c r="M135" s="6">
        <v>1.7361111111111112E-4</v>
      </c>
      <c r="N135" s="4">
        <v>9</v>
      </c>
      <c r="O135" s="7"/>
      <c r="P135" s="7"/>
      <c r="Q135" s="4">
        <v>9</v>
      </c>
      <c r="R135" s="7"/>
    </row>
    <row r="136" spans="1:18" ht="15" x14ac:dyDescent="0.25">
      <c r="A136" s="4" t="s">
        <v>47</v>
      </c>
      <c r="B136" s="4" t="s">
        <v>29</v>
      </c>
      <c r="C136" s="4" t="s">
        <v>20</v>
      </c>
      <c r="D136" s="5">
        <v>42992</v>
      </c>
      <c r="E136" s="4">
        <v>0</v>
      </c>
      <c r="F136" s="4">
        <v>1.9981217999999999E-2</v>
      </c>
      <c r="G136" s="7"/>
      <c r="H136" s="7"/>
      <c r="I136" s="7"/>
      <c r="J136" s="7"/>
      <c r="K136" s="7"/>
      <c r="L136" s="7"/>
      <c r="M136" s="6">
        <v>1.1574074074074073E-5</v>
      </c>
      <c r="N136" s="4">
        <v>0</v>
      </c>
      <c r="O136" s="7"/>
      <c r="P136" s="7"/>
      <c r="Q136" s="7"/>
      <c r="R136" s="7"/>
    </row>
    <row r="137" spans="1:18" ht="15" x14ac:dyDescent="0.25">
      <c r="A137" s="4" t="s">
        <v>47</v>
      </c>
      <c r="B137" s="4" t="s">
        <v>29</v>
      </c>
      <c r="C137" s="4" t="s">
        <v>23</v>
      </c>
      <c r="D137" s="5">
        <v>42992</v>
      </c>
      <c r="E137" s="4">
        <v>2498</v>
      </c>
      <c r="F137" s="4">
        <v>9.7708154329999992</v>
      </c>
      <c r="G137" s="4">
        <v>1470</v>
      </c>
      <c r="H137" s="4">
        <v>612</v>
      </c>
      <c r="I137" s="4">
        <v>441</v>
      </c>
      <c r="J137" s="4">
        <v>242</v>
      </c>
      <c r="K137" s="4">
        <v>152</v>
      </c>
      <c r="L137" s="4">
        <v>112</v>
      </c>
      <c r="M137" s="6">
        <v>1.0416666666666667E-4</v>
      </c>
      <c r="N137" s="4">
        <v>1475</v>
      </c>
      <c r="O137" s="4">
        <v>2</v>
      </c>
      <c r="P137" s="7"/>
      <c r="Q137" s="4">
        <v>1475</v>
      </c>
      <c r="R137" s="4">
        <v>3</v>
      </c>
    </row>
    <row r="138" spans="1:18" ht="15" x14ac:dyDescent="0.25">
      <c r="A138" s="4" t="s">
        <v>47</v>
      </c>
      <c r="B138" s="4" t="s">
        <v>29</v>
      </c>
      <c r="C138" s="4" t="s">
        <v>22</v>
      </c>
      <c r="D138" s="5">
        <v>42992</v>
      </c>
      <c r="E138" s="4">
        <v>3331</v>
      </c>
      <c r="F138" s="4">
        <v>17.473574840000001</v>
      </c>
      <c r="G138" s="4">
        <v>1692</v>
      </c>
      <c r="H138" s="4">
        <v>679</v>
      </c>
      <c r="I138" s="4">
        <v>508</v>
      </c>
      <c r="J138" s="4">
        <v>207</v>
      </c>
      <c r="K138" s="4">
        <v>108</v>
      </c>
      <c r="L138" s="4">
        <v>65</v>
      </c>
      <c r="M138" s="6">
        <v>8.1018518518518516E-5</v>
      </c>
      <c r="N138" s="4">
        <v>1694</v>
      </c>
      <c r="O138" s="7"/>
      <c r="P138" s="7"/>
      <c r="Q138" s="4">
        <v>1694</v>
      </c>
      <c r="R138" s="4">
        <v>2</v>
      </c>
    </row>
    <row r="139" spans="1:18" ht="15" x14ac:dyDescent="0.25">
      <c r="A139" s="4" t="s">
        <v>47</v>
      </c>
      <c r="B139" s="4" t="s">
        <v>29</v>
      </c>
      <c r="C139" s="4" t="s">
        <v>24</v>
      </c>
      <c r="D139" s="5">
        <v>42992</v>
      </c>
      <c r="E139" s="4">
        <v>6021</v>
      </c>
      <c r="F139" s="4">
        <v>16.004955339999999</v>
      </c>
      <c r="G139" s="4">
        <v>2331</v>
      </c>
      <c r="H139" s="4">
        <v>636</v>
      </c>
      <c r="I139" s="4">
        <v>441</v>
      </c>
      <c r="J139" s="4">
        <v>219</v>
      </c>
      <c r="K139" s="4">
        <v>165</v>
      </c>
      <c r="L139" s="4">
        <v>135</v>
      </c>
      <c r="M139" s="6">
        <v>5.7870370370370373E-5</v>
      </c>
      <c r="N139" s="4">
        <v>2345</v>
      </c>
      <c r="O139" s="4">
        <v>1</v>
      </c>
      <c r="P139" s="7"/>
      <c r="Q139" s="4">
        <v>2343</v>
      </c>
      <c r="R139" s="4">
        <v>5</v>
      </c>
    </row>
    <row r="140" spans="1:18" ht="15" x14ac:dyDescent="0.25">
      <c r="A140" s="4" t="s">
        <v>47</v>
      </c>
      <c r="B140" s="4" t="s">
        <v>29</v>
      </c>
      <c r="C140" s="4" t="s">
        <v>25</v>
      </c>
      <c r="D140" s="5">
        <v>42992</v>
      </c>
      <c r="E140" s="4">
        <v>56364</v>
      </c>
      <c r="F140" s="4">
        <v>232.22171159999999</v>
      </c>
      <c r="G140" s="4">
        <v>27046</v>
      </c>
      <c r="H140" s="4">
        <v>10986</v>
      </c>
      <c r="I140" s="4">
        <v>8339</v>
      </c>
      <c r="J140" s="4">
        <v>3989</v>
      </c>
      <c r="K140" s="4">
        <v>2154</v>
      </c>
      <c r="L140" s="4">
        <v>1453</v>
      </c>
      <c r="M140" s="6">
        <v>8.1018518518518516E-5</v>
      </c>
      <c r="N140" s="4">
        <v>27110</v>
      </c>
      <c r="O140" s="4">
        <v>3</v>
      </c>
      <c r="P140" s="4">
        <v>7</v>
      </c>
      <c r="Q140" s="4">
        <v>27104</v>
      </c>
      <c r="R140" s="4">
        <v>48</v>
      </c>
    </row>
    <row r="141" spans="1:18" ht="15" x14ac:dyDescent="0.25">
      <c r="A141" s="4" t="s">
        <v>47</v>
      </c>
      <c r="B141" s="4" t="s">
        <v>29</v>
      </c>
      <c r="C141" s="4" t="s">
        <v>26</v>
      </c>
      <c r="D141" s="5">
        <v>42992</v>
      </c>
      <c r="E141" s="4">
        <v>233720</v>
      </c>
      <c r="F141" s="4">
        <v>724.46899910000002</v>
      </c>
      <c r="G141" s="4">
        <v>115255</v>
      </c>
      <c r="H141" s="4">
        <v>50088</v>
      </c>
      <c r="I141" s="4">
        <v>38832</v>
      </c>
      <c r="J141" s="4">
        <v>21997</v>
      </c>
      <c r="K141" s="4">
        <v>13133</v>
      </c>
      <c r="L141" s="4">
        <v>9323</v>
      </c>
      <c r="M141" s="6">
        <v>1.0416666666666667E-4</v>
      </c>
      <c r="N141" s="4">
        <v>115833</v>
      </c>
      <c r="O141" s="4">
        <v>45</v>
      </c>
      <c r="P141" s="4">
        <v>15</v>
      </c>
      <c r="Q141" s="4">
        <v>115820</v>
      </c>
      <c r="R141" s="4">
        <v>505</v>
      </c>
    </row>
    <row r="142" spans="1:18" ht="15" x14ac:dyDescent="0.25">
      <c r="A142" s="4" t="s">
        <v>48</v>
      </c>
      <c r="B142" s="4" t="s">
        <v>19</v>
      </c>
      <c r="C142" s="4" t="s">
        <v>20</v>
      </c>
      <c r="D142" s="5">
        <v>42992</v>
      </c>
      <c r="E142" s="4">
        <v>0</v>
      </c>
      <c r="F142" s="4">
        <v>0.15984974099999999</v>
      </c>
      <c r="G142" s="4">
        <v>2</v>
      </c>
      <c r="H142" s="7"/>
      <c r="I142" s="7"/>
      <c r="J142" s="7"/>
      <c r="K142" s="7"/>
      <c r="L142" s="7"/>
      <c r="M142" s="6">
        <v>3.4722222222222222E-5</v>
      </c>
      <c r="N142" s="4">
        <v>2</v>
      </c>
      <c r="O142" s="7"/>
      <c r="P142" s="7"/>
      <c r="Q142" s="4">
        <v>2</v>
      </c>
      <c r="R142" s="7"/>
    </row>
    <row r="143" spans="1:18" ht="15" x14ac:dyDescent="0.25">
      <c r="A143" s="4" t="s">
        <v>48</v>
      </c>
      <c r="B143" s="4" t="s">
        <v>19</v>
      </c>
      <c r="C143" s="4" t="s">
        <v>21</v>
      </c>
      <c r="D143" s="5">
        <v>42992</v>
      </c>
      <c r="E143" s="4">
        <v>0</v>
      </c>
      <c r="F143" s="4">
        <v>8.9915479000000006E-2</v>
      </c>
      <c r="G143" s="4">
        <v>13</v>
      </c>
      <c r="H143" s="4">
        <v>3</v>
      </c>
      <c r="I143" s="4">
        <v>2</v>
      </c>
      <c r="J143" s="4">
        <v>1</v>
      </c>
      <c r="K143" s="4">
        <v>1</v>
      </c>
      <c r="L143" s="4">
        <v>1</v>
      </c>
      <c r="M143" s="6">
        <v>1.1574074074074075E-4</v>
      </c>
      <c r="N143" s="4">
        <v>13</v>
      </c>
      <c r="O143" s="7"/>
      <c r="P143" s="7"/>
      <c r="Q143" s="4">
        <v>13</v>
      </c>
      <c r="R143" s="7"/>
    </row>
    <row r="144" spans="1:18" ht="15" x14ac:dyDescent="0.25">
      <c r="A144" s="4" t="s">
        <v>48</v>
      </c>
      <c r="B144" s="4" t="s">
        <v>19</v>
      </c>
      <c r="C144" s="4" t="s">
        <v>23</v>
      </c>
      <c r="D144" s="5">
        <v>42992</v>
      </c>
      <c r="E144" s="4">
        <v>2982</v>
      </c>
      <c r="F144" s="4">
        <v>7.8825903650000004</v>
      </c>
      <c r="G144" s="4">
        <v>1336</v>
      </c>
      <c r="H144" s="4">
        <v>406</v>
      </c>
      <c r="I144" s="4">
        <v>220</v>
      </c>
      <c r="J144" s="4">
        <v>191</v>
      </c>
      <c r="K144" s="4">
        <v>167</v>
      </c>
      <c r="L144" s="4">
        <v>133</v>
      </c>
      <c r="M144" s="6">
        <v>1.273148148148148E-4</v>
      </c>
      <c r="N144" s="4">
        <v>1368</v>
      </c>
      <c r="O144" s="4">
        <v>13</v>
      </c>
      <c r="P144" s="4">
        <v>1</v>
      </c>
      <c r="Q144" s="4">
        <v>1368</v>
      </c>
      <c r="R144" s="4">
        <v>18</v>
      </c>
    </row>
    <row r="145" spans="1:18" ht="15" x14ac:dyDescent="0.25">
      <c r="A145" s="4" t="s">
        <v>48</v>
      </c>
      <c r="B145" s="4" t="s">
        <v>19</v>
      </c>
      <c r="C145" s="4" t="s">
        <v>22</v>
      </c>
      <c r="D145" s="5">
        <v>42992</v>
      </c>
      <c r="E145" s="4">
        <v>3072</v>
      </c>
      <c r="F145" s="4">
        <v>9.3711910799999991</v>
      </c>
      <c r="G145" s="4">
        <v>1617</v>
      </c>
      <c r="H145" s="4">
        <v>365</v>
      </c>
      <c r="I145" s="4">
        <v>175</v>
      </c>
      <c r="J145" s="4">
        <v>151</v>
      </c>
      <c r="K145" s="4">
        <v>123</v>
      </c>
      <c r="L145" s="4">
        <v>85</v>
      </c>
      <c r="M145" s="6">
        <v>9.2592592592592588E-5</v>
      </c>
      <c r="N145" s="4">
        <v>1638</v>
      </c>
      <c r="O145" s="4">
        <v>6</v>
      </c>
      <c r="P145" s="4">
        <v>2</v>
      </c>
      <c r="Q145" s="4">
        <v>1636</v>
      </c>
      <c r="R145" s="4">
        <v>11</v>
      </c>
    </row>
    <row r="146" spans="1:18" ht="15" x14ac:dyDescent="0.25">
      <c r="A146" s="4" t="s">
        <v>48</v>
      </c>
      <c r="B146" s="4" t="s">
        <v>19</v>
      </c>
      <c r="C146" s="4" t="s">
        <v>24</v>
      </c>
      <c r="D146" s="5">
        <v>42992</v>
      </c>
      <c r="E146" s="4">
        <v>64760</v>
      </c>
      <c r="F146" s="4">
        <v>156.4029812</v>
      </c>
      <c r="G146" s="4">
        <v>27537</v>
      </c>
      <c r="H146" s="4">
        <v>7094</v>
      </c>
      <c r="I146" s="4">
        <v>3442</v>
      </c>
      <c r="J146" s="4">
        <v>2819</v>
      </c>
      <c r="K146" s="4">
        <v>2414</v>
      </c>
      <c r="L146" s="4">
        <v>1892</v>
      </c>
      <c r="M146" s="6">
        <v>9.2592592592592588E-5</v>
      </c>
      <c r="N146" s="4">
        <v>27802</v>
      </c>
      <c r="O146" s="4">
        <v>52</v>
      </c>
      <c r="P146" s="4">
        <v>23</v>
      </c>
      <c r="Q146" s="4">
        <v>27764</v>
      </c>
      <c r="R146" s="4">
        <v>151</v>
      </c>
    </row>
    <row r="147" spans="1:18" ht="15" x14ac:dyDescent="0.25">
      <c r="A147" s="4" t="s">
        <v>48</v>
      </c>
      <c r="B147" s="4" t="s">
        <v>19</v>
      </c>
      <c r="C147" s="4" t="s">
        <v>25</v>
      </c>
      <c r="D147" s="5">
        <v>42992</v>
      </c>
      <c r="E147" s="4">
        <v>77303</v>
      </c>
      <c r="F147" s="4">
        <v>174.14630249999999</v>
      </c>
      <c r="G147" s="4">
        <v>30656</v>
      </c>
      <c r="H147" s="4">
        <v>9360</v>
      </c>
      <c r="I147" s="4">
        <v>5613</v>
      </c>
      <c r="J147" s="4">
        <v>5182</v>
      </c>
      <c r="K147" s="4">
        <v>4394</v>
      </c>
      <c r="L147" s="4">
        <v>3295</v>
      </c>
      <c r="M147" s="6">
        <v>1.1574074074074075E-4</v>
      </c>
      <c r="N147" s="4">
        <v>31217</v>
      </c>
      <c r="O147" s="4">
        <v>93</v>
      </c>
      <c r="P147" s="4">
        <v>56</v>
      </c>
      <c r="Q147" s="4">
        <v>31178</v>
      </c>
      <c r="R147" s="4">
        <v>373</v>
      </c>
    </row>
    <row r="148" spans="1:18" ht="15" x14ac:dyDescent="0.25">
      <c r="A148" s="4" t="s">
        <v>48</v>
      </c>
      <c r="B148" s="4" t="s">
        <v>19</v>
      </c>
      <c r="C148" s="4" t="s">
        <v>26</v>
      </c>
      <c r="D148" s="5">
        <v>42992</v>
      </c>
      <c r="E148" s="4">
        <v>306524</v>
      </c>
      <c r="F148" s="4">
        <v>651.94716970000002</v>
      </c>
      <c r="G148" s="4">
        <v>118824</v>
      </c>
      <c r="H148" s="4">
        <v>36171</v>
      </c>
      <c r="I148" s="4">
        <v>21270</v>
      </c>
      <c r="J148" s="4">
        <v>19515</v>
      </c>
      <c r="K148" s="4">
        <v>17135</v>
      </c>
      <c r="L148" s="4">
        <v>13003</v>
      </c>
      <c r="M148" s="6">
        <v>1.1574074074074075E-4</v>
      </c>
      <c r="N148" s="4">
        <v>121270</v>
      </c>
      <c r="O148" s="4">
        <v>432</v>
      </c>
      <c r="P148" s="4">
        <v>175</v>
      </c>
      <c r="Q148" s="4">
        <v>121078</v>
      </c>
      <c r="R148" s="4">
        <v>1646</v>
      </c>
    </row>
    <row r="149" spans="1:18" ht="15" x14ac:dyDescent="0.25">
      <c r="A149" s="4" t="s">
        <v>49</v>
      </c>
      <c r="B149" s="4" t="s">
        <v>32</v>
      </c>
      <c r="C149" s="4" t="s">
        <v>21</v>
      </c>
      <c r="D149" s="5">
        <v>42993</v>
      </c>
      <c r="E149" s="4">
        <v>0</v>
      </c>
      <c r="F149" s="4">
        <v>6.9935658999999997E-2</v>
      </c>
      <c r="G149" s="4">
        <v>7</v>
      </c>
      <c r="H149" s="4">
        <v>3</v>
      </c>
      <c r="I149" s="4">
        <v>3</v>
      </c>
      <c r="J149" s="4">
        <v>1</v>
      </c>
      <c r="K149" s="4">
        <v>1</v>
      </c>
      <c r="L149" s="4">
        <v>1</v>
      </c>
      <c r="M149" s="6">
        <v>1.1574074074074075E-4</v>
      </c>
      <c r="N149" s="4">
        <v>7</v>
      </c>
      <c r="O149" s="7"/>
      <c r="P149" s="7"/>
      <c r="Q149" s="4">
        <v>7</v>
      </c>
      <c r="R149" s="7"/>
    </row>
    <row r="150" spans="1:18" ht="15" x14ac:dyDescent="0.25">
      <c r="A150" s="4" t="s">
        <v>49</v>
      </c>
      <c r="B150" s="4" t="s">
        <v>32</v>
      </c>
      <c r="C150" s="4" t="s">
        <v>20</v>
      </c>
      <c r="D150" s="5">
        <v>42993</v>
      </c>
      <c r="E150" s="4">
        <v>33</v>
      </c>
      <c r="F150" s="4">
        <v>0.119889701</v>
      </c>
      <c r="G150" s="4">
        <v>4</v>
      </c>
      <c r="H150" s="4">
        <v>3</v>
      </c>
      <c r="I150" s="4">
        <v>2</v>
      </c>
      <c r="J150" s="7"/>
      <c r="K150" s="7"/>
      <c r="L150" s="7"/>
      <c r="M150" s="6">
        <v>9.2592592592592588E-5</v>
      </c>
      <c r="N150" s="4">
        <v>4</v>
      </c>
      <c r="O150" s="7"/>
      <c r="P150" s="7"/>
      <c r="Q150" s="4">
        <v>4</v>
      </c>
      <c r="R150" s="7"/>
    </row>
    <row r="151" spans="1:18" ht="15" x14ac:dyDescent="0.25">
      <c r="A151" s="4" t="s">
        <v>49</v>
      </c>
      <c r="B151" s="4" t="s">
        <v>32</v>
      </c>
      <c r="C151" s="4" t="s">
        <v>23</v>
      </c>
      <c r="D151" s="5">
        <v>42993</v>
      </c>
      <c r="E151" s="4">
        <v>2176</v>
      </c>
      <c r="F151" s="4">
        <v>10.94992607</v>
      </c>
      <c r="G151" s="4">
        <v>1894</v>
      </c>
      <c r="H151" s="4">
        <v>722</v>
      </c>
      <c r="I151" s="4">
        <v>634</v>
      </c>
      <c r="J151" s="4">
        <v>324</v>
      </c>
      <c r="K151" s="4">
        <v>202</v>
      </c>
      <c r="L151" s="4">
        <v>150</v>
      </c>
      <c r="M151" s="6">
        <v>9.2592592592592588E-5</v>
      </c>
      <c r="N151" s="4">
        <v>1902</v>
      </c>
      <c r="O151" s="7"/>
      <c r="P151" s="7"/>
      <c r="Q151" s="4">
        <v>1902</v>
      </c>
      <c r="R151" s="4">
        <v>8</v>
      </c>
    </row>
    <row r="152" spans="1:18" ht="15" x14ac:dyDescent="0.25">
      <c r="A152" s="4" t="s">
        <v>49</v>
      </c>
      <c r="B152" s="4" t="s">
        <v>32</v>
      </c>
      <c r="C152" s="4" t="s">
        <v>22</v>
      </c>
      <c r="D152" s="5">
        <v>42993</v>
      </c>
      <c r="E152" s="4">
        <v>5119</v>
      </c>
      <c r="F152" s="4">
        <v>32.26032051</v>
      </c>
      <c r="G152" s="4">
        <v>4329</v>
      </c>
      <c r="H152" s="4">
        <v>1570</v>
      </c>
      <c r="I152" s="4">
        <v>1342</v>
      </c>
      <c r="J152" s="4">
        <v>644</v>
      </c>
      <c r="K152" s="4">
        <v>423</v>
      </c>
      <c r="L152" s="4">
        <v>287</v>
      </c>
      <c r="M152" s="6">
        <v>1.0416666666666667E-4</v>
      </c>
      <c r="N152" s="4">
        <v>4355</v>
      </c>
      <c r="O152" s="4">
        <v>9</v>
      </c>
      <c r="P152" s="4">
        <v>1</v>
      </c>
      <c r="Q152" s="4">
        <v>4355</v>
      </c>
      <c r="R152" s="4">
        <v>16</v>
      </c>
    </row>
    <row r="153" spans="1:18" ht="15" x14ac:dyDescent="0.25">
      <c r="A153" s="4" t="s">
        <v>49</v>
      </c>
      <c r="B153" s="4" t="s">
        <v>32</v>
      </c>
      <c r="C153" s="4" t="s">
        <v>24</v>
      </c>
      <c r="D153" s="5">
        <v>42993</v>
      </c>
      <c r="E153" s="4">
        <v>54266</v>
      </c>
      <c r="F153" s="4">
        <v>182.1224473</v>
      </c>
      <c r="G153" s="4">
        <v>31462</v>
      </c>
      <c r="H153" s="4">
        <v>11958</v>
      </c>
      <c r="I153" s="4">
        <v>10435</v>
      </c>
      <c r="J153" s="4">
        <v>4986</v>
      </c>
      <c r="K153" s="4">
        <v>3471</v>
      </c>
      <c r="L153" s="4">
        <v>2774</v>
      </c>
      <c r="M153" s="6">
        <v>9.2592592592592588E-5</v>
      </c>
      <c r="N153" s="4">
        <v>31642</v>
      </c>
      <c r="O153" s="4">
        <v>43</v>
      </c>
      <c r="P153" s="4">
        <v>12</v>
      </c>
      <c r="Q153" s="4">
        <v>31624</v>
      </c>
      <c r="R153" s="4">
        <v>94</v>
      </c>
    </row>
    <row r="154" spans="1:18" ht="15" x14ac:dyDescent="0.25">
      <c r="A154" s="4" t="s">
        <v>49</v>
      </c>
      <c r="B154" s="4" t="s">
        <v>32</v>
      </c>
      <c r="C154" s="4" t="s">
        <v>25</v>
      </c>
      <c r="D154" s="5">
        <v>42993</v>
      </c>
      <c r="E154" s="4">
        <v>67192</v>
      </c>
      <c r="F154" s="4">
        <v>248.1716821</v>
      </c>
      <c r="G154" s="4">
        <v>41008</v>
      </c>
      <c r="H154" s="4">
        <v>14372</v>
      </c>
      <c r="I154" s="4">
        <v>12574</v>
      </c>
      <c r="J154" s="4">
        <v>6356</v>
      </c>
      <c r="K154" s="4">
        <v>4406</v>
      </c>
      <c r="L154" s="4">
        <v>2967</v>
      </c>
      <c r="M154" s="6">
        <v>8.1018518518518516E-5</v>
      </c>
      <c r="N154" s="4">
        <v>41236</v>
      </c>
      <c r="O154" s="4">
        <v>39</v>
      </c>
      <c r="P154" s="4">
        <v>22</v>
      </c>
      <c r="Q154" s="4">
        <v>41218</v>
      </c>
      <c r="R154" s="4">
        <v>149</v>
      </c>
    </row>
    <row r="155" spans="1:18" ht="15" x14ac:dyDescent="0.25">
      <c r="A155" s="4" t="s">
        <v>49</v>
      </c>
      <c r="B155" s="4" t="s">
        <v>32</v>
      </c>
      <c r="C155" s="4" t="s">
        <v>26</v>
      </c>
      <c r="D155" s="5">
        <v>42993</v>
      </c>
      <c r="E155" s="4">
        <v>184618</v>
      </c>
      <c r="F155" s="4">
        <v>526.30579869999997</v>
      </c>
      <c r="G155" s="4">
        <v>99430</v>
      </c>
      <c r="H155" s="4">
        <v>38438</v>
      </c>
      <c r="I155" s="4">
        <v>34281</v>
      </c>
      <c r="J155" s="4">
        <v>18092</v>
      </c>
      <c r="K155" s="4">
        <v>12449</v>
      </c>
      <c r="L155" s="4">
        <v>8879</v>
      </c>
      <c r="M155" s="6">
        <v>9.2592592592592588E-5</v>
      </c>
      <c r="N155" s="4">
        <v>100250</v>
      </c>
      <c r="O155" s="4">
        <v>168</v>
      </c>
      <c r="P155" s="4">
        <v>46</v>
      </c>
      <c r="Q155" s="4">
        <v>100168</v>
      </c>
      <c r="R155" s="4">
        <v>524</v>
      </c>
    </row>
    <row r="156" spans="1:18" ht="15" x14ac:dyDescent="0.25">
      <c r="A156" s="4" t="s">
        <v>50</v>
      </c>
      <c r="B156" s="4" t="s">
        <v>29</v>
      </c>
      <c r="C156" s="4" t="s">
        <v>21</v>
      </c>
      <c r="D156" s="5">
        <v>42980</v>
      </c>
      <c r="E156" s="4">
        <v>0</v>
      </c>
      <c r="F156" s="4">
        <v>9.9609531000000001E-2</v>
      </c>
      <c r="G156" s="4">
        <v>9</v>
      </c>
      <c r="H156" s="4">
        <v>3</v>
      </c>
      <c r="I156" s="4">
        <v>1</v>
      </c>
      <c r="J156" s="7"/>
      <c r="K156" s="7"/>
      <c r="L156" s="7"/>
      <c r="M156" s="6">
        <v>4.6296296296296294E-5</v>
      </c>
      <c r="N156" s="4">
        <v>9</v>
      </c>
      <c r="O156" s="7"/>
      <c r="P156" s="7"/>
      <c r="Q156" s="4">
        <v>9</v>
      </c>
      <c r="R156" s="7"/>
    </row>
    <row r="157" spans="1:18" ht="15" x14ac:dyDescent="0.25">
      <c r="A157" s="4" t="s">
        <v>50</v>
      </c>
      <c r="B157" s="4" t="s">
        <v>29</v>
      </c>
      <c r="C157" s="4" t="s">
        <v>20</v>
      </c>
      <c r="D157" s="5">
        <v>42980</v>
      </c>
      <c r="E157" s="4">
        <v>65</v>
      </c>
      <c r="F157" s="4">
        <v>0.13945334300000001</v>
      </c>
      <c r="G157" s="4">
        <v>8</v>
      </c>
      <c r="H157" s="4">
        <v>5</v>
      </c>
      <c r="I157" s="4">
        <v>4</v>
      </c>
      <c r="J157" s="4">
        <v>3</v>
      </c>
      <c r="K157" s="4">
        <v>3</v>
      </c>
      <c r="L157" s="4">
        <v>1</v>
      </c>
      <c r="M157" s="6">
        <v>2.199074074074074E-4</v>
      </c>
      <c r="N157" s="4">
        <v>9</v>
      </c>
      <c r="O157" s="4">
        <v>1</v>
      </c>
      <c r="P157" s="7"/>
      <c r="Q157" s="4">
        <v>9</v>
      </c>
      <c r="R157" s="7"/>
    </row>
    <row r="158" spans="1:18" ht="15" x14ac:dyDescent="0.25">
      <c r="A158" s="4" t="s">
        <v>50</v>
      </c>
      <c r="B158" s="4" t="s">
        <v>29</v>
      </c>
      <c r="C158" s="4" t="s">
        <v>22</v>
      </c>
      <c r="D158" s="5">
        <v>42980</v>
      </c>
      <c r="E158" s="4">
        <v>1600</v>
      </c>
      <c r="F158" s="4">
        <v>8.2576300899999993</v>
      </c>
      <c r="G158" s="4">
        <v>1121</v>
      </c>
      <c r="H158" s="4">
        <v>438</v>
      </c>
      <c r="I158" s="4">
        <v>339</v>
      </c>
      <c r="J158" s="4">
        <v>257</v>
      </c>
      <c r="K158" s="4">
        <v>218</v>
      </c>
      <c r="L158" s="4">
        <v>168</v>
      </c>
      <c r="M158" s="6">
        <v>1.1574074074074075E-4</v>
      </c>
      <c r="N158" s="4">
        <v>1133</v>
      </c>
      <c r="O158" s="4">
        <v>2</v>
      </c>
      <c r="P158" s="7"/>
      <c r="Q158" s="4">
        <v>1133</v>
      </c>
      <c r="R158" s="4">
        <v>10</v>
      </c>
    </row>
    <row r="159" spans="1:18" ht="15" x14ac:dyDescent="0.25">
      <c r="A159" s="4" t="s">
        <v>50</v>
      </c>
      <c r="B159" s="4" t="s">
        <v>29</v>
      </c>
      <c r="C159" s="4" t="s">
        <v>23</v>
      </c>
      <c r="D159" s="5">
        <v>42980</v>
      </c>
      <c r="E159" s="4">
        <v>2096</v>
      </c>
      <c r="F159" s="4">
        <v>8.3871224800000004</v>
      </c>
      <c r="G159" s="4">
        <v>842</v>
      </c>
      <c r="H159" s="4">
        <v>321</v>
      </c>
      <c r="I159" s="4">
        <v>225</v>
      </c>
      <c r="J159" s="4">
        <v>148</v>
      </c>
      <c r="K159" s="4">
        <v>129</v>
      </c>
      <c r="L159" s="4">
        <v>101</v>
      </c>
      <c r="M159" s="6">
        <v>1.0416666666666667E-4</v>
      </c>
      <c r="N159" s="4">
        <v>860</v>
      </c>
      <c r="O159" s="4">
        <v>4</v>
      </c>
      <c r="P159" s="7"/>
      <c r="Q159" s="4">
        <v>858</v>
      </c>
      <c r="R159" s="4">
        <v>12</v>
      </c>
    </row>
    <row r="160" spans="1:18" ht="15" x14ac:dyDescent="0.25">
      <c r="A160" s="4" t="s">
        <v>50</v>
      </c>
      <c r="B160" s="4" t="s">
        <v>29</v>
      </c>
      <c r="C160" s="4" t="s">
        <v>24</v>
      </c>
      <c r="D160" s="5">
        <v>42980</v>
      </c>
      <c r="E160" s="4">
        <v>15806</v>
      </c>
      <c r="F160" s="4">
        <v>38.200254999999999</v>
      </c>
      <c r="G160" s="4">
        <v>7311</v>
      </c>
      <c r="H160" s="4">
        <v>2533</v>
      </c>
      <c r="I160" s="4">
        <v>1937</v>
      </c>
      <c r="J160" s="4">
        <v>1454</v>
      </c>
      <c r="K160" s="4">
        <v>1244</v>
      </c>
      <c r="L160" s="4">
        <v>1048</v>
      </c>
      <c r="M160" s="6">
        <v>1.0416666666666667E-4</v>
      </c>
      <c r="N160" s="4">
        <v>7357</v>
      </c>
      <c r="O160" s="4">
        <v>11</v>
      </c>
      <c r="P160" s="4">
        <v>3</v>
      </c>
      <c r="Q160" s="4">
        <v>7353</v>
      </c>
      <c r="R160" s="4">
        <v>28</v>
      </c>
    </row>
    <row r="161" spans="1:18" ht="15" x14ac:dyDescent="0.25">
      <c r="A161" s="4" t="s">
        <v>50</v>
      </c>
      <c r="B161" s="4" t="s">
        <v>29</v>
      </c>
      <c r="C161" s="4" t="s">
        <v>25</v>
      </c>
      <c r="D161" s="5">
        <v>42980</v>
      </c>
      <c r="E161" s="4">
        <v>81910</v>
      </c>
      <c r="F161" s="4">
        <v>320.79249340000001</v>
      </c>
      <c r="G161" s="4">
        <v>34731</v>
      </c>
      <c r="H161" s="4">
        <v>13230</v>
      </c>
      <c r="I161" s="4">
        <v>10382</v>
      </c>
      <c r="J161" s="4">
        <v>7845</v>
      </c>
      <c r="K161" s="4">
        <v>6649</v>
      </c>
      <c r="L161" s="4">
        <v>4596</v>
      </c>
      <c r="M161" s="6">
        <v>1.0416666666666667E-4</v>
      </c>
      <c r="N161" s="4">
        <v>35302</v>
      </c>
      <c r="O161" s="4">
        <v>80</v>
      </c>
      <c r="P161" s="4">
        <v>10</v>
      </c>
      <c r="Q161" s="4">
        <v>35296</v>
      </c>
      <c r="R161" s="4">
        <v>475</v>
      </c>
    </row>
    <row r="162" spans="1:18" ht="15" x14ac:dyDescent="0.25">
      <c r="A162" s="4" t="s">
        <v>50</v>
      </c>
      <c r="B162" s="4" t="s">
        <v>29</v>
      </c>
      <c r="C162" s="4" t="s">
        <v>26</v>
      </c>
      <c r="D162" s="5">
        <v>42980</v>
      </c>
      <c r="E162" s="4">
        <v>191784</v>
      </c>
      <c r="F162" s="4">
        <v>624.12343610000005</v>
      </c>
      <c r="G162" s="4">
        <v>71874</v>
      </c>
      <c r="H162" s="4">
        <v>27041</v>
      </c>
      <c r="I162" s="4">
        <v>20553</v>
      </c>
      <c r="J162" s="4">
        <v>14317</v>
      </c>
      <c r="K162" s="4">
        <v>11506</v>
      </c>
      <c r="L162" s="4">
        <v>8145</v>
      </c>
      <c r="M162" s="6">
        <v>9.2592592592592588E-5</v>
      </c>
      <c r="N162" s="4">
        <v>73281</v>
      </c>
      <c r="O162" s="4">
        <v>219</v>
      </c>
      <c r="P162" s="4">
        <v>34</v>
      </c>
      <c r="Q162" s="4">
        <v>73227</v>
      </c>
      <c r="R162" s="4">
        <v>1100</v>
      </c>
    </row>
    <row r="163" spans="1:18" ht="15" x14ac:dyDescent="0.25">
      <c r="A163" s="4" t="s">
        <v>51</v>
      </c>
      <c r="B163" s="4" t="s">
        <v>19</v>
      </c>
      <c r="C163" s="4" t="s">
        <v>21</v>
      </c>
      <c r="D163" s="5">
        <v>42993</v>
      </c>
      <c r="E163" s="4">
        <v>0</v>
      </c>
      <c r="F163" s="4">
        <v>0.13987131799999999</v>
      </c>
      <c r="G163" s="4">
        <v>33</v>
      </c>
      <c r="H163" s="4">
        <v>17</v>
      </c>
      <c r="I163" s="4">
        <v>14</v>
      </c>
      <c r="J163" s="4">
        <v>13</v>
      </c>
      <c r="K163" s="4">
        <v>9</v>
      </c>
      <c r="L163" s="4">
        <v>3</v>
      </c>
      <c r="M163" s="6">
        <v>2.0833333333333335E-4</v>
      </c>
      <c r="N163" s="4">
        <v>33</v>
      </c>
      <c r="O163" s="7"/>
      <c r="P163" s="7"/>
      <c r="Q163" s="4">
        <v>33</v>
      </c>
      <c r="R163" s="7"/>
    </row>
    <row r="164" spans="1:18" ht="15" x14ac:dyDescent="0.25">
      <c r="A164" s="4" t="s">
        <v>51</v>
      </c>
      <c r="B164" s="4" t="s">
        <v>19</v>
      </c>
      <c r="C164" s="4" t="s">
        <v>20</v>
      </c>
      <c r="D164" s="5">
        <v>42993</v>
      </c>
      <c r="E164" s="4">
        <v>0</v>
      </c>
      <c r="F164" s="4">
        <v>8.9917276000000004E-2</v>
      </c>
      <c r="G164" s="4">
        <v>7</v>
      </c>
      <c r="H164" s="4">
        <v>6</v>
      </c>
      <c r="I164" s="4">
        <v>7</v>
      </c>
      <c r="J164" s="4">
        <v>6</v>
      </c>
      <c r="K164" s="4">
        <v>6</v>
      </c>
      <c r="L164" s="4">
        <v>5</v>
      </c>
      <c r="M164" s="6">
        <v>5.5555555555555556E-4</v>
      </c>
      <c r="N164" s="4">
        <v>7</v>
      </c>
      <c r="O164" s="7"/>
      <c r="P164" s="7"/>
      <c r="Q164" s="4">
        <v>7</v>
      </c>
      <c r="R164" s="7"/>
    </row>
    <row r="165" spans="1:18" ht="15" x14ac:dyDescent="0.25">
      <c r="A165" s="4" t="s">
        <v>51</v>
      </c>
      <c r="B165" s="4" t="s">
        <v>19</v>
      </c>
      <c r="C165" s="4" t="s">
        <v>22</v>
      </c>
      <c r="D165" s="5">
        <v>42993</v>
      </c>
      <c r="E165" s="4">
        <v>2048</v>
      </c>
      <c r="F165" s="4">
        <v>5.2251928230000004</v>
      </c>
      <c r="G165" s="4">
        <v>1023</v>
      </c>
      <c r="H165" s="4">
        <v>551</v>
      </c>
      <c r="I165" s="4">
        <v>483</v>
      </c>
      <c r="J165" s="4">
        <v>410</v>
      </c>
      <c r="K165" s="4">
        <v>352</v>
      </c>
      <c r="L165" s="4">
        <v>218</v>
      </c>
      <c r="M165" s="6">
        <v>1.7361111111111112E-4</v>
      </c>
      <c r="N165" s="4">
        <v>1030</v>
      </c>
      <c r="O165" s="7"/>
      <c r="P165" s="7"/>
      <c r="Q165" s="4">
        <v>1029</v>
      </c>
      <c r="R165" s="4">
        <v>6</v>
      </c>
    </row>
    <row r="166" spans="1:18" ht="15" x14ac:dyDescent="0.25">
      <c r="A166" s="4" t="s">
        <v>51</v>
      </c>
      <c r="B166" s="4" t="s">
        <v>19</v>
      </c>
      <c r="C166" s="4" t="s">
        <v>23</v>
      </c>
      <c r="D166" s="5">
        <v>42993</v>
      </c>
      <c r="E166" s="4">
        <v>2176</v>
      </c>
      <c r="F166" s="4">
        <v>5.794668905</v>
      </c>
      <c r="G166" s="4">
        <v>1210</v>
      </c>
      <c r="H166" s="4">
        <v>643</v>
      </c>
      <c r="I166" s="4">
        <v>551</v>
      </c>
      <c r="J166" s="4">
        <v>474</v>
      </c>
      <c r="K166" s="4">
        <v>419</v>
      </c>
      <c r="L166" s="4">
        <v>288</v>
      </c>
      <c r="M166" s="6">
        <v>1.7361111111111112E-4</v>
      </c>
      <c r="N166" s="4">
        <v>1226</v>
      </c>
      <c r="O166" s="4">
        <v>5</v>
      </c>
      <c r="P166" s="7"/>
      <c r="Q166" s="4">
        <v>1225</v>
      </c>
      <c r="R166" s="4">
        <v>10</v>
      </c>
    </row>
    <row r="167" spans="1:18" ht="15" x14ac:dyDescent="0.25">
      <c r="A167" s="4" t="s">
        <v>51</v>
      </c>
      <c r="B167" s="4" t="s">
        <v>19</v>
      </c>
      <c r="C167" s="4" t="s">
        <v>25</v>
      </c>
      <c r="D167" s="5">
        <v>42993</v>
      </c>
      <c r="E167" s="4">
        <v>72697</v>
      </c>
      <c r="F167" s="4">
        <v>155.60684169999999</v>
      </c>
      <c r="G167" s="4">
        <v>35452</v>
      </c>
      <c r="H167" s="4">
        <v>18652</v>
      </c>
      <c r="I167" s="4">
        <v>16824</v>
      </c>
      <c r="J167" s="4">
        <v>15158</v>
      </c>
      <c r="K167" s="4">
        <v>13432</v>
      </c>
      <c r="L167" s="4">
        <v>8438</v>
      </c>
      <c r="M167" s="6">
        <v>1.7361111111111112E-4</v>
      </c>
      <c r="N167" s="4">
        <v>35986</v>
      </c>
      <c r="O167" s="4">
        <v>123</v>
      </c>
      <c r="P167" s="4">
        <v>49</v>
      </c>
      <c r="Q167" s="4">
        <v>35960</v>
      </c>
      <c r="R167" s="4">
        <v>336</v>
      </c>
    </row>
    <row r="168" spans="1:18" ht="15" x14ac:dyDescent="0.25">
      <c r="A168" s="4" t="s">
        <v>51</v>
      </c>
      <c r="B168" s="4" t="s">
        <v>19</v>
      </c>
      <c r="C168" s="4" t="s">
        <v>24</v>
      </c>
      <c r="D168" s="5">
        <v>42993</v>
      </c>
      <c r="E168" s="4">
        <v>98294</v>
      </c>
      <c r="F168" s="4">
        <v>129.8505375</v>
      </c>
      <c r="G168" s="4">
        <v>38612</v>
      </c>
      <c r="H168" s="4">
        <v>19934</v>
      </c>
      <c r="I168" s="4">
        <v>17140</v>
      </c>
      <c r="J168" s="4">
        <v>14837</v>
      </c>
      <c r="K168" s="4">
        <v>13447</v>
      </c>
      <c r="L168" s="4">
        <v>9931</v>
      </c>
      <c r="M168" s="6">
        <v>1.7361111111111112E-4</v>
      </c>
      <c r="N168" s="4">
        <v>39199</v>
      </c>
      <c r="O168" s="4">
        <v>158</v>
      </c>
      <c r="P168" s="4">
        <v>37</v>
      </c>
      <c r="Q168" s="4">
        <v>39142</v>
      </c>
      <c r="R168" s="4">
        <v>335</v>
      </c>
    </row>
    <row r="169" spans="1:18" ht="15" x14ac:dyDescent="0.25">
      <c r="A169" s="4" t="s">
        <v>51</v>
      </c>
      <c r="B169" s="4" t="s">
        <v>19</v>
      </c>
      <c r="C169" s="4" t="s">
        <v>26</v>
      </c>
      <c r="D169" s="5">
        <v>42993</v>
      </c>
      <c r="E169" s="4">
        <v>415701</v>
      </c>
      <c r="F169" s="4">
        <v>703.29297050000002</v>
      </c>
      <c r="G169" s="4">
        <v>183390</v>
      </c>
      <c r="H169" s="4">
        <v>96920</v>
      </c>
      <c r="I169" s="4">
        <v>86921</v>
      </c>
      <c r="J169" s="4">
        <v>77203</v>
      </c>
      <c r="K169" s="4">
        <v>69017</v>
      </c>
      <c r="L169" s="4">
        <v>47948</v>
      </c>
      <c r="M169" s="6">
        <v>1.6203703703703703E-4</v>
      </c>
      <c r="N169" s="4">
        <v>187101</v>
      </c>
      <c r="O169" s="4">
        <v>938</v>
      </c>
      <c r="P169" s="4">
        <v>194</v>
      </c>
      <c r="Q169" s="4">
        <v>186795</v>
      </c>
      <c r="R169" s="4">
        <v>2273</v>
      </c>
    </row>
    <row r="170" spans="1:18" ht="15" x14ac:dyDescent="0.25">
      <c r="A170" s="4" t="s">
        <v>52</v>
      </c>
      <c r="B170" s="4" t="s">
        <v>29</v>
      </c>
      <c r="C170" s="4" t="s">
        <v>21</v>
      </c>
      <c r="D170" s="5">
        <v>42994</v>
      </c>
      <c r="E170" s="4">
        <v>0</v>
      </c>
      <c r="F170" s="4">
        <v>0.14986212700000001</v>
      </c>
      <c r="G170" s="4">
        <v>11</v>
      </c>
      <c r="H170" s="4">
        <v>5</v>
      </c>
      <c r="I170" s="4">
        <v>3</v>
      </c>
      <c r="J170" s="4">
        <v>2</v>
      </c>
      <c r="K170" s="4">
        <v>1</v>
      </c>
      <c r="L170" s="4">
        <v>1</v>
      </c>
      <c r="M170" s="6">
        <v>9.2592592592592588E-5</v>
      </c>
      <c r="N170" s="4">
        <v>11</v>
      </c>
      <c r="O170" s="7"/>
      <c r="P170" s="7"/>
      <c r="Q170" s="4">
        <v>11</v>
      </c>
      <c r="R170" s="7"/>
    </row>
    <row r="171" spans="1:18" ht="15" x14ac:dyDescent="0.25">
      <c r="A171" s="4" t="s">
        <v>52</v>
      </c>
      <c r="B171" s="4" t="s">
        <v>29</v>
      </c>
      <c r="C171" s="4" t="s">
        <v>20</v>
      </c>
      <c r="D171" s="5">
        <v>42994</v>
      </c>
      <c r="E171" s="4">
        <v>55</v>
      </c>
      <c r="F171" s="4">
        <v>0.19981616899999999</v>
      </c>
      <c r="G171" s="4">
        <v>4</v>
      </c>
      <c r="H171" s="4">
        <v>3</v>
      </c>
      <c r="I171" s="4">
        <v>2</v>
      </c>
      <c r="J171" s="4">
        <v>1</v>
      </c>
      <c r="K171" s="4">
        <v>1</v>
      </c>
      <c r="L171" s="4">
        <v>1</v>
      </c>
      <c r="M171" s="6">
        <v>1.9675925925925926E-4</v>
      </c>
      <c r="N171" s="4">
        <v>4</v>
      </c>
      <c r="O171" s="7"/>
      <c r="P171" s="7"/>
      <c r="Q171" s="4">
        <v>4</v>
      </c>
      <c r="R171" s="7"/>
    </row>
    <row r="172" spans="1:18" ht="15" x14ac:dyDescent="0.25">
      <c r="A172" s="4" t="s">
        <v>52</v>
      </c>
      <c r="B172" s="4" t="s">
        <v>29</v>
      </c>
      <c r="C172" s="4" t="s">
        <v>23</v>
      </c>
      <c r="D172" s="5">
        <v>42994</v>
      </c>
      <c r="E172" s="4">
        <v>2470</v>
      </c>
      <c r="F172" s="4">
        <v>8.5421412300000004</v>
      </c>
      <c r="G172" s="4">
        <v>1281</v>
      </c>
      <c r="H172" s="4">
        <v>531</v>
      </c>
      <c r="I172" s="4">
        <v>372</v>
      </c>
      <c r="J172" s="4">
        <v>279</v>
      </c>
      <c r="K172" s="4">
        <v>221</v>
      </c>
      <c r="L172" s="4">
        <v>200</v>
      </c>
      <c r="M172" s="6">
        <v>1.273148148148148E-4</v>
      </c>
      <c r="N172" s="4">
        <v>1297</v>
      </c>
      <c r="O172" s="4">
        <v>4</v>
      </c>
      <c r="P172" s="4">
        <v>1</v>
      </c>
      <c r="Q172" s="4">
        <v>1297</v>
      </c>
      <c r="R172" s="4">
        <v>11</v>
      </c>
    </row>
    <row r="173" spans="1:18" ht="15" x14ac:dyDescent="0.25">
      <c r="A173" s="4" t="s">
        <v>52</v>
      </c>
      <c r="B173" s="4" t="s">
        <v>29</v>
      </c>
      <c r="C173" s="4" t="s">
        <v>22</v>
      </c>
      <c r="D173" s="5">
        <v>42994</v>
      </c>
      <c r="E173" s="4">
        <v>3703</v>
      </c>
      <c r="F173" s="4">
        <v>14.466690639999999</v>
      </c>
      <c r="G173" s="4">
        <v>2096</v>
      </c>
      <c r="H173" s="4">
        <v>905</v>
      </c>
      <c r="I173" s="4">
        <v>684</v>
      </c>
      <c r="J173" s="4">
        <v>517</v>
      </c>
      <c r="K173" s="4">
        <v>381</v>
      </c>
      <c r="L173" s="4">
        <v>345</v>
      </c>
      <c r="M173" s="6">
        <v>1.5046296296296297E-4</v>
      </c>
      <c r="N173" s="4">
        <v>2106</v>
      </c>
      <c r="O173" s="4">
        <v>3</v>
      </c>
      <c r="P173" s="4">
        <v>1</v>
      </c>
      <c r="Q173" s="4">
        <v>2105</v>
      </c>
      <c r="R173" s="4">
        <v>5</v>
      </c>
    </row>
    <row r="174" spans="1:18" ht="15" x14ac:dyDescent="0.25">
      <c r="A174" s="4" t="s">
        <v>52</v>
      </c>
      <c r="B174" s="4" t="s">
        <v>29</v>
      </c>
      <c r="C174" s="4" t="s">
        <v>24</v>
      </c>
      <c r="D174" s="5">
        <v>42994</v>
      </c>
      <c r="E174" s="4">
        <v>36349</v>
      </c>
      <c r="F174" s="4">
        <v>106.5319906</v>
      </c>
      <c r="G174" s="4">
        <v>17091</v>
      </c>
      <c r="H174" s="4">
        <v>6397</v>
      </c>
      <c r="I174" s="4">
        <v>4755</v>
      </c>
      <c r="J174" s="4">
        <v>3670</v>
      </c>
      <c r="K174" s="4">
        <v>3067</v>
      </c>
      <c r="L174" s="4">
        <v>2644</v>
      </c>
      <c r="M174" s="6">
        <v>1.1574074074074075E-4</v>
      </c>
      <c r="N174" s="4">
        <v>17209</v>
      </c>
      <c r="O174" s="4">
        <v>21</v>
      </c>
      <c r="P174" s="4">
        <v>11</v>
      </c>
      <c r="Q174" s="4">
        <v>17201</v>
      </c>
      <c r="R174" s="4">
        <v>78</v>
      </c>
    </row>
    <row r="175" spans="1:18" ht="15" x14ac:dyDescent="0.25">
      <c r="A175" s="4" t="s">
        <v>52</v>
      </c>
      <c r="B175" s="4" t="s">
        <v>29</v>
      </c>
      <c r="C175" s="4" t="s">
        <v>25</v>
      </c>
      <c r="D175" s="5">
        <v>42994</v>
      </c>
      <c r="E175" s="4">
        <v>61818</v>
      </c>
      <c r="F175" s="4">
        <v>177.13703390000001</v>
      </c>
      <c r="G175" s="4">
        <v>28818</v>
      </c>
      <c r="H175" s="4">
        <v>13476</v>
      </c>
      <c r="I175" s="4">
        <v>10124</v>
      </c>
      <c r="J175" s="4">
        <v>7837</v>
      </c>
      <c r="K175" s="4">
        <v>6082</v>
      </c>
      <c r="L175" s="4">
        <v>5085</v>
      </c>
      <c r="M175" s="6">
        <v>1.273148148148148E-4</v>
      </c>
      <c r="N175" s="4">
        <v>29046</v>
      </c>
      <c r="O175" s="4">
        <v>27</v>
      </c>
      <c r="P175" s="4">
        <v>28</v>
      </c>
      <c r="Q175" s="4">
        <v>29037</v>
      </c>
      <c r="R175" s="4">
        <v>164</v>
      </c>
    </row>
    <row r="176" spans="1:18" ht="15" x14ac:dyDescent="0.25">
      <c r="A176" s="4" t="s">
        <v>52</v>
      </c>
      <c r="B176" s="4" t="s">
        <v>29</v>
      </c>
      <c r="C176" s="4" t="s">
        <v>26</v>
      </c>
      <c r="D176" s="5">
        <v>42994</v>
      </c>
      <c r="E176" s="4">
        <v>260967</v>
      </c>
      <c r="F176" s="4">
        <v>692.97246529999995</v>
      </c>
      <c r="G176" s="4">
        <v>118350</v>
      </c>
      <c r="H176" s="4">
        <v>52130</v>
      </c>
      <c r="I176" s="4">
        <v>37122</v>
      </c>
      <c r="J176" s="4">
        <v>27897</v>
      </c>
      <c r="K176" s="4">
        <v>21197</v>
      </c>
      <c r="L176" s="4">
        <v>17851</v>
      </c>
      <c r="M176" s="6">
        <v>1.1574074074074075E-4</v>
      </c>
      <c r="N176" s="4">
        <v>119733</v>
      </c>
      <c r="O176" s="4">
        <v>256</v>
      </c>
      <c r="P176" s="4">
        <v>73</v>
      </c>
      <c r="Q176" s="4">
        <v>119616</v>
      </c>
      <c r="R176" s="4">
        <v>937</v>
      </c>
    </row>
    <row r="177" spans="1:18" ht="15" x14ac:dyDescent="0.25">
      <c r="A177" s="4" t="s">
        <v>53</v>
      </c>
      <c r="B177" s="4" t="s">
        <v>29</v>
      </c>
      <c r="C177" s="4" t="s">
        <v>20</v>
      </c>
      <c r="D177" s="5">
        <v>42994</v>
      </c>
      <c r="E177" s="4">
        <v>0</v>
      </c>
      <c r="F177" s="4">
        <v>9.9908080000000003E-3</v>
      </c>
      <c r="G177" s="4">
        <v>1</v>
      </c>
      <c r="H177" s="4">
        <v>1</v>
      </c>
      <c r="I177" s="4">
        <v>1</v>
      </c>
      <c r="J177" s="4">
        <v>1</v>
      </c>
      <c r="K177" s="7"/>
      <c r="L177" s="7"/>
      <c r="M177" s="6">
        <v>1.9675925925925926E-4</v>
      </c>
      <c r="N177" s="4">
        <v>1</v>
      </c>
      <c r="O177" s="7"/>
      <c r="P177" s="7"/>
      <c r="Q177" s="4">
        <v>1</v>
      </c>
      <c r="R177" s="7"/>
    </row>
    <row r="178" spans="1:18" ht="15" x14ac:dyDescent="0.25">
      <c r="A178" s="4" t="s">
        <v>53</v>
      </c>
      <c r="B178" s="4" t="s">
        <v>29</v>
      </c>
      <c r="C178" s="4" t="s">
        <v>21</v>
      </c>
      <c r="D178" s="5">
        <v>42994</v>
      </c>
      <c r="E178" s="4">
        <v>0</v>
      </c>
      <c r="F178" s="4">
        <v>0.109898893</v>
      </c>
      <c r="G178" s="4">
        <v>13</v>
      </c>
      <c r="H178" s="4">
        <v>3</v>
      </c>
      <c r="I178" s="4">
        <v>3</v>
      </c>
      <c r="J178" s="4">
        <v>1</v>
      </c>
      <c r="K178" s="4">
        <v>1</v>
      </c>
      <c r="L178" s="4">
        <v>1</v>
      </c>
      <c r="M178" s="6">
        <v>4.6296296296296294E-5</v>
      </c>
      <c r="N178" s="4">
        <v>13</v>
      </c>
      <c r="O178" s="7"/>
      <c r="P178" s="7"/>
      <c r="Q178" s="4">
        <v>13</v>
      </c>
      <c r="R178" s="7"/>
    </row>
    <row r="179" spans="1:18" ht="15" x14ac:dyDescent="0.25">
      <c r="A179" s="4" t="s">
        <v>53</v>
      </c>
      <c r="B179" s="4" t="s">
        <v>29</v>
      </c>
      <c r="C179" s="4" t="s">
        <v>22</v>
      </c>
      <c r="D179" s="5">
        <v>42994</v>
      </c>
      <c r="E179" s="4">
        <v>1024</v>
      </c>
      <c r="F179" s="4">
        <v>6.7737681329999999</v>
      </c>
      <c r="G179" s="4">
        <v>718</v>
      </c>
      <c r="H179" s="4">
        <v>233</v>
      </c>
      <c r="I179" s="4">
        <v>210</v>
      </c>
      <c r="J179" s="4">
        <v>85</v>
      </c>
      <c r="K179" s="4">
        <v>56</v>
      </c>
      <c r="L179" s="4">
        <v>48</v>
      </c>
      <c r="M179" s="6">
        <v>8.1018518518518516E-5</v>
      </c>
      <c r="N179" s="4">
        <v>720</v>
      </c>
      <c r="O179" s="7"/>
      <c r="P179" s="7"/>
      <c r="Q179" s="4">
        <v>719</v>
      </c>
      <c r="R179" s="4">
        <v>1</v>
      </c>
    </row>
    <row r="180" spans="1:18" ht="15" x14ac:dyDescent="0.25">
      <c r="A180" s="4" t="s">
        <v>53</v>
      </c>
      <c r="B180" s="4" t="s">
        <v>29</v>
      </c>
      <c r="C180" s="4" t="s">
        <v>23</v>
      </c>
      <c r="D180" s="5">
        <v>42994</v>
      </c>
      <c r="E180" s="4">
        <v>1294</v>
      </c>
      <c r="F180" s="4">
        <v>4.5657994640000004</v>
      </c>
      <c r="G180" s="4">
        <v>568</v>
      </c>
      <c r="H180" s="4">
        <v>216</v>
      </c>
      <c r="I180" s="4">
        <v>192</v>
      </c>
      <c r="J180" s="4">
        <v>99</v>
      </c>
      <c r="K180" s="4">
        <v>72</v>
      </c>
      <c r="L180" s="4">
        <v>63</v>
      </c>
      <c r="M180" s="6">
        <v>8.1018518518518516E-5</v>
      </c>
      <c r="N180" s="4">
        <v>587</v>
      </c>
      <c r="O180" s="4">
        <v>2</v>
      </c>
      <c r="P180" s="4">
        <v>1</v>
      </c>
      <c r="Q180" s="4">
        <v>584</v>
      </c>
      <c r="R180" s="4">
        <v>13</v>
      </c>
    </row>
    <row r="181" spans="1:18" ht="15" x14ac:dyDescent="0.25">
      <c r="A181" s="4" t="s">
        <v>53</v>
      </c>
      <c r="B181" s="4" t="s">
        <v>29</v>
      </c>
      <c r="C181" s="4" t="s">
        <v>24</v>
      </c>
      <c r="D181" s="5">
        <v>42994</v>
      </c>
      <c r="E181" s="4">
        <v>8956</v>
      </c>
      <c r="F181" s="4">
        <v>15.725532510000001</v>
      </c>
      <c r="G181" s="4">
        <v>2987</v>
      </c>
      <c r="H181" s="4">
        <v>929</v>
      </c>
      <c r="I181" s="4">
        <v>808</v>
      </c>
      <c r="J181" s="4">
        <v>543</v>
      </c>
      <c r="K181" s="4">
        <v>438</v>
      </c>
      <c r="L181" s="4">
        <v>399</v>
      </c>
      <c r="M181" s="6">
        <v>6.9444444444444444E-5</v>
      </c>
      <c r="N181" s="4">
        <v>3024</v>
      </c>
      <c r="O181" s="4">
        <v>2</v>
      </c>
      <c r="P181" s="4">
        <v>1</v>
      </c>
      <c r="Q181" s="4">
        <v>3013</v>
      </c>
      <c r="R181" s="4">
        <v>21</v>
      </c>
    </row>
    <row r="182" spans="1:18" ht="15" x14ac:dyDescent="0.25">
      <c r="A182" s="4" t="s">
        <v>53</v>
      </c>
      <c r="B182" s="4" t="s">
        <v>29</v>
      </c>
      <c r="C182" s="4" t="s">
        <v>25</v>
      </c>
      <c r="D182" s="5">
        <v>42994</v>
      </c>
      <c r="E182" s="4">
        <v>76382</v>
      </c>
      <c r="F182" s="4">
        <v>211.36554369999999</v>
      </c>
      <c r="G182" s="4">
        <v>32534</v>
      </c>
      <c r="H182" s="4">
        <v>11039</v>
      </c>
      <c r="I182" s="4">
        <v>10078</v>
      </c>
      <c r="J182" s="4">
        <v>5296</v>
      </c>
      <c r="K182" s="4">
        <v>3764</v>
      </c>
      <c r="L182" s="4">
        <v>3231</v>
      </c>
      <c r="M182" s="6">
        <v>6.9444444444444444E-5</v>
      </c>
      <c r="N182" s="4">
        <v>32901</v>
      </c>
      <c r="O182" s="4">
        <v>45</v>
      </c>
      <c r="P182" s="4">
        <v>25</v>
      </c>
      <c r="Q182" s="4">
        <v>32864</v>
      </c>
      <c r="R182" s="4">
        <v>260</v>
      </c>
    </row>
    <row r="183" spans="1:18" ht="15" x14ac:dyDescent="0.25">
      <c r="A183" s="4" t="s">
        <v>53</v>
      </c>
      <c r="B183" s="4" t="s">
        <v>29</v>
      </c>
      <c r="C183" s="4" t="s">
        <v>26</v>
      </c>
      <c r="D183" s="5">
        <v>42994</v>
      </c>
      <c r="E183" s="4">
        <v>350691</v>
      </c>
      <c r="F183" s="4">
        <v>761.44946649999997</v>
      </c>
      <c r="G183" s="4">
        <v>132650</v>
      </c>
      <c r="H183" s="4">
        <v>52058</v>
      </c>
      <c r="I183" s="4">
        <v>47871</v>
      </c>
      <c r="J183" s="4">
        <v>27878</v>
      </c>
      <c r="K183" s="4">
        <v>20594</v>
      </c>
      <c r="L183" s="4">
        <v>18042</v>
      </c>
      <c r="M183" s="6">
        <v>6.9444444444444444E-5</v>
      </c>
      <c r="N183" s="4">
        <v>135061</v>
      </c>
      <c r="O183" s="4">
        <v>287</v>
      </c>
      <c r="P183" s="4">
        <v>145</v>
      </c>
      <c r="Q183" s="4">
        <v>134729</v>
      </c>
      <c r="R183" s="4">
        <v>1647</v>
      </c>
    </row>
    <row r="184" spans="1:18" ht="15" x14ac:dyDescent="0.25">
      <c r="A184" s="4" t="s">
        <v>54</v>
      </c>
      <c r="B184" s="4" t="s">
        <v>19</v>
      </c>
      <c r="C184" s="4" t="s">
        <v>20</v>
      </c>
      <c r="D184" s="5">
        <v>42995</v>
      </c>
      <c r="E184" s="4">
        <v>0</v>
      </c>
      <c r="F184" s="4">
        <v>3.9962434999999998E-2</v>
      </c>
      <c r="G184" s="4">
        <v>2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6">
        <v>3.3564814814814812E-4</v>
      </c>
      <c r="N184" s="4">
        <v>2</v>
      </c>
      <c r="O184" s="7"/>
      <c r="P184" s="7"/>
      <c r="Q184" s="4">
        <v>2</v>
      </c>
      <c r="R184" s="7"/>
    </row>
    <row r="185" spans="1:18" ht="15" x14ac:dyDescent="0.25">
      <c r="A185" s="4" t="s">
        <v>54</v>
      </c>
      <c r="B185" s="4" t="s">
        <v>19</v>
      </c>
      <c r="C185" s="4" t="s">
        <v>21</v>
      </c>
      <c r="D185" s="5">
        <v>42995</v>
      </c>
      <c r="E185" s="4">
        <v>28</v>
      </c>
      <c r="F185" s="4">
        <v>9.9906088000000004E-2</v>
      </c>
      <c r="G185" s="4">
        <v>10</v>
      </c>
      <c r="H185" s="4">
        <v>9</v>
      </c>
      <c r="I185" s="4">
        <v>9</v>
      </c>
      <c r="J185" s="4">
        <v>5</v>
      </c>
      <c r="K185" s="4">
        <v>4</v>
      </c>
      <c r="L185" s="4">
        <v>4</v>
      </c>
      <c r="M185" s="6">
        <v>1.8518518518518518E-4</v>
      </c>
      <c r="N185" s="4">
        <v>11</v>
      </c>
      <c r="O185" s="7"/>
      <c r="P185" s="7"/>
      <c r="Q185" s="4">
        <v>11</v>
      </c>
      <c r="R185" s="4">
        <v>1</v>
      </c>
    </row>
    <row r="186" spans="1:18" ht="15" x14ac:dyDescent="0.25">
      <c r="A186" s="4" t="s">
        <v>54</v>
      </c>
      <c r="B186" s="4" t="s">
        <v>19</v>
      </c>
      <c r="C186" s="4" t="s">
        <v>23</v>
      </c>
      <c r="D186" s="5">
        <v>42995</v>
      </c>
      <c r="E186" s="4">
        <v>1536</v>
      </c>
      <c r="F186" s="4">
        <v>7.4030411410000001</v>
      </c>
      <c r="G186" s="4">
        <v>845</v>
      </c>
      <c r="H186" s="4">
        <v>319</v>
      </c>
      <c r="I186" s="4">
        <v>235</v>
      </c>
      <c r="J186" s="4">
        <v>177</v>
      </c>
      <c r="K186" s="4">
        <v>137</v>
      </c>
      <c r="L186" s="4">
        <v>110</v>
      </c>
      <c r="M186" s="6">
        <v>1.0416666666666667E-4</v>
      </c>
      <c r="N186" s="4">
        <v>850</v>
      </c>
      <c r="O186" s="7"/>
      <c r="P186" s="4">
        <v>1</v>
      </c>
      <c r="Q186" s="4">
        <v>850</v>
      </c>
      <c r="R186" s="4">
        <v>4</v>
      </c>
    </row>
    <row r="187" spans="1:18" ht="15" x14ac:dyDescent="0.25">
      <c r="A187" s="4" t="s">
        <v>54</v>
      </c>
      <c r="B187" s="4" t="s">
        <v>19</v>
      </c>
      <c r="C187" s="4" t="s">
        <v>22</v>
      </c>
      <c r="D187" s="5">
        <v>42995</v>
      </c>
      <c r="E187" s="4">
        <v>2272</v>
      </c>
      <c r="F187" s="4">
        <v>13.18760365</v>
      </c>
      <c r="G187" s="4">
        <v>1261</v>
      </c>
      <c r="H187" s="4">
        <v>446</v>
      </c>
      <c r="I187" s="4">
        <v>325</v>
      </c>
      <c r="J187" s="4">
        <v>247</v>
      </c>
      <c r="K187" s="4">
        <v>189</v>
      </c>
      <c r="L187" s="4">
        <v>139</v>
      </c>
      <c r="M187" s="6">
        <v>1.1574074074074075E-4</v>
      </c>
      <c r="N187" s="4">
        <v>1267</v>
      </c>
      <c r="O187" s="4">
        <v>1</v>
      </c>
      <c r="P187" s="7"/>
      <c r="Q187" s="4">
        <v>1267</v>
      </c>
      <c r="R187" s="4">
        <v>5</v>
      </c>
    </row>
    <row r="188" spans="1:18" ht="15" x14ac:dyDescent="0.25">
      <c r="A188" s="4" t="s">
        <v>54</v>
      </c>
      <c r="B188" s="4" t="s">
        <v>19</v>
      </c>
      <c r="C188" s="4" t="s">
        <v>24</v>
      </c>
      <c r="D188" s="5">
        <v>42995</v>
      </c>
      <c r="E188" s="4">
        <v>17662</v>
      </c>
      <c r="F188" s="4">
        <v>44.757927549999998</v>
      </c>
      <c r="G188" s="4">
        <v>7334</v>
      </c>
      <c r="H188" s="4">
        <v>2868</v>
      </c>
      <c r="I188" s="4">
        <v>2313</v>
      </c>
      <c r="J188" s="4">
        <v>1858</v>
      </c>
      <c r="K188" s="4">
        <v>1652</v>
      </c>
      <c r="L188" s="4">
        <v>1414</v>
      </c>
      <c r="M188" s="6">
        <v>1.0416666666666667E-4</v>
      </c>
      <c r="N188" s="4">
        <v>7395</v>
      </c>
      <c r="O188" s="4">
        <v>5</v>
      </c>
      <c r="P188" s="4">
        <v>1</v>
      </c>
      <c r="Q188" s="4">
        <v>7356</v>
      </c>
      <c r="R188" s="4">
        <v>16</v>
      </c>
    </row>
    <row r="189" spans="1:18" ht="15" x14ac:dyDescent="0.25">
      <c r="A189" s="4" t="s">
        <v>54</v>
      </c>
      <c r="B189" s="4" t="s">
        <v>19</v>
      </c>
      <c r="C189" s="4" t="s">
        <v>25</v>
      </c>
      <c r="D189" s="5">
        <v>42995</v>
      </c>
      <c r="E189" s="4">
        <v>64250</v>
      </c>
      <c r="F189" s="4">
        <v>236.92728829999999</v>
      </c>
      <c r="G189" s="4">
        <v>27683</v>
      </c>
      <c r="H189" s="4">
        <v>11072</v>
      </c>
      <c r="I189" s="4">
        <v>8824</v>
      </c>
      <c r="J189" s="4">
        <v>7549</v>
      </c>
      <c r="K189" s="4">
        <v>6561</v>
      </c>
      <c r="L189" s="4">
        <v>4684</v>
      </c>
      <c r="M189" s="6">
        <v>1.0416666666666667E-4</v>
      </c>
      <c r="N189" s="4">
        <v>27848</v>
      </c>
      <c r="O189" s="4">
        <v>14</v>
      </c>
      <c r="P189" s="4">
        <v>11</v>
      </c>
      <c r="Q189" s="4">
        <v>27822</v>
      </c>
      <c r="R189" s="4">
        <v>114</v>
      </c>
    </row>
    <row r="190" spans="1:18" ht="15" x14ac:dyDescent="0.25">
      <c r="A190" s="4" t="s">
        <v>54</v>
      </c>
      <c r="B190" s="4" t="s">
        <v>19</v>
      </c>
      <c r="C190" s="4" t="s">
        <v>26</v>
      </c>
      <c r="D190" s="5">
        <v>42995</v>
      </c>
      <c r="E190" s="4">
        <v>284132</v>
      </c>
      <c r="F190" s="4">
        <v>697.58427080000001</v>
      </c>
      <c r="G190" s="4">
        <v>109189</v>
      </c>
      <c r="H190" s="4">
        <v>44923</v>
      </c>
      <c r="I190" s="4">
        <v>35729</v>
      </c>
      <c r="J190" s="4">
        <v>29275</v>
      </c>
      <c r="K190" s="4">
        <v>24831</v>
      </c>
      <c r="L190" s="4">
        <v>19033</v>
      </c>
      <c r="M190" s="6">
        <v>9.2592592592592588E-5</v>
      </c>
      <c r="N190" s="4">
        <v>110048</v>
      </c>
      <c r="O190" s="4">
        <v>57</v>
      </c>
      <c r="P190" s="4">
        <v>23</v>
      </c>
      <c r="Q190" s="4">
        <v>109835</v>
      </c>
      <c r="R190" s="4">
        <v>566</v>
      </c>
    </row>
    <row r="191" spans="1:18" ht="15" x14ac:dyDescent="0.25">
      <c r="A191" s="4" t="s">
        <v>55</v>
      </c>
      <c r="B191" s="4" t="s">
        <v>32</v>
      </c>
      <c r="C191" s="4" t="s">
        <v>20</v>
      </c>
      <c r="D191" s="5">
        <v>42995</v>
      </c>
      <c r="E191" s="4">
        <v>0</v>
      </c>
      <c r="F191" s="4">
        <v>2.9972425E-2</v>
      </c>
      <c r="G191" s="7"/>
      <c r="H191" s="7"/>
      <c r="I191" s="7"/>
      <c r="J191" s="7"/>
      <c r="K191" s="7"/>
      <c r="L191" s="7"/>
      <c r="M191" s="6">
        <v>0</v>
      </c>
      <c r="N191" s="4">
        <v>0</v>
      </c>
      <c r="O191" s="7"/>
      <c r="P191" s="7"/>
      <c r="Q191" s="7"/>
      <c r="R191" s="7"/>
    </row>
    <row r="192" spans="1:18" ht="15" x14ac:dyDescent="0.25">
      <c r="A192" s="4" t="s">
        <v>55</v>
      </c>
      <c r="B192" s="4" t="s">
        <v>32</v>
      </c>
      <c r="C192" s="4" t="s">
        <v>21</v>
      </c>
      <c r="D192" s="5">
        <v>42995</v>
      </c>
      <c r="E192" s="4">
        <v>37</v>
      </c>
      <c r="F192" s="4">
        <v>0.14986212700000001</v>
      </c>
      <c r="G192" s="4">
        <v>14</v>
      </c>
      <c r="H192" s="4">
        <v>4</v>
      </c>
      <c r="I192" s="4">
        <v>4</v>
      </c>
      <c r="J192" s="4">
        <v>2</v>
      </c>
      <c r="K192" s="7"/>
      <c r="L192" s="7"/>
      <c r="M192" s="6">
        <v>5.7870370370370373E-5</v>
      </c>
      <c r="N192" s="4">
        <v>14</v>
      </c>
      <c r="O192" s="7"/>
      <c r="P192" s="7"/>
      <c r="Q192" s="4">
        <v>14</v>
      </c>
      <c r="R192" s="7"/>
    </row>
    <row r="193" spans="1:18" ht="15" x14ac:dyDescent="0.25">
      <c r="A193" s="4" t="s">
        <v>55</v>
      </c>
      <c r="B193" s="4" t="s">
        <v>32</v>
      </c>
      <c r="C193" s="4" t="s">
        <v>22</v>
      </c>
      <c r="D193" s="5">
        <v>42995</v>
      </c>
      <c r="E193" s="4">
        <v>2284</v>
      </c>
      <c r="F193" s="4">
        <v>11.879071250000001</v>
      </c>
      <c r="G193" s="4">
        <v>1153</v>
      </c>
      <c r="H193" s="4">
        <v>317</v>
      </c>
      <c r="I193" s="4">
        <v>227</v>
      </c>
      <c r="J193" s="4">
        <v>114</v>
      </c>
      <c r="K193" s="4">
        <v>78</v>
      </c>
      <c r="L193" s="4">
        <v>37</v>
      </c>
      <c r="M193" s="6">
        <v>6.9444444444444444E-5</v>
      </c>
      <c r="N193" s="4">
        <v>1161</v>
      </c>
      <c r="O193" s="7"/>
      <c r="P193" s="4">
        <v>1</v>
      </c>
      <c r="Q193" s="4">
        <v>1160</v>
      </c>
      <c r="R193" s="4">
        <v>6</v>
      </c>
    </row>
    <row r="194" spans="1:18" ht="15" x14ac:dyDescent="0.25">
      <c r="A194" s="4" t="s">
        <v>55</v>
      </c>
      <c r="B194" s="4" t="s">
        <v>32</v>
      </c>
      <c r="C194" s="4" t="s">
        <v>23</v>
      </c>
      <c r="D194" s="5">
        <v>42995</v>
      </c>
      <c r="E194" s="4">
        <v>2688</v>
      </c>
      <c r="F194" s="4">
        <v>9.7510290529999999</v>
      </c>
      <c r="G194" s="4">
        <v>1329</v>
      </c>
      <c r="H194" s="4">
        <v>453</v>
      </c>
      <c r="I194" s="4">
        <v>335</v>
      </c>
      <c r="J194" s="4">
        <v>190</v>
      </c>
      <c r="K194" s="4">
        <v>142</v>
      </c>
      <c r="L194" s="4">
        <v>74</v>
      </c>
      <c r="M194" s="6">
        <v>8.1018518518518516E-5</v>
      </c>
      <c r="N194" s="4">
        <v>1347</v>
      </c>
      <c r="O194" s="4">
        <v>4</v>
      </c>
      <c r="P194" s="7"/>
      <c r="Q194" s="4">
        <v>1347</v>
      </c>
      <c r="R194" s="4">
        <v>14</v>
      </c>
    </row>
    <row r="195" spans="1:18" ht="15" x14ac:dyDescent="0.25">
      <c r="A195" s="4" t="s">
        <v>55</v>
      </c>
      <c r="B195" s="4" t="s">
        <v>32</v>
      </c>
      <c r="C195" s="4" t="s">
        <v>24</v>
      </c>
      <c r="D195" s="5">
        <v>42995</v>
      </c>
      <c r="E195" s="4">
        <v>26031</v>
      </c>
      <c r="F195" s="4">
        <v>70.664988210000004</v>
      </c>
      <c r="G195" s="4">
        <v>9836</v>
      </c>
      <c r="H195" s="4">
        <v>3101</v>
      </c>
      <c r="I195" s="4">
        <v>2455</v>
      </c>
      <c r="J195" s="4">
        <v>1517</v>
      </c>
      <c r="K195" s="4">
        <v>1251</v>
      </c>
      <c r="L195" s="4">
        <v>684</v>
      </c>
      <c r="M195" s="6">
        <v>6.9444444444444444E-5</v>
      </c>
      <c r="N195" s="4">
        <v>9929</v>
      </c>
      <c r="O195" s="4">
        <v>7</v>
      </c>
      <c r="P195" s="4">
        <v>6</v>
      </c>
      <c r="Q195" s="4">
        <v>9916</v>
      </c>
      <c r="R195" s="4">
        <v>54</v>
      </c>
    </row>
    <row r="196" spans="1:18" ht="15" x14ac:dyDescent="0.25">
      <c r="A196" s="4" t="s">
        <v>55</v>
      </c>
      <c r="B196" s="4" t="s">
        <v>32</v>
      </c>
      <c r="C196" s="4" t="s">
        <v>25</v>
      </c>
      <c r="D196" s="5">
        <v>42995</v>
      </c>
      <c r="E196" s="4">
        <v>52921</v>
      </c>
      <c r="F196" s="4">
        <v>178.86544380000001</v>
      </c>
      <c r="G196" s="4">
        <v>20650</v>
      </c>
      <c r="H196" s="4">
        <v>7746</v>
      </c>
      <c r="I196" s="4">
        <v>6173</v>
      </c>
      <c r="J196" s="4">
        <v>3961</v>
      </c>
      <c r="K196" s="4">
        <v>3158</v>
      </c>
      <c r="L196" s="4">
        <v>1121</v>
      </c>
      <c r="M196" s="6">
        <v>6.9444444444444444E-5</v>
      </c>
      <c r="N196" s="4">
        <v>20939</v>
      </c>
      <c r="O196" s="4">
        <v>29</v>
      </c>
      <c r="P196" s="4">
        <v>28</v>
      </c>
      <c r="Q196" s="4">
        <v>20908</v>
      </c>
      <c r="R196" s="4">
        <v>201</v>
      </c>
    </row>
    <row r="197" spans="1:18" ht="15" x14ac:dyDescent="0.25">
      <c r="A197" s="4" t="s">
        <v>55</v>
      </c>
      <c r="B197" s="4" t="s">
        <v>32</v>
      </c>
      <c r="C197" s="4" t="s">
        <v>26</v>
      </c>
      <c r="D197" s="5">
        <v>42995</v>
      </c>
      <c r="E197" s="4">
        <v>271005</v>
      </c>
      <c r="F197" s="4">
        <v>728.65963309999995</v>
      </c>
      <c r="G197" s="4">
        <v>97967</v>
      </c>
      <c r="H197" s="4">
        <v>41507</v>
      </c>
      <c r="I197" s="4">
        <v>33779</v>
      </c>
      <c r="J197" s="4">
        <v>21389</v>
      </c>
      <c r="K197" s="4">
        <v>17040</v>
      </c>
      <c r="L197" s="4">
        <v>7001</v>
      </c>
      <c r="M197" s="6">
        <v>8.1018518518518516E-5</v>
      </c>
      <c r="N197" s="4">
        <v>99942</v>
      </c>
      <c r="O197" s="4">
        <v>270</v>
      </c>
      <c r="P197" s="4">
        <v>86</v>
      </c>
      <c r="Q197" s="4">
        <v>99745</v>
      </c>
      <c r="R197" s="4">
        <v>1422</v>
      </c>
    </row>
    <row r="198" spans="1:18" ht="15" x14ac:dyDescent="0.25">
      <c r="A198" s="4" t="s">
        <v>56</v>
      </c>
      <c r="B198" s="4" t="s">
        <v>29</v>
      </c>
      <c r="C198" s="4" t="s">
        <v>20</v>
      </c>
      <c r="D198" s="5">
        <v>42996</v>
      </c>
      <c r="E198" s="4">
        <v>0</v>
      </c>
      <c r="F198" s="4">
        <v>7.9926468000000001E-2</v>
      </c>
      <c r="G198" s="4">
        <v>3</v>
      </c>
      <c r="H198" s="4">
        <v>2</v>
      </c>
      <c r="I198" s="4">
        <v>2</v>
      </c>
      <c r="J198" s="4">
        <v>2</v>
      </c>
      <c r="K198" s="4">
        <v>2</v>
      </c>
      <c r="L198" s="4">
        <v>2</v>
      </c>
      <c r="M198" s="6">
        <v>2.7777777777777778E-4</v>
      </c>
      <c r="N198" s="4">
        <v>3</v>
      </c>
      <c r="O198" s="7"/>
      <c r="P198" s="7"/>
      <c r="Q198" s="4">
        <v>3</v>
      </c>
      <c r="R198" s="7"/>
    </row>
    <row r="199" spans="1:18" ht="15" x14ac:dyDescent="0.25">
      <c r="A199" s="4" t="s">
        <v>56</v>
      </c>
      <c r="B199" s="4" t="s">
        <v>29</v>
      </c>
      <c r="C199" s="4" t="s">
        <v>21</v>
      </c>
      <c r="D199" s="5">
        <v>42996</v>
      </c>
      <c r="E199" s="4">
        <v>0</v>
      </c>
      <c r="F199" s="4">
        <v>7.9926468000000001E-2</v>
      </c>
      <c r="G199" s="4">
        <v>15</v>
      </c>
      <c r="H199" s="4">
        <v>7</v>
      </c>
      <c r="I199" s="4">
        <v>6</v>
      </c>
      <c r="J199" s="4">
        <v>5</v>
      </c>
      <c r="K199" s="4">
        <v>5</v>
      </c>
      <c r="L199" s="4">
        <v>6</v>
      </c>
      <c r="M199" s="6">
        <v>1.3888888888888889E-4</v>
      </c>
      <c r="N199" s="4">
        <v>16</v>
      </c>
      <c r="O199" s="7"/>
      <c r="P199" s="4">
        <v>1</v>
      </c>
      <c r="Q199" s="4">
        <v>16</v>
      </c>
      <c r="R199" s="7"/>
    </row>
    <row r="200" spans="1:18" ht="15" x14ac:dyDescent="0.25">
      <c r="A200" s="4" t="s">
        <v>56</v>
      </c>
      <c r="B200" s="4" t="s">
        <v>29</v>
      </c>
      <c r="C200" s="4" t="s">
        <v>23</v>
      </c>
      <c r="D200" s="5">
        <v>42996</v>
      </c>
      <c r="E200" s="4">
        <v>1152</v>
      </c>
      <c r="F200" s="4">
        <v>6.5639611560000004</v>
      </c>
      <c r="G200" s="4">
        <v>1015</v>
      </c>
      <c r="H200" s="4">
        <v>454</v>
      </c>
      <c r="I200" s="4">
        <v>389</v>
      </c>
      <c r="J200" s="4">
        <v>342</v>
      </c>
      <c r="K200" s="4">
        <v>318</v>
      </c>
      <c r="L200" s="4">
        <v>304</v>
      </c>
      <c r="M200" s="6">
        <v>1.273148148148148E-4</v>
      </c>
      <c r="N200" s="4">
        <v>1028</v>
      </c>
      <c r="O200" s="4">
        <v>3</v>
      </c>
      <c r="P200" s="7"/>
      <c r="Q200" s="4">
        <v>1026</v>
      </c>
      <c r="R200" s="4">
        <v>8</v>
      </c>
    </row>
    <row r="201" spans="1:18" ht="15" x14ac:dyDescent="0.25">
      <c r="A201" s="4" t="s">
        <v>56</v>
      </c>
      <c r="B201" s="4" t="s">
        <v>29</v>
      </c>
      <c r="C201" s="4" t="s">
        <v>22</v>
      </c>
      <c r="D201" s="5">
        <v>42996</v>
      </c>
      <c r="E201" s="4">
        <v>4601</v>
      </c>
      <c r="F201" s="4">
        <v>14.73644247</v>
      </c>
      <c r="G201" s="4">
        <v>1811</v>
      </c>
      <c r="H201" s="4">
        <v>749</v>
      </c>
      <c r="I201" s="4">
        <v>633</v>
      </c>
      <c r="J201" s="4">
        <v>580</v>
      </c>
      <c r="K201" s="4">
        <v>532</v>
      </c>
      <c r="L201" s="4">
        <v>500</v>
      </c>
      <c r="M201" s="6">
        <v>1.273148148148148E-4</v>
      </c>
      <c r="N201" s="4">
        <v>1821</v>
      </c>
      <c r="O201" s="4">
        <v>1</v>
      </c>
      <c r="P201" s="4">
        <v>3</v>
      </c>
      <c r="Q201" s="4">
        <v>1821</v>
      </c>
      <c r="R201" s="4">
        <v>6</v>
      </c>
    </row>
    <row r="202" spans="1:18" ht="15" x14ac:dyDescent="0.25">
      <c r="A202" s="4" t="s">
        <v>56</v>
      </c>
      <c r="B202" s="4" t="s">
        <v>29</v>
      </c>
      <c r="C202" s="4" t="s">
        <v>24</v>
      </c>
      <c r="D202" s="5">
        <v>42996</v>
      </c>
      <c r="E202" s="4">
        <v>26108</v>
      </c>
      <c r="F202" s="4">
        <v>41.24205731</v>
      </c>
      <c r="G202" s="4">
        <v>8474</v>
      </c>
      <c r="H202" s="4">
        <v>3661</v>
      </c>
      <c r="I202" s="4">
        <v>3178</v>
      </c>
      <c r="J202" s="4">
        <v>2841</v>
      </c>
      <c r="K202" s="4">
        <v>2682</v>
      </c>
      <c r="L202" s="4">
        <v>2597</v>
      </c>
      <c r="M202" s="6">
        <v>1.0416666666666667E-4</v>
      </c>
      <c r="N202" s="4">
        <v>8647</v>
      </c>
      <c r="O202" s="4">
        <v>20</v>
      </c>
      <c r="P202" s="4">
        <v>19</v>
      </c>
      <c r="Q202" s="4">
        <v>8613</v>
      </c>
      <c r="R202" s="4">
        <v>87</v>
      </c>
    </row>
    <row r="203" spans="1:18" ht="15" x14ac:dyDescent="0.25">
      <c r="A203" s="4" t="s">
        <v>56</v>
      </c>
      <c r="B203" s="4" t="s">
        <v>29</v>
      </c>
      <c r="C203" s="4" t="s">
        <v>25</v>
      </c>
      <c r="D203" s="5">
        <v>42996</v>
      </c>
      <c r="E203" s="4">
        <v>112367</v>
      </c>
      <c r="F203" s="4">
        <v>251.51860289999999</v>
      </c>
      <c r="G203" s="4">
        <v>37797</v>
      </c>
      <c r="H203" s="4">
        <v>16939</v>
      </c>
      <c r="I203" s="4">
        <v>14907</v>
      </c>
      <c r="J203" s="4">
        <v>13834</v>
      </c>
      <c r="K203" s="4">
        <v>12920</v>
      </c>
      <c r="L203" s="4">
        <v>12409</v>
      </c>
      <c r="M203" s="6">
        <v>1.1574074074074075E-4</v>
      </c>
      <c r="N203" s="4">
        <v>38253</v>
      </c>
      <c r="O203" s="4">
        <v>43</v>
      </c>
      <c r="P203" s="4">
        <v>90</v>
      </c>
      <c r="Q203" s="4">
        <v>38179</v>
      </c>
      <c r="R203" s="4">
        <v>249</v>
      </c>
    </row>
    <row r="204" spans="1:18" ht="15" x14ac:dyDescent="0.25">
      <c r="A204" s="4" t="s">
        <v>56</v>
      </c>
      <c r="B204" s="4" t="s">
        <v>29</v>
      </c>
      <c r="C204" s="4" t="s">
        <v>26</v>
      </c>
      <c r="D204" s="5">
        <v>42996</v>
      </c>
      <c r="E204" s="4">
        <v>348875</v>
      </c>
      <c r="F204" s="4">
        <v>685.77908319999995</v>
      </c>
      <c r="G204" s="4">
        <v>109231</v>
      </c>
      <c r="H204" s="4">
        <v>52380</v>
      </c>
      <c r="I204" s="4">
        <v>46600</v>
      </c>
      <c r="J204" s="4">
        <v>43171</v>
      </c>
      <c r="K204" s="4">
        <v>40641</v>
      </c>
      <c r="L204" s="4">
        <v>39271</v>
      </c>
      <c r="M204" s="6">
        <v>1.1574074074074075E-4</v>
      </c>
      <c r="N204" s="4">
        <v>111147</v>
      </c>
      <c r="O204" s="4">
        <v>270</v>
      </c>
      <c r="P204" s="4">
        <v>264</v>
      </c>
      <c r="Q204" s="4">
        <v>110826</v>
      </c>
      <c r="R204" s="4">
        <v>1060</v>
      </c>
    </row>
    <row r="205" spans="1:18" ht="15" x14ac:dyDescent="0.25">
      <c r="A205" s="4" t="s">
        <v>57</v>
      </c>
      <c r="B205" s="4" t="s">
        <v>19</v>
      </c>
      <c r="C205" s="4" t="s">
        <v>20</v>
      </c>
      <c r="D205" s="5">
        <v>42996</v>
      </c>
      <c r="E205" s="4">
        <v>0</v>
      </c>
      <c r="F205" s="4">
        <v>7.9926468000000001E-2</v>
      </c>
      <c r="G205" s="4">
        <v>4</v>
      </c>
      <c r="H205" s="4">
        <v>3</v>
      </c>
      <c r="I205" s="4">
        <v>3</v>
      </c>
      <c r="J205" s="4">
        <v>3</v>
      </c>
      <c r="K205" s="4">
        <v>3</v>
      </c>
      <c r="L205" s="4">
        <v>2</v>
      </c>
      <c r="M205" s="6">
        <v>3.5879629629629629E-4</v>
      </c>
      <c r="N205" s="4">
        <v>4</v>
      </c>
      <c r="O205" s="7"/>
      <c r="P205" s="7"/>
      <c r="Q205" s="4">
        <v>4</v>
      </c>
      <c r="R205" s="7"/>
    </row>
    <row r="206" spans="1:18" ht="15" x14ac:dyDescent="0.25">
      <c r="A206" s="4" t="s">
        <v>57</v>
      </c>
      <c r="B206" s="4" t="s">
        <v>19</v>
      </c>
      <c r="C206" s="4" t="s">
        <v>21</v>
      </c>
      <c r="D206" s="5">
        <v>42996</v>
      </c>
      <c r="E206" s="4">
        <v>0</v>
      </c>
      <c r="F206" s="4">
        <v>0.189825361</v>
      </c>
      <c r="G206" s="4">
        <v>29</v>
      </c>
      <c r="H206" s="4">
        <v>7</v>
      </c>
      <c r="I206" s="4">
        <v>7</v>
      </c>
      <c r="J206" s="4">
        <v>3</v>
      </c>
      <c r="K206" s="4">
        <v>3</v>
      </c>
      <c r="L206" s="4">
        <v>3</v>
      </c>
      <c r="M206" s="6">
        <v>9.2592592592592588E-5</v>
      </c>
      <c r="N206" s="4">
        <v>30</v>
      </c>
      <c r="O206" s="7"/>
      <c r="P206" s="7"/>
      <c r="Q206" s="4">
        <v>30</v>
      </c>
      <c r="R206" s="4">
        <v>1</v>
      </c>
    </row>
    <row r="207" spans="1:18" ht="15" x14ac:dyDescent="0.25">
      <c r="A207" s="4" t="s">
        <v>57</v>
      </c>
      <c r="B207" s="4" t="s">
        <v>19</v>
      </c>
      <c r="C207" s="4" t="s">
        <v>22</v>
      </c>
      <c r="D207" s="5">
        <v>42996</v>
      </c>
      <c r="E207" s="4">
        <v>1510</v>
      </c>
      <c r="F207" s="4">
        <v>6.653878432</v>
      </c>
      <c r="G207" s="4">
        <v>710</v>
      </c>
      <c r="H207" s="4">
        <v>187</v>
      </c>
      <c r="I207" s="4">
        <v>160</v>
      </c>
      <c r="J207" s="4">
        <v>78</v>
      </c>
      <c r="K207" s="4">
        <v>58</v>
      </c>
      <c r="L207" s="4">
        <v>39</v>
      </c>
      <c r="M207" s="6">
        <v>6.9444444444444444E-5</v>
      </c>
      <c r="N207" s="4">
        <v>715</v>
      </c>
      <c r="O207" s="4">
        <v>1</v>
      </c>
      <c r="P207" s="4">
        <v>1</v>
      </c>
      <c r="Q207" s="4">
        <v>715</v>
      </c>
      <c r="R207" s="4">
        <v>3</v>
      </c>
    </row>
    <row r="208" spans="1:18" ht="15" x14ac:dyDescent="0.25">
      <c r="A208" s="4" t="s">
        <v>57</v>
      </c>
      <c r="B208" s="4" t="s">
        <v>19</v>
      </c>
      <c r="C208" s="4" t="s">
        <v>23</v>
      </c>
      <c r="D208" s="5">
        <v>42996</v>
      </c>
      <c r="E208" s="4">
        <v>1605</v>
      </c>
      <c r="F208" s="4">
        <v>4.395955721</v>
      </c>
      <c r="G208" s="4">
        <v>745</v>
      </c>
      <c r="H208" s="4">
        <v>207</v>
      </c>
      <c r="I208" s="4">
        <v>186</v>
      </c>
      <c r="J208" s="4">
        <v>107</v>
      </c>
      <c r="K208" s="4">
        <v>73</v>
      </c>
      <c r="L208" s="4">
        <v>49</v>
      </c>
      <c r="M208" s="6">
        <v>6.9444444444444444E-5</v>
      </c>
      <c r="N208" s="4">
        <v>758</v>
      </c>
      <c r="O208" s="4">
        <v>2</v>
      </c>
      <c r="P208" s="4">
        <v>2</v>
      </c>
      <c r="Q208" s="4">
        <v>756</v>
      </c>
      <c r="R208" s="4">
        <v>7</v>
      </c>
    </row>
    <row r="209" spans="1:18" ht="15" x14ac:dyDescent="0.25">
      <c r="A209" s="4" t="s">
        <v>57</v>
      </c>
      <c r="B209" s="4" t="s">
        <v>19</v>
      </c>
      <c r="C209" s="4" t="s">
        <v>24</v>
      </c>
      <c r="D209" s="5">
        <v>42996</v>
      </c>
      <c r="E209" s="4">
        <v>19069</v>
      </c>
      <c r="F209" s="4">
        <v>26.685449389999999</v>
      </c>
      <c r="G209" s="4">
        <v>5528</v>
      </c>
      <c r="H209" s="4">
        <v>2202</v>
      </c>
      <c r="I209" s="4">
        <v>2073</v>
      </c>
      <c r="J209" s="4">
        <v>1529</v>
      </c>
      <c r="K209" s="4">
        <v>1341</v>
      </c>
      <c r="L209" s="4">
        <v>1156</v>
      </c>
      <c r="M209" s="6">
        <v>9.2592592592592588E-5</v>
      </c>
      <c r="N209" s="4">
        <v>5607</v>
      </c>
      <c r="O209" s="4">
        <v>3</v>
      </c>
      <c r="P209" s="4">
        <v>9</v>
      </c>
      <c r="Q209" s="4">
        <v>5593</v>
      </c>
      <c r="R209" s="4">
        <v>37</v>
      </c>
    </row>
    <row r="210" spans="1:18" ht="15" x14ac:dyDescent="0.25">
      <c r="A210" s="4" t="s">
        <v>57</v>
      </c>
      <c r="B210" s="4" t="s">
        <v>19</v>
      </c>
      <c r="C210" s="4" t="s">
        <v>25</v>
      </c>
      <c r="D210" s="5">
        <v>42996</v>
      </c>
      <c r="E210" s="4">
        <v>83058</v>
      </c>
      <c r="F210" s="4">
        <v>234.34440309999999</v>
      </c>
      <c r="G210" s="4">
        <v>40783</v>
      </c>
      <c r="H210" s="4">
        <v>10845</v>
      </c>
      <c r="I210" s="4">
        <v>9744</v>
      </c>
      <c r="J210" s="4">
        <v>5825</v>
      </c>
      <c r="K210" s="4">
        <v>4501</v>
      </c>
      <c r="L210" s="4">
        <v>3400</v>
      </c>
      <c r="M210" s="6">
        <v>5.7870370370370373E-5</v>
      </c>
      <c r="N210" s="4">
        <v>41204</v>
      </c>
      <c r="O210" s="4">
        <v>44</v>
      </c>
      <c r="P210" s="4">
        <v>74</v>
      </c>
      <c r="Q210" s="4">
        <v>41176</v>
      </c>
      <c r="R210" s="4">
        <v>275</v>
      </c>
    </row>
    <row r="211" spans="1:18" ht="15" x14ac:dyDescent="0.25">
      <c r="A211" s="4" t="s">
        <v>57</v>
      </c>
      <c r="B211" s="4" t="s">
        <v>19</v>
      </c>
      <c r="C211" s="4" t="s">
        <v>26</v>
      </c>
      <c r="D211" s="5">
        <v>42996</v>
      </c>
      <c r="E211" s="4">
        <v>347974</v>
      </c>
      <c r="F211" s="4">
        <v>727.65056149999998</v>
      </c>
      <c r="G211" s="4">
        <v>162358</v>
      </c>
      <c r="H211" s="4">
        <v>47769</v>
      </c>
      <c r="I211" s="4">
        <v>43180</v>
      </c>
      <c r="J211" s="4">
        <v>26756</v>
      </c>
      <c r="K211" s="4">
        <v>20915</v>
      </c>
      <c r="L211" s="4">
        <v>16614</v>
      </c>
      <c r="M211" s="6">
        <v>6.9444444444444444E-5</v>
      </c>
      <c r="N211" s="4">
        <v>164269</v>
      </c>
      <c r="O211" s="4">
        <v>205</v>
      </c>
      <c r="P211" s="4">
        <v>200</v>
      </c>
      <c r="Q211" s="4">
        <v>164059</v>
      </c>
      <c r="R211" s="4">
        <v>1296</v>
      </c>
    </row>
    <row r="212" spans="1:18" ht="15" x14ac:dyDescent="0.25">
      <c r="A212" s="4" t="s">
        <v>58</v>
      </c>
      <c r="B212" s="4" t="s">
        <v>32</v>
      </c>
      <c r="C212" s="4" t="s">
        <v>21</v>
      </c>
      <c r="D212" s="5">
        <v>42997</v>
      </c>
      <c r="E212" s="4">
        <v>0</v>
      </c>
      <c r="F212" s="4">
        <v>4.9953044000000002E-2</v>
      </c>
      <c r="G212" s="4">
        <v>13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6">
        <v>8.1018518518518516E-5</v>
      </c>
      <c r="N212" s="4">
        <v>13</v>
      </c>
      <c r="O212" s="7"/>
      <c r="P212" s="7"/>
      <c r="Q212" s="4">
        <v>13</v>
      </c>
      <c r="R212" s="7"/>
    </row>
    <row r="213" spans="1:18" ht="15" x14ac:dyDescent="0.25">
      <c r="A213" s="4" t="s">
        <v>58</v>
      </c>
      <c r="B213" s="4" t="s">
        <v>32</v>
      </c>
      <c r="C213" s="4" t="s">
        <v>20</v>
      </c>
      <c r="D213" s="5">
        <v>42997</v>
      </c>
      <c r="E213" s="4">
        <v>47</v>
      </c>
      <c r="F213" s="4">
        <v>3.9962434999999998E-2</v>
      </c>
      <c r="G213" s="4">
        <v>6</v>
      </c>
      <c r="H213" s="4">
        <v>4</v>
      </c>
      <c r="I213" s="4">
        <v>3</v>
      </c>
      <c r="J213" s="4">
        <v>3</v>
      </c>
      <c r="K213" s="4">
        <v>3</v>
      </c>
      <c r="L213" s="4">
        <v>3</v>
      </c>
      <c r="M213" s="6">
        <v>3.4722222222222224E-4</v>
      </c>
      <c r="N213" s="4">
        <v>7</v>
      </c>
      <c r="O213" s="7"/>
      <c r="P213" s="7"/>
      <c r="Q213" s="4">
        <v>7</v>
      </c>
      <c r="R213" s="4">
        <v>1</v>
      </c>
    </row>
    <row r="214" spans="1:18" ht="15" x14ac:dyDescent="0.25">
      <c r="A214" s="4" t="s">
        <v>58</v>
      </c>
      <c r="B214" s="4" t="s">
        <v>32</v>
      </c>
      <c r="C214" s="4" t="s">
        <v>22</v>
      </c>
      <c r="D214" s="5">
        <v>42997</v>
      </c>
      <c r="E214" s="4">
        <v>1152</v>
      </c>
      <c r="F214" s="4">
        <v>2.637520731</v>
      </c>
      <c r="G214" s="4">
        <v>495</v>
      </c>
      <c r="H214" s="4">
        <v>137</v>
      </c>
      <c r="I214" s="4">
        <v>93</v>
      </c>
      <c r="J214" s="4">
        <v>61</v>
      </c>
      <c r="K214" s="4">
        <v>51</v>
      </c>
      <c r="L214" s="4">
        <v>41</v>
      </c>
      <c r="M214" s="6">
        <v>6.9444444444444444E-5</v>
      </c>
      <c r="N214" s="4">
        <v>501</v>
      </c>
      <c r="O214" s="7"/>
      <c r="P214" s="7"/>
      <c r="Q214" s="4">
        <v>499</v>
      </c>
      <c r="R214" s="4">
        <v>4</v>
      </c>
    </row>
    <row r="215" spans="1:18" ht="15" x14ac:dyDescent="0.25">
      <c r="A215" s="4" t="s">
        <v>58</v>
      </c>
      <c r="B215" s="4" t="s">
        <v>32</v>
      </c>
      <c r="C215" s="4" t="s">
        <v>23</v>
      </c>
      <c r="D215" s="5">
        <v>42997</v>
      </c>
      <c r="E215" s="4">
        <v>2711</v>
      </c>
      <c r="F215" s="4">
        <v>4.3758866669999996</v>
      </c>
      <c r="G215" s="4">
        <v>1080</v>
      </c>
      <c r="H215" s="4">
        <v>439</v>
      </c>
      <c r="I215" s="4">
        <v>325</v>
      </c>
      <c r="J215" s="4">
        <v>214</v>
      </c>
      <c r="K215" s="4">
        <v>160</v>
      </c>
      <c r="L215" s="4">
        <v>129</v>
      </c>
      <c r="M215" s="6">
        <v>9.2592592592592588E-5</v>
      </c>
      <c r="N215" s="4">
        <v>1092</v>
      </c>
      <c r="O215" s="4">
        <v>3</v>
      </c>
      <c r="P215" s="7"/>
      <c r="Q215" s="4">
        <v>1091</v>
      </c>
      <c r="R215" s="4">
        <v>8</v>
      </c>
    </row>
    <row r="216" spans="1:18" ht="15" x14ac:dyDescent="0.25">
      <c r="A216" s="4" t="s">
        <v>58</v>
      </c>
      <c r="B216" s="4" t="s">
        <v>32</v>
      </c>
      <c r="C216" s="4" t="s">
        <v>24</v>
      </c>
      <c r="D216" s="5">
        <v>42997</v>
      </c>
      <c r="E216" s="4">
        <v>21500</v>
      </c>
      <c r="F216" s="4">
        <v>28.902831339999999</v>
      </c>
      <c r="G216" s="4">
        <v>8768</v>
      </c>
      <c r="H216" s="4">
        <v>3242</v>
      </c>
      <c r="I216" s="4">
        <v>2395</v>
      </c>
      <c r="J216" s="4">
        <v>1644</v>
      </c>
      <c r="K216" s="4">
        <v>1380</v>
      </c>
      <c r="L216" s="4">
        <v>1122</v>
      </c>
      <c r="M216" s="6">
        <v>8.1018518518518516E-5</v>
      </c>
      <c r="N216" s="4">
        <v>8871</v>
      </c>
      <c r="O216" s="4">
        <v>21</v>
      </c>
      <c r="P216" s="4">
        <v>5</v>
      </c>
      <c r="Q216" s="4">
        <v>8859</v>
      </c>
      <c r="R216" s="4">
        <v>65</v>
      </c>
    </row>
    <row r="217" spans="1:18" ht="15" x14ac:dyDescent="0.25">
      <c r="A217" s="4" t="s">
        <v>58</v>
      </c>
      <c r="B217" s="4" t="s">
        <v>32</v>
      </c>
      <c r="C217" s="4" t="s">
        <v>25</v>
      </c>
      <c r="D217" s="5">
        <v>42997</v>
      </c>
      <c r="E217" s="4">
        <v>60534</v>
      </c>
      <c r="F217" s="4">
        <v>92.073450960000002</v>
      </c>
      <c r="G217" s="4">
        <v>21429</v>
      </c>
      <c r="H217" s="4">
        <v>7333</v>
      </c>
      <c r="I217" s="4">
        <v>5418</v>
      </c>
      <c r="J217" s="4">
        <v>3856</v>
      </c>
      <c r="K217" s="4">
        <v>2938</v>
      </c>
      <c r="L217" s="4">
        <v>2312</v>
      </c>
      <c r="M217" s="6">
        <v>6.9444444444444444E-5</v>
      </c>
      <c r="N217" s="4">
        <v>21753</v>
      </c>
      <c r="O217" s="4">
        <v>57</v>
      </c>
      <c r="P217" s="4">
        <v>38</v>
      </c>
      <c r="Q217" s="4">
        <v>21720</v>
      </c>
      <c r="R217" s="4">
        <v>196</v>
      </c>
    </row>
    <row r="218" spans="1:18" ht="15" x14ac:dyDescent="0.25">
      <c r="A218" s="4" t="s">
        <v>58</v>
      </c>
      <c r="B218" s="4" t="s">
        <v>32</v>
      </c>
      <c r="C218" s="4" t="s">
        <v>26</v>
      </c>
      <c r="D218" s="5">
        <v>42997</v>
      </c>
      <c r="E218" s="4">
        <v>569887</v>
      </c>
      <c r="F218" s="4">
        <v>871.92039480000005</v>
      </c>
      <c r="G218" s="4">
        <v>230447</v>
      </c>
      <c r="H218" s="4">
        <v>86630</v>
      </c>
      <c r="I218" s="4">
        <v>65834</v>
      </c>
      <c r="J218" s="4">
        <v>44748</v>
      </c>
      <c r="K218" s="4">
        <v>32654</v>
      </c>
      <c r="L218" s="4">
        <v>26236</v>
      </c>
      <c r="M218" s="6">
        <v>8.1018518518518516E-5</v>
      </c>
      <c r="N218" s="4">
        <v>234017</v>
      </c>
      <c r="O218" s="4">
        <v>653</v>
      </c>
      <c r="P218" s="4">
        <v>288</v>
      </c>
      <c r="Q218" s="4">
        <v>233598</v>
      </c>
      <c r="R218" s="4">
        <v>2209</v>
      </c>
    </row>
    <row r="219" spans="1:18" ht="15" x14ac:dyDescent="0.25">
      <c r="A219" s="4" t="s">
        <v>59</v>
      </c>
      <c r="B219" s="4" t="s">
        <v>29</v>
      </c>
      <c r="C219" s="4" t="s">
        <v>21</v>
      </c>
      <c r="D219" s="5">
        <v>42997</v>
      </c>
      <c r="E219" s="4">
        <v>0</v>
      </c>
      <c r="F219" s="4">
        <v>8.9915479000000006E-2</v>
      </c>
      <c r="G219" s="4">
        <v>16</v>
      </c>
      <c r="H219" s="4">
        <v>8</v>
      </c>
      <c r="I219" s="4">
        <v>7</v>
      </c>
      <c r="J219" s="4">
        <v>1</v>
      </c>
      <c r="K219" s="4">
        <v>1</v>
      </c>
      <c r="L219" s="4">
        <v>1</v>
      </c>
      <c r="M219" s="6">
        <v>8.1018518518518516E-5</v>
      </c>
      <c r="N219" s="4">
        <v>16</v>
      </c>
      <c r="O219" s="7"/>
      <c r="P219" s="7"/>
      <c r="Q219" s="4">
        <v>16</v>
      </c>
      <c r="R219" s="7"/>
    </row>
    <row r="220" spans="1:18" ht="15" x14ac:dyDescent="0.25">
      <c r="A220" s="4" t="s">
        <v>59</v>
      </c>
      <c r="B220" s="4" t="s">
        <v>29</v>
      </c>
      <c r="C220" s="4" t="s">
        <v>20</v>
      </c>
      <c r="D220" s="5">
        <v>42997</v>
      </c>
      <c r="E220" s="4">
        <v>0</v>
      </c>
      <c r="F220" s="4">
        <v>0</v>
      </c>
      <c r="G220" s="4">
        <v>1</v>
      </c>
      <c r="H220" s="4">
        <v>1</v>
      </c>
      <c r="I220" s="4">
        <v>1</v>
      </c>
      <c r="J220" s="7"/>
      <c r="K220" s="7"/>
      <c r="L220" s="7"/>
      <c r="M220" s="6">
        <v>2.199074074074074E-4</v>
      </c>
      <c r="N220" s="4">
        <v>1</v>
      </c>
      <c r="O220" s="7"/>
      <c r="P220" s="7"/>
      <c r="Q220" s="4">
        <v>1</v>
      </c>
      <c r="R220" s="7"/>
    </row>
    <row r="221" spans="1:18" ht="15" x14ac:dyDescent="0.25">
      <c r="A221" s="4" t="s">
        <v>59</v>
      </c>
      <c r="B221" s="4" t="s">
        <v>29</v>
      </c>
      <c r="C221" s="4" t="s">
        <v>22</v>
      </c>
      <c r="D221" s="5">
        <v>42997</v>
      </c>
      <c r="E221" s="4">
        <v>1025</v>
      </c>
      <c r="F221" s="4">
        <v>3.506703699</v>
      </c>
      <c r="G221" s="4">
        <v>546</v>
      </c>
      <c r="H221" s="4">
        <v>207</v>
      </c>
      <c r="I221" s="4">
        <v>168</v>
      </c>
      <c r="J221" s="4">
        <v>65</v>
      </c>
      <c r="K221" s="4">
        <v>47</v>
      </c>
      <c r="L221" s="4">
        <v>22</v>
      </c>
      <c r="M221" s="6">
        <v>6.9444444444444444E-5</v>
      </c>
      <c r="N221" s="4">
        <v>546</v>
      </c>
      <c r="O221" s="7"/>
      <c r="P221" s="7"/>
      <c r="Q221" s="4">
        <v>546</v>
      </c>
      <c r="R221" s="7"/>
    </row>
    <row r="222" spans="1:18" ht="15" x14ac:dyDescent="0.25">
      <c r="A222" s="4" t="s">
        <v>59</v>
      </c>
      <c r="B222" s="4" t="s">
        <v>29</v>
      </c>
      <c r="C222" s="4" t="s">
        <v>23</v>
      </c>
      <c r="D222" s="5">
        <v>42997</v>
      </c>
      <c r="E222" s="4">
        <v>1025</v>
      </c>
      <c r="F222" s="4">
        <v>2.3078306390000001</v>
      </c>
      <c r="G222" s="4">
        <v>476</v>
      </c>
      <c r="H222" s="4">
        <v>221</v>
      </c>
      <c r="I222" s="4">
        <v>185</v>
      </c>
      <c r="J222" s="4">
        <v>74</v>
      </c>
      <c r="K222" s="4">
        <v>50</v>
      </c>
      <c r="L222" s="4">
        <v>27</v>
      </c>
      <c r="M222" s="6">
        <v>6.9444444444444444E-5</v>
      </c>
      <c r="N222" s="4">
        <v>488</v>
      </c>
      <c r="O222" s="4">
        <v>5</v>
      </c>
      <c r="P222" s="7"/>
      <c r="Q222" s="4">
        <v>486</v>
      </c>
      <c r="R222" s="4">
        <v>5</v>
      </c>
    </row>
    <row r="223" spans="1:18" ht="15" x14ac:dyDescent="0.25">
      <c r="A223" s="4" t="s">
        <v>59</v>
      </c>
      <c r="B223" s="4" t="s">
        <v>29</v>
      </c>
      <c r="C223" s="4" t="s">
        <v>24</v>
      </c>
      <c r="D223" s="5">
        <v>42997</v>
      </c>
      <c r="E223" s="4">
        <v>6706</v>
      </c>
      <c r="F223" s="4">
        <v>9.4511159510000002</v>
      </c>
      <c r="G223" s="4">
        <v>2909</v>
      </c>
      <c r="H223" s="4">
        <v>1164</v>
      </c>
      <c r="I223" s="4">
        <v>955</v>
      </c>
      <c r="J223" s="4">
        <v>400</v>
      </c>
      <c r="K223" s="4">
        <v>310</v>
      </c>
      <c r="L223" s="4">
        <v>182</v>
      </c>
      <c r="M223" s="6">
        <v>6.9444444444444444E-5</v>
      </c>
      <c r="N223" s="4">
        <v>2923</v>
      </c>
      <c r="O223" s="4">
        <v>2</v>
      </c>
      <c r="P223" s="7"/>
      <c r="Q223" s="4">
        <v>2922</v>
      </c>
      <c r="R223" s="4">
        <v>7</v>
      </c>
    </row>
    <row r="224" spans="1:18" ht="15" x14ac:dyDescent="0.25">
      <c r="A224" s="4" t="s">
        <v>59</v>
      </c>
      <c r="B224" s="4" t="s">
        <v>29</v>
      </c>
      <c r="C224" s="4" t="s">
        <v>25</v>
      </c>
      <c r="D224" s="5">
        <v>42997</v>
      </c>
      <c r="E224" s="4">
        <v>99673</v>
      </c>
      <c r="F224" s="4">
        <v>250.19481690000001</v>
      </c>
      <c r="G224" s="4">
        <v>48809</v>
      </c>
      <c r="H224" s="4">
        <v>18844</v>
      </c>
      <c r="I224" s="4">
        <v>14844</v>
      </c>
      <c r="J224" s="4">
        <v>5723</v>
      </c>
      <c r="K224" s="4">
        <v>4134</v>
      </c>
      <c r="L224" s="4">
        <v>1673</v>
      </c>
      <c r="M224" s="6">
        <v>6.9444444444444444E-5</v>
      </c>
      <c r="N224" s="4">
        <v>49126</v>
      </c>
      <c r="O224" s="4">
        <v>19</v>
      </c>
      <c r="P224" s="4">
        <v>11</v>
      </c>
      <c r="Q224" s="4">
        <v>49079</v>
      </c>
      <c r="R224" s="4">
        <v>240</v>
      </c>
    </row>
    <row r="225" spans="1:18" ht="15" x14ac:dyDescent="0.25">
      <c r="A225" s="4" t="s">
        <v>59</v>
      </c>
      <c r="B225" s="4" t="s">
        <v>29</v>
      </c>
      <c r="C225" s="4" t="s">
        <v>26</v>
      </c>
      <c r="D225" s="5">
        <v>42997</v>
      </c>
      <c r="E225" s="4">
        <v>368968</v>
      </c>
      <c r="F225" s="4">
        <v>734.44961739999997</v>
      </c>
      <c r="G225" s="4">
        <v>163872</v>
      </c>
      <c r="H225" s="4">
        <v>73064</v>
      </c>
      <c r="I225" s="4">
        <v>58707</v>
      </c>
      <c r="J225" s="4">
        <v>25037</v>
      </c>
      <c r="K225" s="4">
        <v>18611</v>
      </c>
      <c r="L225" s="4">
        <v>8474</v>
      </c>
      <c r="M225" s="6">
        <v>6.9444444444444444E-5</v>
      </c>
      <c r="N225" s="4">
        <v>165742</v>
      </c>
      <c r="O225" s="4">
        <v>233</v>
      </c>
      <c r="P225" s="4">
        <v>50</v>
      </c>
      <c r="Q225" s="4">
        <v>165478</v>
      </c>
      <c r="R225" s="4">
        <v>1323</v>
      </c>
    </row>
    <row r="226" spans="1:18" ht="15" x14ac:dyDescent="0.25">
      <c r="A226" s="4" t="s">
        <v>60</v>
      </c>
      <c r="B226" s="4" t="s">
        <v>19</v>
      </c>
      <c r="C226" s="4" t="s">
        <v>20</v>
      </c>
      <c r="D226" s="5">
        <v>42998</v>
      </c>
      <c r="E226" s="4">
        <v>0</v>
      </c>
      <c r="F226" s="4">
        <v>9.9908080000000003E-3</v>
      </c>
      <c r="G226" s="7"/>
      <c r="H226" s="7"/>
      <c r="I226" s="7"/>
      <c r="J226" s="7"/>
      <c r="K226" s="7"/>
      <c r="L226" s="7"/>
      <c r="M226" s="6">
        <v>1.1574074074074073E-5</v>
      </c>
      <c r="N226" s="4">
        <v>0</v>
      </c>
      <c r="O226" s="7"/>
      <c r="P226" s="7"/>
      <c r="Q226" s="7"/>
      <c r="R226" s="7"/>
    </row>
    <row r="227" spans="1:18" ht="15" x14ac:dyDescent="0.25">
      <c r="A227" s="4" t="s">
        <v>60</v>
      </c>
      <c r="B227" s="4" t="s">
        <v>19</v>
      </c>
      <c r="C227" s="4" t="s">
        <v>21</v>
      </c>
      <c r="D227" s="5">
        <v>42998</v>
      </c>
      <c r="E227" s="4">
        <v>0</v>
      </c>
      <c r="F227" s="4">
        <v>4.9954041999999997E-2</v>
      </c>
      <c r="G227" s="4">
        <v>7</v>
      </c>
      <c r="H227" s="4">
        <v>2</v>
      </c>
      <c r="I227" s="4">
        <v>2</v>
      </c>
      <c r="J227" s="4">
        <v>2</v>
      </c>
      <c r="K227" s="4">
        <v>2</v>
      </c>
      <c r="L227" s="4">
        <v>2</v>
      </c>
      <c r="M227" s="6">
        <v>1.3888888888888889E-4</v>
      </c>
      <c r="N227" s="4">
        <v>7</v>
      </c>
      <c r="O227" s="7"/>
      <c r="P227" s="7"/>
      <c r="Q227" s="4">
        <v>7</v>
      </c>
      <c r="R227" s="7"/>
    </row>
    <row r="228" spans="1:18" ht="15" x14ac:dyDescent="0.25">
      <c r="A228" s="4" t="s">
        <v>60</v>
      </c>
      <c r="B228" s="4" t="s">
        <v>19</v>
      </c>
      <c r="C228" s="4" t="s">
        <v>22</v>
      </c>
      <c r="D228" s="5">
        <v>42998</v>
      </c>
      <c r="E228" s="4">
        <v>3584</v>
      </c>
      <c r="F228" s="4">
        <v>19.252287899999999</v>
      </c>
      <c r="G228" s="4">
        <v>2067</v>
      </c>
      <c r="H228" s="4">
        <v>786</v>
      </c>
      <c r="I228" s="4">
        <v>697</v>
      </c>
      <c r="J228" s="4">
        <v>548</v>
      </c>
      <c r="K228" s="4">
        <v>375</v>
      </c>
      <c r="L228" s="4">
        <v>285</v>
      </c>
      <c r="M228" s="6">
        <v>1.273148148148148E-4</v>
      </c>
      <c r="N228" s="4">
        <v>2080</v>
      </c>
      <c r="O228" s="4">
        <v>3</v>
      </c>
      <c r="P228" s="4">
        <v>1</v>
      </c>
      <c r="Q228" s="4">
        <v>2080</v>
      </c>
      <c r="R228" s="4">
        <v>9</v>
      </c>
    </row>
    <row r="229" spans="1:18" ht="15" x14ac:dyDescent="0.25">
      <c r="A229" s="4" t="s">
        <v>60</v>
      </c>
      <c r="B229" s="4" t="s">
        <v>19</v>
      </c>
      <c r="C229" s="4" t="s">
        <v>23</v>
      </c>
      <c r="D229" s="5">
        <v>42998</v>
      </c>
      <c r="E229" s="4">
        <v>4224</v>
      </c>
      <c r="F229" s="4">
        <v>12.058905810000001</v>
      </c>
      <c r="G229" s="4">
        <v>2055</v>
      </c>
      <c r="H229" s="4">
        <v>979</v>
      </c>
      <c r="I229" s="4">
        <v>877</v>
      </c>
      <c r="J229" s="4">
        <v>752</v>
      </c>
      <c r="K229" s="4">
        <v>577</v>
      </c>
      <c r="L229" s="4">
        <v>463</v>
      </c>
      <c r="M229" s="6">
        <v>1.3888888888888889E-4</v>
      </c>
      <c r="N229" s="4">
        <v>2079</v>
      </c>
      <c r="O229" s="4">
        <v>2</v>
      </c>
      <c r="P229" s="4">
        <v>2</v>
      </c>
      <c r="Q229" s="4">
        <v>2079</v>
      </c>
      <c r="R229" s="4">
        <v>20</v>
      </c>
    </row>
    <row r="230" spans="1:18" ht="15" x14ac:dyDescent="0.25">
      <c r="A230" s="4" t="s">
        <v>60</v>
      </c>
      <c r="B230" s="4" t="s">
        <v>19</v>
      </c>
      <c r="C230" s="4" t="s">
        <v>24</v>
      </c>
      <c r="D230" s="5">
        <v>42998</v>
      </c>
      <c r="E230" s="4">
        <v>13822</v>
      </c>
      <c r="F230" s="4">
        <v>19.881708830000001</v>
      </c>
      <c r="G230" s="4">
        <v>4822</v>
      </c>
      <c r="H230" s="4">
        <v>1890</v>
      </c>
      <c r="I230" s="4">
        <v>1573</v>
      </c>
      <c r="J230" s="4">
        <v>1301</v>
      </c>
      <c r="K230" s="4">
        <v>1139</v>
      </c>
      <c r="L230" s="4">
        <v>1011</v>
      </c>
      <c r="M230" s="6">
        <v>1.0416666666666667E-4</v>
      </c>
      <c r="N230" s="4">
        <v>4909</v>
      </c>
      <c r="O230" s="4">
        <v>4</v>
      </c>
      <c r="P230" s="4">
        <v>7</v>
      </c>
      <c r="Q230" s="4">
        <v>4890</v>
      </c>
      <c r="R230" s="4">
        <v>45</v>
      </c>
    </row>
    <row r="231" spans="1:18" ht="15" x14ac:dyDescent="0.25">
      <c r="A231" s="4" t="s">
        <v>60</v>
      </c>
      <c r="B231" s="4" t="s">
        <v>19</v>
      </c>
      <c r="C231" s="4" t="s">
        <v>25</v>
      </c>
      <c r="D231" s="5">
        <v>42998</v>
      </c>
      <c r="E231" s="4">
        <v>59517</v>
      </c>
      <c r="F231" s="4">
        <v>163.65943329999999</v>
      </c>
      <c r="G231" s="4">
        <v>21494</v>
      </c>
      <c r="H231" s="4">
        <v>9387</v>
      </c>
      <c r="I231" s="4">
        <v>8426</v>
      </c>
      <c r="J231" s="4">
        <v>6815</v>
      </c>
      <c r="K231" s="4">
        <v>5225</v>
      </c>
      <c r="L231" s="4">
        <v>4066</v>
      </c>
      <c r="M231" s="6">
        <v>1.0416666666666667E-4</v>
      </c>
      <c r="N231" s="4">
        <v>21738</v>
      </c>
      <c r="O231" s="4">
        <v>40</v>
      </c>
      <c r="P231" s="4">
        <v>26</v>
      </c>
      <c r="Q231" s="4">
        <v>21718</v>
      </c>
      <c r="R231" s="4">
        <v>158</v>
      </c>
    </row>
    <row r="232" spans="1:18" ht="15" x14ac:dyDescent="0.25">
      <c r="A232" s="4" t="s">
        <v>60</v>
      </c>
      <c r="B232" s="4" t="s">
        <v>19</v>
      </c>
      <c r="C232" s="4" t="s">
        <v>26</v>
      </c>
      <c r="D232" s="5">
        <v>42998</v>
      </c>
      <c r="E232" s="4">
        <v>354904</v>
      </c>
      <c r="F232" s="4">
        <v>785.0877193</v>
      </c>
      <c r="G232" s="4">
        <v>131905</v>
      </c>
      <c r="H232" s="4">
        <v>64768</v>
      </c>
      <c r="I232" s="4">
        <v>59624</v>
      </c>
      <c r="J232" s="4">
        <v>50563</v>
      </c>
      <c r="K232" s="4">
        <v>41261</v>
      </c>
      <c r="L232" s="4">
        <v>33439</v>
      </c>
      <c r="M232" s="6">
        <v>1.1574074074074075E-4</v>
      </c>
      <c r="N232" s="4">
        <v>134328</v>
      </c>
      <c r="O232" s="4">
        <v>405</v>
      </c>
      <c r="P232" s="4">
        <v>141</v>
      </c>
      <c r="Q232" s="4">
        <v>134060</v>
      </c>
      <c r="R232" s="4">
        <v>1608</v>
      </c>
    </row>
    <row r="233" spans="1:18" ht="15" x14ac:dyDescent="0.25">
      <c r="A233" s="4" t="s">
        <v>61</v>
      </c>
      <c r="B233" s="4" t="s">
        <v>32</v>
      </c>
      <c r="C233" s="4" t="s">
        <v>20</v>
      </c>
      <c r="D233" s="5">
        <v>42980</v>
      </c>
      <c r="E233" s="4">
        <v>0</v>
      </c>
      <c r="F233" s="4">
        <v>1.4985014990000001</v>
      </c>
      <c r="G233" s="4">
        <v>42</v>
      </c>
      <c r="H233" s="4">
        <v>36</v>
      </c>
      <c r="I233" s="4">
        <v>15</v>
      </c>
      <c r="J233" s="4">
        <v>9</v>
      </c>
      <c r="K233" s="4">
        <v>8</v>
      </c>
      <c r="L233" s="4">
        <v>7</v>
      </c>
      <c r="M233" s="6">
        <v>2.6620370370370372E-4</v>
      </c>
      <c r="N233" s="4">
        <v>42</v>
      </c>
      <c r="O233" s="7"/>
      <c r="P233" s="7"/>
      <c r="Q233" s="4">
        <v>42</v>
      </c>
      <c r="R233" s="7"/>
    </row>
    <row r="234" spans="1:18" ht="15" x14ac:dyDescent="0.25">
      <c r="A234" s="4" t="s">
        <v>61</v>
      </c>
      <c r="B234" s="4" t="s">
        <v>32</v>
      </c>
      <c r="C234" s="4" t="s">
        <v>21</v>
      </c>
      <c r="D234" s="5">
        <v>42980</v>
      </c>
      <c r="E234" s="4">
        <v>0</v>
      </c>
      <c r="F234" s="4">
        <v>1.9980020000000001E-2</v>
      </c>
      <c r="G234" s="4">
        <v>5</v>
      </c>
      <c r="H234" s="4">
        <v>2</v>
      </c>
      <c r="I234" s="4">
        <v>2</v>
      </c>
      <c r="J234" s="4">
        <v>2</v>
      </c>
      <c r="K234" s="4">
        <v>2</v>
      </c>
      <c r="L234" s="4">
        <v>2</v>
      </c>
      <c r="M234" s="6">
        <v>2.3148148148148149E-4</v>
      </c>
      <c r="N234" s="4">
        <v>5</v>
      </c>
      <c r="O234" s="7"/>
      <c r="P234" s="7"/>
      <c r="Q234" s="4">
        <v>5</v>
      </c>
      <c r="R234" s="7"/>
    </row>
    <row r="235" spans="1:18" ht="15" x14ac:dyDescent="0.25">
      <c r="A235" s="4" t="s">
        <v>61</v>
      </c>
      <c r="B235" s="4" t="s">
        <v>32</v>
      </c>
      <c r="C235" s="4" t="s">
        <v>23</v>
      </c>
      <c r="D235" s="5">
        <v>42980</v>
      </c>
      <c r="E235" s="4">
        <v>2792</v>
      </c>
      <c r="F235" s="4">
        <v>5.7842157839999997</v>
      </c>
      <c r="G235" s="4">
        <v>1079</v>
      </c>
      <c r="H235" s="4">
        <v>486</v>
      </c>
      <c r="I235" s="4">
        <v>359</v>
      </c>
      <c r="J235" s="4">
        <v>310</v>
      </c>
      <c r="K235" s="4">
        <v>280</v>
      </c>
      <c r="L235" s="4">
        <v>264</v>
      </c>
      <c r="M235" s="6">
        <v>1.5046296296296297E-4</v>
      </c>
      <c r="N235" s="4">
        <v>1110</v>
      </c>
      <c r="O235" s="4">
        <v>9</v>
      </c>
      <c r="P235" s="4">
        <v>2</v>
      </c>
      <c r="Q235" s="4">
        <v>1109</v>
      </c>
      <c r="R235" s="4">
        <v>19</v>
      </c>
    </row>
    <row r="236" spans="1:18" ht="15" x14ac:dyDescent="0.25">
      <c r="A236" s="4" t="s">
        <v>61</v>
      </c>
      <c r="B236" s="4" t="s">
        <v>32</v>
      </c>
      <c r="C236" s="4" t="s">
        <v>22</v>
      </c>
      <c r="D236" s="5">
        <v>42980</v>
      </c>
      <c r="E236" s="4">
        <v>2792</v>
      </c>
      <c r="F236" s="4">
        <v>5.7842157839999997</v>
      </c>
      <c r="G236" s="4">
        <v>1069</v>
      </c>
      <c r="H236" s="4">
        <v>478</v>
      </c>
      <c r="I236" s="4">
        <v>389</v>
      </c>
      <c r="J236" s="4">
        <v>335</v>
      </c>
      <c r="K236" s="4">
        <v>302</v>
      </c>
      <c r="L236" s="4">
        <v>282</v>
      </c>
      <c r="M236" s="6">
        <v>1.5046296296296297E-4</v>
      </c>
      <c r="N236" s="4">
        <v>1085</v>
      </c>
      <c r="O236" s="4">
        <v>4</v>
      </c>
      <c r="P236" s="7"/>
      <c r="Q236" s="4">
        <v>1085</v>
      </c>
      <c r="R236" s="4">
        <v>12</v>
      </c>
    </row>
    <row r="237" spans="1:18" ht="15" x14ac:dyDescent="0.25">
      <c r="A237" s="4" t="s">
        <v>61</v>
      </c>
      <c r="B237" s="4" t="s">
        <v>32</v>
      </c>
      <c r="C237" s="4" t="s">
        <v>24</v>
      </c>
      <c r="D237" s="5">
        <v>42980</v>
      </c>
      <c r="E237" s="4">
        <v>23934</v>
      </c>
      <c r="F237" s="4">
        <v>28.361638360000001</v>
      </c>
      <c r="G237" s="4">
        <v>7883</v>
      </c>
      <c r="H237" s="4">
        <v>3324</v>
      </c>
      <c r="I237" s="4">
        <v>2740</v>
      </c>
      <c r="J237" s="4">
        <v>2339</v>
      </c>
      <c r="K237" s="4">
        <v>2128</v>
      </c>
      <c r="L237" s="4">
        <v>2031</v>
      </c>
      <c r="M237" s="6">
        <v>1.3888888888888889E-4</v>
      </c>
      <c r="N237" s="4">
        <v>8113</v>
      </c>
      <c r="O237" s="4">
        <v>50</v>
      </c>
      <c r="P237" s="4">
        <v>17</v>
      </c>
      <c r="Q237" s="4">
        <v>8089</v>
      </c>
      <c r="R237" s="4">
        <v>139</v>
      </c>
    </row>
    <row r="238" spans="1:18" ht="15" x14ac:dyDescent="0.25">
      <c r="A238" s="4" t="s">
        <v>61</v>
      </c>
      <c r="B238" s="4" t="s">
        <v>32</v>
      </c>
      <c r="C238" s="4" t="s">
        <v>25</v>
      </c>
      <c r="D238" s="5">
        <v>42980</v>
      </c>
      <c r="E238" s="4">
        <v>102774</v>
      </c>
      <c r="F238" s="4">
        <v>211.71828170000001</v>
      </c>
      <c r="G238" s="4">
        <v>38266</v>
      </c>
      <c r="H238" s="4">
        <v>17044</v>
      </c>
      <c r="I238" s="4">
        <v>13821</v>
      </c>
      <c r="J238" s="4">
        <v>12141</v>
      </c>
      <c r="K238" s="4">
        <v>11089</v>
      </c>
      <c r="L238" s="4">
        <v>10379</v>
      </c>
      <c r="M238" s="6">
        <v>1.273148148148148E-4</v>
      </c>
      <c r="N238" s="4">
        <v>38976</v>
      </c>
      <c r="O238" s="4">
        <v>128</v>
      </c>
      <c r="P238" s="4">
        <v>65</v>
      </c>
      <c r="Q238" s="4">
        <v>38916</v>
      </c>
      <c r="R238" s="4">
        <v>457</v>
      </c>
    </row>
    <row r="239" spans="1:18" ht="15" x14ac:dyDescent="0.25">
      <c r="A239" s="4" t="s">
        <v>61</v>
      </c>
      <c r="B239" s="4" t="s">
        <v>32</v>
      </c>
      <c r="C239" s="4" t="s">
        <v>26</v>
      </c>
      <c r="D239" s="5">
        <v>42980</v>
      </c>
      <c r="E239" s="4">
        <v>429784</v>
      </c>
      <c r="F239" s="4">
        <v>746.83316679999996</v>
      </c>
      <c r="G239" s="4">
        <v>151755</v>
      </c>
      <c r="H239" s="4">
        <v>64837</v>
      </c>
      <c r="I239" s="4">
        <v>50957</v>
      </c>
      <c r="J239" s="4">
        <v>43673</v>
      </c>
      <c r="K239" s="4">
        <v>39564</v>
      </c>
      <c r="L239" s="4">
        <v>37411</v>
      </c>
      <c r="M239" s="6">
        <v>1.1574074074074075E-4</v>
      </c>
      <c r="N239" s="4">
        <v>156700</v>
      </c>
      <c r="O239" s="4">
        <v>1155</v>
      </c>
      <c r="P239" s="4">
        <v>284</v>
      </c>
      <c r="Q239" s="4">
        <v>156260</v>
      </c>
      <c r="R239" s="4">
        <v>3065</v>
      </c>
    </row>
    <row r="240" spans="1:18" ht="15" x14ac:dyDescent="0.25">
      <c r="A240" s="4" t="s">
        <v>62</v>
      </c>
      <c r="B240" s="4" t="s">
        <v>32</v>
      </c>
      <c r="C240" s="4" t="s">
        <v>21</v>
      </c>
      <c r="D240" s="5">
        <v>42998</v>
      </c>
      <c r="E240" s="4">
        <v>0</v>
      </c>
      <c r="F240" s="4">
        <v>3.9960040000000002E-2</v>
      </c>
      <c r="G240" s="4">
        <v>7</v>
      </c>
      <c r="H240" s="4">
        <v>3</v>
      </c>
      <c r="I240" s="4">
        <v>3</v>
      </c>
      <c r="J240" s="4">
        <v>3</v>
      </c>
      <c r="K240" s="4">
        <v>3</v>
      </c>
      <c r="L240" s="4">
        <v>2</v>
      </c>
      <c r="M240" s="6">
        <v>2.0833333333333335E-4</v>
      </c>
      <c r="N240" s="4">
        <v>7</v>
      </c>
      <c r="O240" s="7"/>
      <c r="P240" s="7"/>
      <c r="Q240" s="4">
        <v>7</v>
      </c>
      <c r="R240" s="7"/>
    </row>
    <row r="241" spans="1:18" ht="15" x14ac:dyDescent="0.25">
      <c r="A241" s="4" t="s">
        <v>62</v>
      </c>
      <c r="B241" s="4" t="s">
        <v>32</v>
      </c>
      <c r="C241" s="4" t="s">
        <v>20</v>
      </c>
      <c r="D241" s="5">
        <v>42998</v>
      </c>
      <c r="E241" s="4">
        <v>40</v>
      </c>
      <c r="F241" s="4">
        <v>3.9960040000000002E-2</v>
      </c>
      <c r="G241" s="4">
        <v>2</v>
      </c>
      <c r="H241" s="4">
        <v>2</v>
      </c>
      <c r="I241" s="4">
        <v>2</v>
      </c>
      <c r="J241" s="4">
        <v>2</v>
      </c>
      <c r="K241" s="4">
        <v>2</v>
      </c>
      <c r="L241" s="4">
        <v>2</v>
      </c>
      <c r="M241" s="6">
        <v>4.6296296296296298E-4</v>
      </c>
      <c r="N241" s="4">
        <v>2</v>
      </c>
      <c r="O241" s="7"/>
      <c r="P241" s="7"/>
      <c r="Q241" s="4">
        <v>2</v>
      </c>
      <c r="R241" s="7"/>
    </row>
    <row r="242" spans="1:18" ht="15" x14ac:dyDescent="0.25">
      <c r="A242" s="4" t="s">
        <v>62</v>
      </c>
      <c r="B242" s="4" t="s">
        <v>32</v>
      </c>
      <c r="C242" s="4" t="s">
        <v>22</v>
      </c>
      <c r="D242" s="5">
        <v>42998</v>
      </c>
      <c r="E242" s="4">
        <v>3327</v>
      </c>
      <c r="F242" s="4">
        <v>9.8801198800000005</v>
      </c>
      <c r="G242" s="4">
        <v>1794</v>
      </c>
      <c r="H242" s="4">
        <v>776</v>
      </c>
      <c r="I242" s="4">
        <v>671</v>
      </c>
      <c r="J242" s="4">
        <v>478</v>
      </c>
      <c r="K242" s="4">
        <v>411</v>
      </c>
      <c r="L242" s="4">
        <v>381</v>
      </c>
      <c r="M242" s="6">
        <v>1.273148148148148E-4</v>
      </c>
      <c r="N242" s="4">
        <v>1827</v>
      </c>
      <c r="O242" s="4">
        <v>17</v>
      </c>
      <c r="P242" s="4">
        <v>1</v>
      </c>
      <c r="Q242" s="4">
        <v>1826</v>
      </c>
      <c r="R242" s="4">
        <v>14</v>
      </c>
    </row>
    <row r="243" spans="1:18" ht="15" x14ac:dyDescent="0.25">
      <c r="A243" s="4" t="s">
        <v>62</v>
      </c>
      <c r="B243" s="4" t="s">
        <v>32</v>
      </c>
      <c r="C243" s="4" t="s">
        <v>23</v>
      </c>
      <c r="D243" s="5">
        <v>42998</v>
      </c>
      <c r="E243" s="4">
        <v>4095</v>
      </c>
      <c r="F243" s="4">
        <v>7.8021978020000002</v>
      </c>
      <c r="G243" s="4">
        <v>1914</v>
      </c>
      <c r="H243" s="4">
        <v>841</v>
      </c>
      <c r="I243" s="4">
        <v>715</v>
      </c>
      <c r="J243" s="4">
        <v>532</v>
      </c>
      <c r="K243" s="4">
        <v>458</v>
      </c>
      <c r="L243" s="4">
        <v>422</v>
      </c>
      <c r="M243" s="6">
        <v>1.3888888888888889E-4</v>
      </c>
      <c r="N243" s="4">
        <v>1988</v>
      </c>
      <c r="O243" s="4">
        <v>26</v>
      </c>
      <c r="P243" s="7"/>
      <c r="Q243" s="4">
        <v>1982</v>
      </c>
      <c r="R243" s="4">
        <v>42</v>
      </c>
    </row>
    <row r="244" spans="1:18" ht="15" x14ac:dyDescent="0.25">
      <c r="A244" s="4" t="s">
        <v>62</v>
      </c>
      <c r="B244" s="4" t="s">
        <v>32</v>
      </c>
      <c r="C244" s="4" t="s">
        <v>24</v>
      </c>
      <c r="D244" s="5">
        <v>42998</v>
      </c>
      <c r="E244" s="4">
        <v>23338</v>
      </c>
      <c r="F244" s="4">
        <v>33.17682318</v>
      </c>
      <c r="G244" s="4">
        <v>9427</v>
      </c>
      <c r="H244" s="4">
        <v>3505</v>
      </c>
      <c r="I244" s="4">
        <v>2794</v>
      </c>
      <c r="J244" s="4">
        <v>2060</v>
      </c>
      <c r="K244" s="4">
        <v>1773</v>
      </c>
      <c r="L244" s="4">
        <v>1572</v>
      </c>
      <c r="M244" s="6">
        <v>1.0416666666666667E-4</v>
      </c>
      <c r="N244" s="4">
        <v>9608</v>
      </c>
      <c r="O244" s="4">
        <v>64</v>
      </c>
      <c r="P244" s="4">
        <v>10</v>
      </c>
      <c r="Q244" s="4">
        <v>9578</v>
      </c>
      <c r="R244" s="4">
        <v>77</v>
      </c>
    </row>
    <row r="245" spans="1:18" ht="15" x14ac:dyDescent="0.25">
      <c r="A245" s="4" t="s">
        <v>62</v>
      </c>
      <c r="B245" s="4" t="s">
        <v>32</v>
      </c>
      <c r="C245" s="4" t="s">
        <v>25</v>
      </c>
      <c r="D245" s="5">
        <v>42998</v>
      </c>
      <c r="E245" s="4">
        <v>86639</v>
      </c>
      <c r="F245" s="4">
        <v>183.976024</v>
      </c>
      <c r="G245" s="4">
        <v>34147</v>
      </c>
      <c r="H245" s="4">
        <v>16421</v>
      </c>
      <c r="I245" s="4">
        <v>14527</v>
      </c>
      <c r="J245" s="4">
        <v>11054</v>
      </c>
      <c r="K245" s="4">
        <v>9670</v>
      </c>
      <c r="L245" s="4">
        <v>8823</v>
      </c>
      <c r="M245" s="6">
        <v>1.1574074074074075E-4</v>
      </c>
      <c r="N245" s="4">
        <v>35072</v>
      </c>
      <c r="O245" s="4">
        <v>299</v>
      </c>
      <c r="P245" s="4">
        <v>69</v>
      </c>
      <c r="Q245" s="4">
        <v>35018</v>
      </c>
      <c r="R245" s="4">
        <v>503</v>
      </c>
    </row>
    <row r="246" spans="1:18" ht="15" x14ac:dyDescent="0.25">
      <c r="A246" s="4" t="s">
        <v>62</v>
      </c>
      <c r="B246" s="4" t="s">
        <v>32</v>
      </c>
      <c r="C246" s="4" t="s">
        <v>26</v>
      </c>
      <c r="D246" s="5">
        <v>42998</v>
      </c>
      <c r="E246" s="4">
        <v>494237</v>
      </c>
      <c r="F246" s="4">
        <v>765.08491509999999</v>
      </c>
      <c r="G246" s="4">
        <v>195005</v>
      </c>
      <c r="H246" s="4">
        <v>88257</v>
      </c>
      <c r="I246" s="4">
        <v>75866</v>
      </c>
      <c r="J246" s="4">
        <v>56991</v>
      </c>
      <c r="K246" s="4">
        <v>48942</v>
      </c>
      <c r="L246" s="4">
        <v>45422</v>
      </c>
      <c r="M246" s="6">
        <v>1.1574074074074075E-4</v>
      </c>
      <c r="N246" s="4">
        <v>201771</v>
      </c>
      <c r="O246" s="4">
        <v>2292</v>
      </c>
      <c r="P246" s="4">
        <v>267</v>
      </c>
      <c r="Q246" s="4">
        <v>201287</v>
      </c>
      <c r="R246" s="4">
        <v>3723</v>
      </c>
    </row>
    <row r="247" spans="1:18" ht="15" x14ac:dyDescent="0.25">
      <c r="A247" s="4" t="s">
        <v>63</v>
      </c>
      <c r="B247" s="4" t="s">
        <v>19</v>
      </c>
      <c r="C247" s="4" t="s">
        <v>21</v>
      </c>
      <c r="D247" s="5">
        <v>42999</v>
      </c>
      <c r="E247" s="4">
        <v>0</v>
      </c>
      <c r="F247" s="4">
        <v>0.14985913200000001</v>
      </c>
      <c r="G247" s="4">
        <v>18</v>
      </c>
      <c r="H247" s="4">
        <v>11</v>
      </c>
      <c r="I247" s="4">
        <v>10</v>
      </c>
      <c r="J247" s="4">
        <v>10</v>
      </c>
      <c r="K247" s="4">
        <v>9</v>
      </c>
      <c r="L247" s="4">
        <v>8</v>
      </c>
      <c r="M247" s="6">
        <v>1.9675925925925926E-4</v>
      </c>
      <c r="N247" s="4">
        <v>19</v>
      </c>
      <c r="O247" s="7"/>
      <c r="P247" s="7"/>
      <c r="Q247" s="4">
        <v>19</v>
      </c>
      <c r="R247" s="4">
        <v>1</v>
      </c>
    </row>
    <row r="248" spans="1:18" ht="15" x14ac:dyDescent="0.25">
      <c r="A248" s="4" t="s">
        <v>63</v>
      </c>
      <c r="B248" s="4" t="s">
        <v>19</v>
      </c>
      <c r="C248" s="4" t="s">
        <v>20</v>
      </c>
      <c r="D248" s="5">
        <v>42999</v>
      </c>
      <c r="E248" s="4">
        <v>291</v>
      </c>
      <c r="F248" s="4">
        <v>0.42959617999999999</v>
      </c>
      <c r="G248" s="4">
        <v>18</v>
      </c>
      <c r="H248" s="4">
        <v>17</v>
      </c>
      <c r="I248" s="4">
        <v>17</v>
      </c>
      <c r="J248" s="4">
        <v>15</v>
      </c>
      <c r="K248" s="4">
        <v>14</v>
      </c>
      <c r="L248" s="4">
        <v>12</v>
      </c>
      <c r="M248" s="6">
        <v>4.5138888888888887E-4</v>
      </c>
      <c r="N248" s="4">
        <v>18</v>
      </c>
      <c r="O248" s="7"/>
      <c r="P248" s="7"/>
      <c r="Q248" s="4">
        <v>18</v>
      </c>
      <c r="R248" s="7"/>
    </row>
    <row r="249" spans="1:18" ht="15" x14ac:dyDescent="0.25">
      <c r="A249" s="4" t="s">
        <v>63</v>
      </c>
      <c r="B249" s="4" t="s">
        <v>19</v>
      </c>
      <c r="C249" s="4" t="s">
        <v>23</v>
      </c>
      <c r="D249" s="5">
        <v>42999</v>
      </c>
      <c r="E249" s="4">
        <v>1408</v>
      </c>
      <c r="F249" s="4">
        <v>5.2450696350000001</v>
      </c>
      <c r="G249" s="4">
        <v>614</v>
      </c>
      <c r="H249" s="4">
        <v>297</v>
      </c>
      <c r="I249" s="4">
        <v>256</v>
      </c>
      <c r="J249" s="4">
        <v>208</v>
      </c>
      <c r="K249" s="4">
        <v>181</v>
      </c>
      <c r="L249" s="4">
        <v>163</v>
      </c>
      <c r="M249" s="6">
        <v>1.273148148148148E-4</v>
      </c>
      <c r="N249" s="4">
        <v>632</v>
      </c>
      <c r="O249" s="7"/>
      <c r="P249" s="4">
        <v>1</v>
      </c>
      <c r="Q249" s="4">
        <v>632</v>
      </c>
      <c r="R249" s="4">
        <v>17</v>
      </c>
    </row>
    <row r="250" spans="1:18" ht="15" x14ac:dyDescent="0.25">
      <c r="A250" s="4" t="s">
        <v>63</v>
      </c>
      <c r="B250" s="4" t="s">
        <v>19</v>
      </c>
      <c r="C250" s="4" t="s">
        <v>22</v>
      </c>
      <c r="D250" s="5">
        <v>42999</v>
      </c>
      <c r="E250" s="4">
        <v>1408</v>
      </c>
      <c r="F250" s="4">
        <v>6.0642995580000001</v>
      </c>
      <c r="G250" s="4">
        <v>679</v>
      </c>
      <c r="H250" s="4">
        <v>333</v>
      </c>
      <c r="I250" s="4">
        <v>294</v>
      </c>
      <c r="J250" s="4">
        <v>251</v>
      </c>
      <c r="K250" s="4">
        <v>200</v>
      </c>
      <c r="L250" s="4">
        <v>181</v>
      </c>
      <c r="M250" s="6">
        <v>1.5046296296296297E-4</v>
      </c>
      <c r="N250" s="4">
        <v>684</v>
      </c>
      <c r="O250" s="7"/>
      <c r="P250" s="7"/>
      <c r="Q250" s="4">
        <v>682</v>
      </c>
      <c r="R250" s="4">
        <v>3</v>
      </c>
    </row>
    <row r="251" spans="1:18" ht="15" x14ac:dyDescent="0.25">
      <c r="A251" s="4" t="s">
        <v>63</v>
      </c>
      <c r="B251" s="4" t="s">
        <v>19</v>
      </c>
      <c r="C251" s="4" t="s">
        <v>25</v>
      </c>
      <c r="D251" s="5">
        <v>42999</v>
      </c>
      <c r="E251" s="4">
        <v>51129</v>
      </c>
      <c r="F251" s="4">
        <v>157.33210779999999</v>
      </c>
      <c r="G251" s="4">
        <v>18360</v>
      </c>
      <c r="H251" s="4">
        <v>8922</v>
      </c>
      <c r="I251" s="4">
        <v>7895</v>
      </c>
      <c r="J251" s="4">
        <v>6660</v>
      </c>
      <c r="K251" s="4">
        <v>5283</v>
      </c>
      <c r="L251" s="4">
        <v>4663</v>
      </c>
      <c r="M251" s="6">
        <v>1.1574074074074075E-4</v>
      </c>
      <c r="N251" s="4">
        <v>18686</v>
      </c>
      <c r="O251" s="4">
        <v>23</v>
      </c>
      <c r="P251" s="4">
        <v>15</v>
      </c>
      <c r="Q251" s="4">
        <v>18641</v>
      </c>
      <c r="R251" s="4">
        <v>243</v>
      </c>
    </row>
    <row r="252" spans="1:18" ht="15" x14ac:dyDescent="0.25">
      <c r="A252" s="4" t="s">
        <v>63</v>
      </c>
      <c r="B252" s="4" t="s">
        <v>19</v>
      </c>
      <c r="C252" s="4" t="s">
        <v>24</v>
      </c>
      <c r="D252" s="5">
        <v>42999</v>
      </c>
      <c r="E252" s="4">
        <v>74038</v>
      </c>
      <c r="F252" s="4">
        <v>186.73446960000001</v>
      </c>
      <c r="G252" s="4">
        <v>23562</v>
      </c>
      <c r="H252" s="4">
        <v>12105</v>
      </c>
      <c r="I252" s="4">
        <v>10702</v>
      </c>
      <c r="J252" s="4">
        <v>9080</v>
      </c>
      <c r="K252" s="4">
        <v>7611</v>
      </c>
      <c r="L252" s="4">
        <v>6831</v>
      </c>
      <c r="M252" s="6">
        <v>1.273148148148148E-4</v>
      </c>
      <c r="N252" s="4">
        <v>23888</v>
      </c>
      <c r="O252" s="4">
        <v>27</v>
      </c>
      <c r="P252" s="4">
        <v>21</v>
      </c>
      <c r="Q252" s="4">
        <v>23809</v>
      </c>
      <c r="R252" s="4">
        <v>198</v>
      </c>
    </row>
    <row r="253" spans="1:18" ht="15" x14ac:dyDescent="0.25">
      <c r="A253" s="4" t="s">
        <v>63</v>
      </c>
      <c r="B253" s="4" t="s">
        <v>19</v>
      </c>
      <c r="C253" s="4" t="s">
        <v>26</v>
      </c>
      <c r="D253" s="5">
        <v>42999</v>
      </c>
      <c r="E253" s="4">
        <v>245790</v>
      </c>
      <c r="F253" s="4">
        <v>644.04459810000003</v>
      </c>
      <c r="G253" s="4">
        <v>80710</v>
      </c>
      <c r="H253" s="4">
        <v>43946</v>
      </c>
      <c r="I253" s="4">
        <v>39052</v>
      </c>
      <c r="J253" s="4">
        <v>33541</v>
      </c>
      <c r="K253" s="4">
        <v>27158</v>
      </c>
      <c r="L253" s="4">
        <v>24317</v>
      </c>
      <c r="M253" s="6">
        <v>1.1574074074074075E-4</v>
      </c>
      <c r="N253" s="4">
        <v>82849</v>
      </c>
      <c r="O253" s="4">
        <v>197</v>
      </c>
      <c r="P253" s="4">
        <v>76</v>
      </c>
      <c r="Q253" s="4">
        <v>82557</v>
      </c>
      <c r="R253" s="4">
        <v>1574</v>
      </c>
    </row>
    <row r="254" spans="1:18" ht="15" x14ac:dyDescent="0.25">
      <c r="A254" s="4" t="s">
        <v>64</v>
      </c>
      <c r="B254" s="4" t="s">
        <v>32</v>
      </c>
      <c r="C254" s="4" t="s">
        <v>21</v>
      </c>
      <c r="D254" s="5">
        <v>42999</v>
      </c>
      <c r="E254" s="4">
        <v>30</v>
      </c>
      <c r="F254" s="4">
        <v>0.12987791500000001</v>
      </c>
      <c r="G254" s="4">
        <v>15</v>
      </c>
      <c r="H254" s="4">
        <v>9</v>
      </c>
      <c r="I254" s="4">
        <v>9</v>
      </c>
      <c r="J254" s="4">
        <v>6</v>
      </c>
      <c r="K254" s="4">
        <v>5</v>
      </c>
      <c r="L254" s="4">
        <v>4</v>
      </c>
      <c r="M254" s="6">
        <v>1.9675925925925926E-4</v>
      </c>
      <c r="N254" s="4">
        <v>16</v>
      </c>
      <c r="O254" s="7"/>
      <c r="P254" s="7"/>
      <c r="Q254" s="4">
        <v>15</v>
      </c>
      <c r="R254" s="7"/>
    </row>
    <row r="255" spans="1:18" ht="15" x14ac:dyDescent="0.25">
      <c r="A255" s="4" t="s">
        <v>64</v>
      </c>
      <c r="B255" s="4" t="s">
        <v>32</v>
      </c>
      <c r="C255" s="4" t="s">
        <v>20</v>
      </c>
      <c r="D255" s="5">
        <v>42999</v>
      </c>
      <c r="E255" s="4">
        <v>56</v>
      </c>
      <c r="F255" s="4">
        <v>0.189821568</v>
      </c>
      <c r="G255" s="7"/>
      <c r="H255" s="7"/>
      <c r="I255" s="7"/>
      <c r="J255" s="7"/>
      <c r="K255" s="7"/>
      <c r="L255" s="7"/>
      <c r="M255" s="6">
        <v>0</v>
      </c>
      <c r="N255" s="4">
        <v>0</v>
      </c>
      <c r="O255" s="7"/>
      <c r="P255" s="7"/>
      <c r="Q255" s="7"/>
      <c r="R255" s="7"/>
    </row>
    <row r="256" spans="1:18" ht="15" x14ac:dyDescent="0.25">
      <c r="A256" s="4" t="s">
        <v>64</v>
      </c>
      <c r="B256" s="4" t="s">
        <v>32</v>
      </c>
      <c r="C256" s="4" t="s">
        <v>23</v>
      </c>
      <c r="D256" s="5">
        <v>42999</v>
      </c>
      <c r="E256" s="4">
        <v>1472</v>
      </c>
      <c r="F256" s="4">
        <v>4.9853138049999997</v>
      </c>
      <c r="G256" s="4">
        <v>853</v>
      </c>
      <c r="H256" s="4">
        <v>343</v>
      </c>
      <c r="I256" s="4">
        <v>243</v>
      </c>
      <c r="J256" s="4">
        <v>119</v>
      </c>
      <c r="K256" s="4">
        <v>81</v>
      </c>
      <c r="L256" s="4">
        <v>55</v>
      </c>
      <c r="M256" s="6">
        <v>1.0416666666666667E-4</v>
      </c>
      <c r="N256" s="4">
        <v>855</v>
      </c>
      <c r="O256" s="4">
        <v>1</v>
      </c>
      <c r="P256" s="7"/>
      <c r="Q256" s="4">
        <v>855</v>
      </c>
      <c r="R256" s="4">
        <v>1</v>
      </c>
    </row>
    <row r="257" spans="1:18" ht="15" x14ac:dyDescent="0.25">
      <c r="A257" s="4" t="s">
        <v>64</v>
      </c>
      <c r="B257" s="4" t="s">
        <v>32</v>
      </c>
      <c r="C257" s="4" t="s">
        <v>22</v>
      </c>
      <c r="D257" s="5">
        <v>42999</v>
      </c>
      <c r="E257" s="4">
        <v>1677</v>
      </c>
      <c r="F257" s="4">
        <v>7.0833416590000002</v>
      </c>
      <c r="G257" s="4">
        <v>1114</v>
      </c>
      <c r="H257" s="4">
        <v>436</v>
      </c>
      <c r="I257" s="4">
        <v>307</v>
      </c>
      <c r="J257" s="4">
        <v>147</v>
      </c>
      <c r="K257" s="4">
        <v>92</v>
      </c>
      <c r="L257" s="4">
        <v>64</v>
      </c>
      <c r="M257" s="6">
        <v>1.1574074074074075E-4</v>
      </c>
      <c r="N257" s="4">
        <v>1118</v>
      </c>
      <c r="O257" s="7"/>
      <c r="P257" s="7"/>
      <c r="Q257" s="4">
        <v>1118</v>
      </c>
      <c r="R257" s="4">
        <v>4</v>
      </c>
    </row>
    <row r="258" spans="1:18" ht="15" x14ac:dyDescent="0.25">
      <c r="A258" s="4" t="s">
        <v>64</v>
      </c>
      <c r="B258" s="4" t="s">
        <v>32</v>
      </c>
      <c r="C258" s="4" t="s">
        <v>25</v>
      </c>
      <c r="D258" s="5">
        <v>42999</v>
      </c>
      <c r="E258" s="4">
        <v>71160</v>
      </c>
      <c r="F258" s="4">
        <v>226.6069894</v>
      </c>
      <c r="G258" s="4">
        <v>38366</v>
      </c>
      <c r="H258" s="4">
        <v>13496</v>
      </c>
      <c r="I258" s="4">
        <v>10084</v>
      </c>
      <c r="J258" s="4">
        <v>6201</v>
      </c>
      <c r="K258" s="4">
        <v>4642</v>
      </c>
      <c r="L258" s="4">
        <v>3138</v>
      </c>
      <c r="M258" s="6">
        <v>9.2592592592592588E-5</v>
      </c>
      <c r="N258" s="4">
        <v>38536</v>
      </c>
      <c r="O258" s="4">
        <v>19</v>
      </c>
      <c r="P258" s="4">
        <v>10</v>
      </c>
      <c r="Q258" s="4">
        <v>38508</v>
      </c>
      <c r="R258" s="4">
        <v>113</v>
      </c>
    </row>
    <row r="259" spans="1:18" ht="15" x14ac:dyDescent="0.25">
      <c r="A259" s="4" t="s">
        <v>64</v>
      </c>
      <c r="B259" s="4" t="s">
        <v>32</v>
      </c>
      <c r="C259" s="4" t="s">
        <v>24</v>
      </c>
      <c r="D259" s="5">
        <v>42999</v>
      </c>
      <c r="E259" s="4">
        <v>81053</v>
      </c>
      <c r="F259" s="4">
        <v>248.35654479999999</v>
      </c>
      <c r="G259" s="4">
        <v>44254</v>
      </c>
      <c r="H259" s="4">
        <v>16643</v>
      </c>
      <c r="I259" s="4">
        <v>12179</v>
      </c>
      <c r="J259" s="4">
        <v>7257</v>
      </c>
      <c r="K259" s="4">
        <v>5645</v>
      </c>
      <c r="L259" s="4">
        <v>4507</v>
      </c>
      <c r="M259" s="6">
        <v>1.0416666666666667E-4</v>
      </c>
      <c r="N259" s="4">
        <v>44493</v>
      </c>
      <c r="O259" s="4">
        <v>24</v>
      </c>
      <c r="P259" s="4">
        <v>12</v>
      </c>
      <c r="Q259" s="4">
        <v>44421</v>
      </c>
      <c r="R259" s="4">
        <v>130</v>
      </c>
    </row>
    <row r="260" spans="1:18" ht="15" x14ac:dyDescent="0.25">
      <c r="A260" s="4" t="s">
        <v>64</v>
      </c>
      <c r="B260" s="4" t="s">
        <v>32</v>
      </c>
      <c r="C260" s="4" t="s">
        <v>26</v>
      </c>
      <c r="D260" s="5">
        <v>42999</v>
      </c>
      <c r="E260" s="4">
        <v>201705</v>
      </c>
      <c r="F260" s="4">
        <v>512.64811080000004</v>
      </c>
      <c r="G260" s="4">
        <v>96416</v>
      </c>
      <c r="H260" s="4">
        <v>36530</v>
      </c>
      <c r="I260" s="4">
        <v>26993</v>
      </c>
      <c r="J260" s="4">
        <v>16155</v>
      </c>
      <c r="K260" s="4">
        <v>12127</v>
      </c>
      <c r="L260" s="4">
        <v>8948</v>
      </c>
      <c r="M260" s="6">
        <v>9.2592592592592588E-5</v>
      </c>
      <c r="N260" s="4">
        <v>97052</v>
      </c>
      <c r="O260" s="4">
        <v>63</v>
      </c>
      <c r="P260" s="4">
        <v>30</v>
      </c>
      <c r="Q260" s="4">
        <v>96932</v>
      </c>
      <c r="R260" s="4">
        <v>423</v>
      </c>
    </row>
    <row r="261" spans="1:18" ht="15" x14ac:dyDescent="0.25">
      <c r="A261" s="4" t="s">
        <v>65</v>
      </c>
      <c r="B261" s="4" t="s">
        <v>19</v>
      </c>
      <c r="C261" s="4" t="s">
        <v>21</v>
      </c>
      <c r="D261" s="5">
        <v>43000</v>
      </c>
      <c r="E261" s="4">
        <v>0</v>
      </c>
      <c r="F261" s="4">
        <v>7.9926468000000001E-2</v>
      </c>
      <c r="G261" s="4">
        <v>7</v>
      </c>
      <c r="H261" s="4">
        <v>6</v>
      </c>
      <c r="I261" s="4">
        <v>5</v>
      </c>
      <c r="J261" s="4">
        <v>5</v>
      </c>
      <c r="K261" s="4">
        <v>5</v>
      </c>
      <c r="L261" s="4">
        <v>2</v>
      </c>
      <c r="M261" s="6">
        <v>2.6620370370370372E-4</v>
      </c>
      <c r="N261" s="4">
        <v>7</v>
      </c>
      <c r="O261" s="7"/>
      <c r="P261" s="7"/>
      <c r="Q261" s="4">
        <v>7</v>
      </c>
      <c r="R261" s="7"/>
    </row>
    <row r="262" spans="1:18" ht="15" x14ac:dyDescent="0.25">
      <c r="A262" s="4" t="s">
        <v>65</v>
      </c>
      <c r="B262" s="4" t="s">
        <v>19</v>
      </c>
      <c r="C262" s="4" t="s">
        <v>20</v>
      </c>
      <c r="D262" s="5">
        <v>43000</v>
      </c>
      <c r="E262" s="4">
        <v>0</v>
      </c>
      <c r="F262" s="4">
        <v>3.9963234E-2</v>
      </c>
      <c r="G262" s="4">
        <v>2</v>
      </c>
      <c r="H262" s="7"/>
      <c r="I262" s="7"/>
      <c r="J262" s="7"/>
      <c r="K262" s="7"/>
      <c r="L262" s="7"/>
      <c r="M262" s="6">
        <v>3.4722222222222222E-5</v>
      </c>
      <c r="N262" s="4">
        <v>2</v>
      </c>
      <c r="O262" s="7"/>
      <c r="P262" s="7"/>
      <c r="Q262" s="4">
        <v>2</v>
      </c>
      <c r="R262" s="7"/>
    </row>
    <row r="263" spans="1:18" ht="15" x14ac:dyDescent="0.25">
      <c r="A263" s="4" t="s">
        <v>65</v>
      </c>
      <c r="B263" s="4" t="s">
        <v>19</v>
      </c>
      <c r="C263" s="4" t="s">
        <v>22</v>
      </c>
      <c r="D263" s="5">
        <v>43000</v>
      </c>
      <c r="E263" s="4">
        <v>4288</v>
      </c>
      <c r="F263" s="4">
        <v>28.743555929999999</v>
      </c>
      <c r="G263" s="4">
        <v>2919</v>
      </c>
      <c r="H263" s="4">
        <v>1056</v>
      </c>
      <c r="I263" s="4">
        <v>681</v>
      </c>
      <c r="J263" s="4">
        <v>539</v>
      </c>
      <c r="K263" s="4">
        <v>415</v>
      </c>
      <c r="L263" s="4">
        <v>212</v>
      </c>
      <c r="M263" s="6">
        <v>1.273148148148148E-4</v>
      </c>
      <c r="N263" s="4">
        <v>2961</v>
      </c>
      <c r="O263" s="4">
        <v>10</v>
      </c>
      <c r="P263" s="7"/>
      <c r="Q263" s="4">
        <v>2961</v>
      </c>
      <c r="R263" s="4">
        <v>32</v>
      </c>
    </row>
    <row r="264" spans="1:18" ht="15" x14ac:dyDescent="0.25">
      <c r="A264" s="4" t="s">
        <v>65</v>
      </c>
      <c r="B264" s="4" t="s">
        <v>19</v>
      </c>
      <c r="C264" s="4" t="s">
        <v>23</v>
      </c>
      <c r="D264" s="5">
        <v>43000</v>
      </c>
      <c r="E264" s="4">
        <v>4671</v>
      </c>
      <c r="F264" s="4">
        <v>22.00975103</v>
      </c>
      <c r="G264" s="4">
        <v>2657</v>
      </c>
      <c r="H264" s="4">
        <v>1051</v>
      </c>
      <c r="I264" s="4">
        <v>709</v>
      </c>
      <c r="J264" s="4">
        <v>557</v>
      </c>
      <c r="K264" s="4">
        <v>436</v>
      </c>
      <c r="L264" s="4">
        <v>236</v>
      </c>
      <c r="M264" s="6">
        <v>1.1574074074074075E-4</v>
      </c>
      <c r="N264" s="4">
        <v>2697</v>
      </c>
      <c r="O264" s="4">
        <v>7</v>
      </c>
      <c r="P264" s="7"/>
      <c r="Q264" s="4">
        <v>2697</v>
      </c>
      <c r="R264" s="4">
        <v>33</v>
      </c>
    </row>
    <row r="265" spans="1:18" ht="15" x14ac:dyDescent="0.25">
      <c r="A265" s="4" t="s">
        <v>65</v>
      </c>
      <c r="B265" s="4" t="s">
        <v>19</v>
      </c>
      <c r="C265" s="4" t="s">
        <v>25</v>
      </c>
      <c r="D265" s="5">
        <v>43000</v>
      </c>
      <c r="E265" s="4">
        <v>36412</v>
      </c>
      <c r="F265" s="4">
        <v>129.75062940000001</v>
      </c>
      <c r="G265" s="4">
        <v>15189</v>
      </c>
      <c r="H265" s="4">
        <v>5955</v>
      </c>
      <c r="I265" s="4">
        <v>4268</v>
      </c>
      <c r="J265" s="4">
        <v>3553</v>
      </c>
      <c r="K265" s="4">
        <v>2954</v>
      </c>
      <c r="L265" s="4">
        <v>1763</v>
      </c>
      <c r="M265" s="6">
        <v>1.0416666666666667E-4</v>
      </c>
      <c r="N265" s="4">
        <v>15469</v>
      </c>
      <c r="O265" s="4">
        <v>56</v>
      </c>
      <c r="P265" s="4">
        <v>18</v>
      </c>
      <c r="Q265" s="4">
        <v>15458</v>
      </c>
      <c r="R265" s="4">
        <v>195</v>
      </c>
    </row>
    <row r="266" spans="1:18" ht="15" x14ac:dyDescent="0.25">
      <c r="A266" s="4" t="s">
        <v>65</v>
      </c>
      <c r="B266" s="4" t="s">
        <v>19</v>
      </c>
      <c r="C266" s="4" t="s">
        <v>24</v>
      </c>
      <c r="D266" s="5">
        <v>43000</v>
      </c>
      <c r="E266" s="4">
        <v>37030</v>
      </c>
      <c r="F266" s="4">
        <v>124.5454182</v>
      </c>
      <c r="G266" s="4">
        <v>16084</v>
      </c>
      <c r="H266" s="4">
        <v>5315</v>
      </c>
      <c r="I266" s="4">
        <v>3148</v>
      </c>
      <c r="J266" s="4">
        <v>2109</v>
      </c>
      <c r="K266" s="4">
        <v>1725</v>
      </c>
      <c r="L266" s="4">
        <v>1191</v>
      </c>
      <c r="M266" s="6">
        <v>8.1018518518518516E-5</v>
      </c>
      <c r="N266" s="4">
        <v>16337</v>
      </c>
      <c r="O266" s="4">
        <v>36</v>
      </c>
      <c r="P266" s="4">
        <v>10</v>
      </c>
      <c r="Q266" s="4">
        <v>16317</v>
      </c>
      <c r="R266" s="4">
        <v>169</v>
      </c>
    </row>
    <row r="267" spans="1:18" ht="15" x14ac:dyDescent="0.25">
      <c r="A267" s="4" t="s">
        <v>65</v>
      </c>
      <c r="B267" s="4" t="s">
        <v>19</v>
      </c>
      <c r="C267" s="4" t="s">
        <v>26</v>
      </c>
      <c r="D267" s="5">
        <v>43000</v>
      </c>
      <c r="E267" s="4">
        <v>240997</v>
      </c>
      <c r="F267" s="4">
        <v>694.83075570000005</v>
      </c>
      <c r="G267" s="4">
        <v>91450</v>
      </c>
      <c r="H267" s="4">
        <v>42078</v>
      </c>
      <c r="I267" s="4">
        <v>31602</v>
      </c>
      <c r="J267" s="4">
        <v>26732</v>
      </c>
      <c r="K267" s="4">
        <v>22731</v>
      </c>
      <c r="L267" s="4">
        <v>13939</v>
      </c>
      <c r="M267" s="6">
        <v>1.1574074074074075E-4</v>
      </c>
      <c r="N267" s="4">
        <v>93973</v>
      </c>
      <c r="O267" s="4">
        <v>482</v>
      </c>
      <c r="P267" s="4">
        <v>103</v>
      </c>
      <c r="Q267" s="4">
        <v>93818</v>
      </c>
      <c r="R267" s="4">
        <v>1783</v>
      </c>
    </row>
    <row r="268" spans="1:18" ht="15" x14ac:dyDescent="0.25">
      <c r="A268" s="4" t="s">
        <v>66</v>
      </c>
      <c r="B268" s="4" t="s">
        <v>29</v>
      </c>
      <c r="C268" s="4" t="s">
        <v>21</v>
      </c>
      <c r="D268" s="5">
        <v>43000</v>
      </c>
      <c r="E268" s="4">
        <v>0</v>
      </c>
      <c r="F268" s="4">
        <v>4.9953044000000002E-2</v>
      </c>
      <c r="G268" s="4">
        <v>8</v>
      </c>
      <c r="H268" s="4">
        <v>4</v>
      </c>
      <c r="I268" s="4">
        <v>5</v>
      </c>
      <c r="J268" s="4">
        <v>4</v>
      </c>
      <c r="K268" s="4">
        <v>4</v>
      </c>
      <c r="L268" s="4">
        <v>4</v>
      </c>
      <c r="M268" s="6">
        <v>1.1574074074074075E-4</v>
      </c>
      <c r="N268" s="4">
        <v>8</v>
      </c>
      <c r="O268" s="7"/>
      <c r="P268" s="7"/>
      <c r="Q268" s="4">
        <v>8</v>
      </c>
      <c r="R268" s="7"/>
    </row>
    <row r="269" spans="1:18" ht="15" x14ac:dyDescent="0.25">
      <c r="A269" s="4" t="s">
        <v>66</v>
      </c>
      <c r="B269" s="4" t="s">
        <v>29</v>
      </c>
      <c r="C269" s="4" t="s">
        <v>20</v>
      </c>
      <c r="D269" s="5">
        <v>43000</v>
      </c>
      <c r="E269" s="4">
        <v>19</v>
      </c>
      <c r="F269" s="4">
        <v>3.9962434999999998E-2</v>
      </c>
      <c r="G269" s="4">
        <v>2</v>
      </c>
      <c r="H269" s="4">
        <v>1</v>
      </c>
      <c r="I269" s="4">
        <v>2</v>
      </c>
      <c r="J269" s="4">
        <v>1</v>
      </c>
      <c r="K269" s="4">
        <v>1</v>
      </c>
      <c r="L269" s="4">
        <v>1</v>
      </c>
      <c r="M269" s="6">
        <v>1.3888888888888889E-4</v>
      </c>
      <c r="N269" s="4">
        <v>2</v>
      </c>
      <c r="O269" s="7"/>
      <c r="P269" s="7"/>
      <c r="Q269" s="4">
        <v>2</v>
      </c>
      <c r="R269" s="7"/>
    </row>
    <row r="270" spans="1:18" ht="15" x14ac:dyDescent="0.25">
      <c r="A270" s="4" t="s">
        <v>66</v>
      </c>
      <c r="B270" s="4" t="s">
        <v>29</v>
      </c>
      <c r="C270" s="4" t="s">
        <v>22</v>
      </c>
      <c r="D270" s="5">
        <v>43000</v>
      </c>
      <c r="E270" s="4">
        <v>1664</v>
      </c>
      <c r="F270" s="4">
        <v>6.8335764379999997</v>
      </c>
      <c r="G270" s="4">
        <v>1060</v>
      </c>
      <c r="H270" s="4">
        <v>448</v>
      </c>
      <c r="I270" s="4">
        <v>471</v>
      </c>
      <c r="J270" s="4">
        <v>325</v>
      </c>
      <c r="K270" s="4">
        <v>241</v>
      </c>
      <c r="L270" s="4">
        <v>195</v>
      </c>
      <c r="M270" s="6">
        <v>9.2592592592592588E-5</v>
      </c>
      <c r="N270" s="4">
        <v>1063</v>
      </c>
      <c r="O270" s="7"/>
      <c r="P270" s="7"/>
      <c r="Q270" s="4">
        <v>1063</v>
      </c>
      <c r="R270" s="4">
        <v>3</v>
      </c>
    </row>
    <row r="271" spans="1:18" ht="15" x14ac:dyDescent="0.25">
      <c r="A271" s="4" t="s">
        <v>66</v>
      </c>
      <c r="B271" s="4" t="s">
        <v>29</v>
      </c>
      <c r="C271" s="4" t="s">
        <v>23</v>
      </c>
      <c r="D271" s="5">
        <v>43000</v>
      </c>
      <c r="E271" s="4">
        <v>1733</v>
      </c>
      <c r="F271" s="4">
        <v>4.2859711870000003</v>
      </c>
      <c r="G271" s="4">
        <v>736</v>
      </c>
      <c r="H271" s="4">
        <v>300</v>
      </c>
      <c r="I271" s="4">
        <v>322</v>
      </c>
      <c r="J271" s="4">
        <v>227</v>
      </c>
      <c r="K271" s="4">
        <v>175</v>
      </c>
      <c r="L271" s="4">
        <v>138</v>
      </c>
      <c r="M271" s="6">
        <v>8.1018518518518516E-5</v>
      </c>
      <c r="N271" s="4">
        <v>738</v>
      </c>
      <c r="O271" s="7"/>
      <c r="P271" s="7"/>
      <c r="Q271" s="4">
        <v>737</v>
      </c>
      <c r="R271" s="4">
        <v>1</v>
      </c>
    </row>
    <row r="272" spans="1:18" ht="15" x14ac:dyDescent="0.25">
      <c r="A272" s="4" t="s">
        <v>66</v>
      </c>
      <c r="B272" s="4" t="s">
        <v>29</v>
      </c>
      <c r="C272" s="4" t="s">
        <v>24</v>
      </c>
      <c r="D272" s="5">
        <v>43000</v>
      </c>
      <c r="E272" s="4">
        <v>22881</v>
      </c>
      <c r="F272" s="4">
        <v>33.47853018</v>
      </c>
      <c r="G272" s="4">
        <v>10462</v>
      </c>
      <c r="H272" s="4">
        <v>3575</v>
      </c>
      <c r="I272" s="4">
        <v>3959</v>
      </c>
      <c r="J272" s="4">
        <v>2593</v>
      </c>
      <c r="K272" s="4">
        <v>2202</v>
      </c>
      <c r="L272" s="4">
        <v>1932</v>
      </c>
      <c r="M272" s="6">
        <v>8.1018518518518516E-5</v>
      </c>
      <c r="N272" s="4">
        <v>10494</v>
      </c>
      <c r="O272" s="4">
        <v>3</v>
      </c>
      <c r="P272" s="4">
        <v>2</v>
      </c>
      <c r="Q272" s="4">
        <v>10484</v>
      </c>
      <c r="R272" s="4">
        <v>17</v>
      </c>
    </row>
    <row r="273" spans="1:18" ht="15" x14ac:dyDescent="0.25">
      <c r="A273" s="4" t="s">
        <v>66</v>
      </c>
      <c r="B273" s="4" t="s">
        <v>29</v>
      </c>
      <c r="C273" s="4" t="s">
        <v>25</v>
      </c>
      <c r="D273" s="5">
        <v>43000</v>
      </c>
      <c r="E273" s="4">
        <v>121848</v>
      </c>
      <c r="F273" s="4">
        <v>290.56686710000002</v>
      </c>
      <c r="G273" s="4">
        <v>47114</v>
      </c>
      <c r="H273" s="4">
        <v>23150</v>
      </c>
      <c r="I273" s="4">
        <v>24026</v>
      </c>
      <c r="J273" s="4">
        <v>18912</v>
      </c>
      <c r="K273" s="4">
        <v>14877</v>
      </c>
      <c r="L273" s="4">
        <v>11450</v>
      </c>
      <c r="M273" s="6">
        <v>8.1018518518518516E-5</v>
      </c>
      <c r="N273" s="4">
        <v>47372</v>
      </c>
      <c r="O273" s="4">
        <v>19</v>
      </c>
      <c r="P273" s="4">
        <v>48</v>
      </c>
      <c r="Q273" s="4">
        <v>47353</v>
      </c>
      <c r="R273" s="4">
        <v>172</v>
      </c>
    </row>
    <row r="274" spans="1:18" ht="15" x14ac:dyDescent="0.25">
      <c r="A274" s="4" t="s">
        <v>66</v>
      </c>
      <c r="B274" s="4" t="s">
        <v>29</v>
      </c>
      <c r="C274" s="4" t="s">
        <v>26</v>
      </c>
      <c r="D274" s="5">
        <v>43000</v>
      </c>
      <c r="E274" s="4">
        <v>300268</v>
      </c>
      <c r="F274" s="4">
        <v>664.74513960000002</v>
      </c>
      <c r="G274" s="4">
        <v>121530</v>
      </c>
      <c r="H274" s="4">
        <v>56562</v>
      </c>
      <c r="I274" s="4">
        <v>59355</v>
      </c>
      <c r="J274" s="4">
        <v>45967</v>
      </c>
      <c r="K274" s="4">
        <v>37606</v>
      </c>
      <c r="L274" s="4">
        <v>31326</v>
      </c>
      <c r="M274" s="6">
        <v>8.1018518518518516E-5</v>
      </c>
      <c r="N274" s="4">
        <v>122424</v>
      </c>
      <c r="O274" s="4">
        <v>72</v>
      </c>
      <c r="P274" s="4">
        <v>108</v>
      </c>
      <c r="Q274" s="4">
        <v>122316</v>
      </c>
      <c r="R274" s="4">
        <v>606</v>
      </c>
    </row>
    <row r="275" spans="1:18" ht="15" x14ac:dyDescent="0.25">
      <c r="A275" s="4" t="s">
        <v>67</v>
      </c>
      <c r="B275" s="4" t="s">
        <v>19</v>
      </c>
      <c r="C275" s="4" t="s">
        <v>20</v>
      </c>
      <c r="D275" s="5">
        <v>43001</v>
      </c>
      <c r="E275" s="4">
        <v>0</v>
      </c>
      <c r="F275" s="4">
        <v>9.9906089999999993E-3</v>
      </c>
      <c r="G275" s="7"/>
      <c r="H275" s="7"/>
      <c r="I275" s="7"/>
      <c r="J275" s="7"/>
      <c r="K275" s="7"/>
      <c r="L275" s="7"/>
      <c r="M275" s="6">
        <v>0</v>
      </c>
      <c r="N275" s="4">
        <v>0</v>
      </c>
      <c r="O275" s="7"/>
      <c r="P275" s="7"/>
      <c r="Q275" s="7"/>
      <c r="R275" s="7"/>
    </row>
    <row r="276" spans="1:18" ht="15" x14ac:dyDescent="0.25">
      <c r="A276" s="4" t="s">
        <v>67</v>
      </c>
      <c r="B276" s="4" t="s">
        <v>19</v>
      </c>
      <c r="C276" s="4" t="s">
        <v>21</v>
      </c>
      <c r="D276" s="5">
        <v>43001</v>
      </c>
      <c r="E276" s="4">
        <v>0</v>
      </c>
      <c r="F276" s="4">
        <v>4.9953044000000002E-2</v>
      </c>
      <c r="G276" s="4">
        <v>4</v>
      </c>
      <c r="H276" s="4">
        <v>1</v>
      </c>
      <c r="I276" s="7"/>
      <c r="J276" s="7"/>
      <c r="K276" s="7"/>
      <c r="L276" s="7"/>
      <c r="M276" s="6">
        <v>4.6296296296296294E-5</v>
      </c>
      <c r="N276" s="4">
        <v>4</v>
      </c>
      <c r="O276" s="7"/>
      <c r="P276" s="7"/>
      <c r="Q276" s="4">
        <v>4</v>
      </c>
      <c r="R276" s="7"/>
    </row>
    <row r="277" spans="1:18" ht="15" x14ac:dyDescent="0.25">
      <c r="A277" s="4" t="s">
        <v>67</v>
      </c>
      <c r="B277" s="4" t="s">
        <v>19</v>
      </c>
      <c r="C277" s="4" t="s">
        <v>22</v>
      </c>
      <c r="D277" s="5">
        <v>43001</v>
      </c>
      <c r="E277" s="4">
        <v>2880</v>
      </c>
      <c r="F277" s="4">
        <v>13.417387659999999</v>
      </c>
      <c r="G277" s="4">
        <v>2061</v>
      </c>
      <c r="H277" s="4">
        <v>880</v>
      </c>
      <c r="I277" s="4">
        <v>731</v>
      </c>
      <c r="J277" s="4">
        <v>363</v>
      </c>
      <c r="K277" s="4">
        <v>200</v>
      </c>
      <c r="L277" s="4">
        <v>141</v>
      </c>
      <c r="M277" s="6">
        <v>1.1574074074074075E-4</v>
      </c>
      <c r="N277" s="4">
        <v>2065</v>
      </c>
      <c r="O277" s="4">
        <v>1</v>
      </c>
      <c r="P277" s="7"/>
      <c r="Q277" s="4">
        <v>2065</v>
      </c>
      <c r="R277" s="4">
        <v>3</v>
      </c>
    </row>
    <row r="278" spans="1:18" ht="15" x14ac:dyDescent="0.25">
      <c r="A278" s="4" t="s">
        <v>67</v>
      </c>
      <c r="B278" s="4" t="s">
        <v>19</v>
      </c>
      <c r="C278" s="4" t="s">
        <v>23</v>
      </c>
      <c r="D278" s="5">
        <v>43001</v>
      </c>
      <c r="E278" s="4">
        <v>3200</v>
      </c>
      <c r="F278" s="4">
        <v>8.5319799389999993</v>
      </c>
      <c r="G278" s="4">
        <v>2598</v>
      </c>
      <c r="H278" s="4">
        <v>1256</v>
      </c>
      <c r="I278" s="4">
        <v>1061</v>
      </c>
      <c r="J278" s="4">
        <v>571</v>
      </c>
      <c r="K278" s="4">
        <v>362</v>
      </c>
      <c r="L278" s="4">
        <v>270</v>
      </c>
      <c r="M278" s="6">
        <v>1.3888888888888889E-4</v>
      </c>
      <c r="N278" s="4">
        <v>2602</v>
      </c>
      <c r="O278" s="4">
        <v>2</v>
      </c>
      <c r="P278" s="7"/>
      <c r="Q278" s="4">
        <v>2602</v>
      </c>
      <c r="R278" s="4">
        <v>2</v>
      </c>
    </row>
    <row r="279" spans="1:18" ht="15" x14ac:dyDescent="0.25">
      <c r="A279" s="4" t="s">
        <v>67</v>
      </c>
      <c r="B279" s="4" t="s">
        <v>19</v>
      </c>
      <c r="C279" s="4" t="s">
        <v>24</v>
      </c>
      <c r="D279" s="5">
        <v>43001</v>
      </c>
      <c r="E279" s="4">
        <v>17918</v>
      </c>
      <c r="F279" s="4">
        <v>30.49133814</v>
      </c>
      <c r="G279" s="4">
        <v>10765</v>
      </c>
      <c r="H279" s="4">
        <v>3592</v>
      </c>
      <c r="I279" s="4">
        <v>2748</v>
      </c>
      <c r="J279" s="4">
        <v>1416</v>
      </c>
      <c r="K279" s="4">
        <v>1032</v>
      </c>
      <c r="L279" s="4">
        <v>812</v>
      </c>
      <c r="M279" s="6">
        <v>9.2592592592592588E-5</v>
      </c>
      <c r="N279" s="4">
        <v>10793</v>
      </c>
      <c r="O279" s="4">
        <v>4</v>
      </c>
      <c r="P279" s="7"/>
      <c r="Q279" s="4">
        <v>10790</v>
      </c>
      <c r="R279" s="4">
        <v>21</v>
      </c>
    </row>
    <row r="280" spans="1:18" ht="15" x14ac:dyDescent="0.25">
      <c r="A280" s="4" t="s">
        <v>67</v>
      </c>
      <c r="B280" s="4" t="s">
        <v>19</v>
      </c>
      <c r="C280" s="4" t="s">
        <v>25</v>
      </c>
      <c r="D280" s="5">
        <v>43001</v>
      </c>
      <c r="E280" s="4">
        <v>57722</v>
      </c>
      <c r="F280" s="4">
        <v>183.84718359999999</v>
      </c>
      <c r="G280" s="4">
        <v>37447</v>
      </c>
      <c r="H280" s="4">
        <v>15863</v>
      </c>
      <c r="I280" s="4">
        <v>13251</v>
      </c>
      <c r="J280" s="4">
        <v>6565</v>
      </c>
      <c r="K280" s="4">
        <v>4093</v>
      </c>
      <c r="L280" s="4">
        <v>2718</v>
      </c>
      <c r="M280" s="6">
        <v>1.0416666666666667E-4</v>
      </c>
      <c r="N280" s="4">
        <v>37545</v>
      </c>
      <c r="O280" s="4">
        <v>13</v>
      </c>
      <c r="P280" s="4">
        <v>6</v>
      </c>
      <c r="Q280" s="4">
        <v>37531</v>
      </c>
      <c r="R280" s="4">
        <v>65</v>
      </c>
    </row>
    <row r="281" spans="1:18" ht="15" x14ac:dyDescent="0.25">
      <c r="A281" s="4" t="s">
        <v>67</v>
      </c>
      <c r="B281" s="4" t="s">
        <v>19</v>
      </c>
      <c r="C281" s="4" t="s">
        <v>26</v>
      </c>
      <c r="D281" s="5">
        <v>43001</v>
      </c>
      <c r="E281" s="4">
        <v>350876</v>
      </c>
      <c r="F281" s="4">
        <v>763.65216699999996</v>
      </c>
      <c r="G281" s="4">
        <v>226222</v>
      </c>
      <c r="H281" s="4">
        <v>102089</v>
      </c>
      <c r="I281" s="4">
        <v>84406</v>
      </c>
      <c r="J281" s="4">
        <v>43361</v>
      </c>
      <c r="K281" s="4">
        <v>27401</v>
      </c>
      <c r="L281" s="4">
        <v>19525</v>
      </c>
      <c r="M281" s="6">
        <v>1.1574074074074075E-4</v>
      </c>
      <c r="N281" s="4">
        <v>227253</v>
      </c>
      <c r="O281" s="4">
        <v>168</v>
      </c>
      <c r="P281" s="4">
        <v>23</v>
      </c>
      <c r="Q281" s="4">
        <v>227157</v>
      </c>
      <c r="R281" s="4">
        <v>744</v>
      </c>
    </row>
    <row r="282" spans="1:18" ht="15" x14ac:dyDescent="0.25">
      <c r="A282" s="4" t="s">
        <v>68</v>
      </c>
      <c r="B282" s="4" t="s">
        <v>32</v>
      </c>
      <c r="C282" s="4" t="s">
        <v>20</v>
      </c>
      <c r="D282" s="5">
        <v>43001</v>
      </c>
      <c r="E282" s="4">
        <v>0</v>
      </c>
      <c r="F282" s="4">
        <v>7.9924870999999995E-2</v>
      </c>
      <c r="G282" s="4">
        <v>2</v>
      </c>
      <c r="H282" s="4">
        <v>2</v>
      </c>
      <c r="I282" s="4">
        <v>1</v>
      </c>
      <c r="J282" s="7"/>
      <c r="K282" s="7"/>
      <c r="L282" s="7"/>
      <c r="M282" s="6">
        <v>8.1018518518518516E-5</v>
      </c>
      <c r="N282" s="4">
        <v>2</v>
      </c>
      <c r="O282" s="7"/>
      <c r="P282" s="7"/>
      <c r="Q282" s="4">
        <v>2</v>
      </c>
      <c r="R282" s="7"/>
    </row>
    <row r="283" spans="1:18" ht="15" x14ac:dyDescent="0.25">
      <c r="A283" s="4" t="s">
        <v>68</v>
      </c>
      <c r="B283" s="4" t="s">
        <v>32</v>
      </c>
      <c r="C283" s="4" t="s">
        <v>21</v>
      </c>
      <c r="D283" s="5">
        <v>43001</v>
      </c>
      <c r="E283" s="4">
        <v>0</v>
      </c>
      <c r="F283" s="4">
        <v>5.9943653E-2</v>
      </c>
      <c r="G283" s="4">
        <v>7</v>
      </c>
      <c r="H283" s="4">
        <v>5</v>
      </c>
      <c r="I283" s="4">
        <v>3</v>
      </c>
      <c r="J283" s="4">
        <v>1</v>
      </c>
      <c r="K283" s="4">
        <v>1</v>
      </c>
      <c r="L283" s="4">
        <v>1</v>
      </c>
      <c r="M283" s="6">
        <v>1.5046296296296297E-4</v>
      </c>
      <c r="N283" s="4">
        <v>7</v>
      </c>
      <c r="O283" s="7"/>
      <c r="P283" s="7"/>
      <c r="Q283" s="4">
        <v>7</v>
      </c>
      <c r="R283" s="7"/>
    </row>
    <row r="284" spans="1:18" ht="15" x14ac:dyDescent="0.25">
      <c r="A284" s="4" t="s">
        <v>68</v>
      </c>
      <c r="B284" s="4" t="s">
        <v>32</v>
      </c>
      <c r="C284" s="4" t="s">
        <v>23</v>
      </c>
      <c r="D284" s="5">
        <v>43001</v>
      </c>
      <c r="E284" s="4">
        <v>3647</v>
      </c>
      <c r="F284" s="4">
        <v>14.126720880000001</v>
      </c>
      <c r="G284" s="4">
        <v>2165</v>
      </c>
      <c r="H284" s="4">
        <v>1066</v>
      </c>
      <c r="I284" s="4">
        <v>657</v>
      </c>
      <c r="J284" s="4">
        <v>253</v>
      </c>
      <c r="K284" s="4">
        <v>176</v>
      </c>
      <c r="L284" s="4">
        <v>159</v>
      </c>
      <c r="M284" s="6">
        <v>1.1574074074074075E-4</v>
      </c>
      <c r="N284" s="4">
        <v>2187</v>
      </c>
      <c r="O284" s="4">
        <v>9</v>
      </c>
      <c r="P284" s="7"/>
      <c r="Q284" s="4">
        <v>2187</v>
      </c>
      <c r="R284" s="4">
        <v>13</v>
      </c>
    </row>
    <row r="285" spans="1:18" ht="15" x14ac:dyDescent="0.25">
      <c r="A285" s="4" t="s">
        <v>68</v>
      </c>
      <c r="B285" s="4" t="s">
        <v>32</v>
      </c>
      <c r="C285" s="4" t="s">
        <v>22</v>
      </c>
      <c r="D285" s="5">
        <v>43001</v>
      </c>
      <c r="E285" s="4">
        <v>5055</v>
      </c>
      <c r="F285" s="4">
        <v>26.724878610000001</v>
      </c>
      <c r="G285" s="4">
        <v>3157</v>
      </c>
      <c r="H285" s="4">
        <v>1501</v>
      </c>
      <c r="I285" s="4">
        <v>826</v>
      </c>
      <c r="J285" s="4">
        <v>264</v>
      </c>
      <c r="K285" s="4">
        <v>175</v>
      </c>
      <c r="L285" s="4">
        <v>157</v>
      </c>
      <c r="M285" s="6">
        <v>1.1574074074074075E-4</v>
      </c>
      <c r="N285" s="4">
        <v>3174</v>
      </c>
      <c r="O285" s="4">
        <v>4</v>
      </c>
      <c r="P285" s="4">
        <v>1</v>
      </c>
      <c r="Q285" s="4">
        <v>3174</v>
      </c>
      <c r="R285" s="4">
        <v>12</v>
      </c>
    </row>
    <row r="286" spans="1:18" ht="15" x14ac:dyDescent="0.25">
      <c r="A286" s="4" t="s">
        <v>68</v>
      </c>
      <c r="B286" s="4" t="s">
        <v>32</v>
      </c>
      <c r="C286" s="4" t="s">
        <v>24</v>
      </c>
      <c r="D286" s="5">
        <v>43001</v>
      </c>
      <c r="E286" s="4">
        <v>21333</v>
      </c>
      <c r="F286" s="4">
        <v>60.712929850000002</v>
      </c>
      <c r="G286" s="4">
        <v>9920</v>
      </c>
      <c r="H286" s="4">
        <v>3682</v>
      </c>
      <c r="I286" s="4">
        <v>1900</v>
      </c>
      <c r="J286" s="4">
        <v>946</v>
      </c>
      <c r="K286" s="4">
        <v>694</v>
      </c>
      <c r="L286" s="4">
        <v>616</v>
      </c>
      <c r="M286" s="6">
        <v>8.1018518518518516E-5</v>
      </c>
      <c r="N286" s="4">
        <v>9980</v>
      </c>
      <c r="O286" s="4">
        <v>15</v>
      </c>
      <c r="P286" s="4">
        <v>2</v>
      </c>
      <c r="Q286" s="4">
        <v>9976</v>
      </c>
      <c r="R286" s="4">
        <v>39</v>
      </c>
    </row>
    <row r="287" spans="1:18" ht="15" x14ac:dyDescent="0.25">
      <c r="A287" s="4" t="s">
        <v>68</v>
      </c>
      <c r="B287" s="4" t="s">
        <v>32</v>
      </c>
      <c r="C287" s="4" t="s">
        <v>25</v>
      </c>
      <c r="D287" s="5">
        <v>43001</v>
      </c>
      <c r="E287" s="4">
        <v>51191</v>
      </c>
      <c r="F287" s="4">
        <v>201.45063640000001</v>
      </c>
      <c r="G287" s="4">
        <v>25164</v>
      </c>
      <c r="H287" s="4">
        <v>12370</v>
      </c>
      <c r="I287" s="4">
        <v>7508</v>
      </c>
      <c r="J287" s="4">
        <v>3158</v>
      </c>
      <c r="K287" s="4">
        <v>2213</v>
      </c>
      <c r="L287" s="4">
        <v>2025</v>
      </c>
      <c r="M287" s="6">
        <v>1.0416666666666667E-4</v>
      </c>
      <c r="N287" s="4">
        <v>25394</v>
      </c>
      <c r="O287" s="4">
        <v>42</v>
      </c>
      <c r="P287" s="4">
        <v>17</v>
      </c>
      <c r="Q287" s="4">
        <v>25372</v>
      </c>
      <c r="R287" s="4">
        <v>148</v>
      </c>
    </row>
    <row r="288" spans="1:18" ht="15" x14ac:dyDescent="0.25">
      <c r="A288" s="4" t="s">
        <v>68</v>
      </c>
      <c r="B288" s="4" t="s">
        <v>32</v>
      </c>
      <c r="C288" s="4" t="s">
        <v>26</v>
      </c>
      <c r="D288" s="5">
        <v>43001</v>
      </c>
      <c r="E288" s="4">
        <v>234776</v>
      </c>
      <c r="F288" s="4">
        <v>696.84496569999999</v>
      </c>
      <c r="G288" s="4">
        <v>105482</v>
      </c>
      <c r="H288" s="4">
        <v>55284</v>
      </c>
      <c r="I288" s="4">
        <v>35714</v>
      </c>
      <c r="J288" s="4">
        <v>17147</v>
      </c>
      <c r="K288" s="4">
        <v>12490</v>
      </c>
      <c r="L288" s="4">
        <v>11424</v>
      </c>
      <c r="M288" s="6">
        <v>1.1574074074074075E-4</v>
      </c>
      <c r="N288" s="4">
        <v>107053</v>
      </c>
      <c r="O288" s="4">
        <v>334</v>
      </c>
      <c r="P288" s="4">
        <v>95</v>
      </c>
      <c r="Q288" s="4">
        <v>106845</v>
      </c>
      <c r="R288" s="4">
        <v>934</v>
      </c>
    </row>
    <row r="289" spans="1:18" ht="15" x14ac:dyDescent="0.25">
      <c r="A289" s="4" t="s">
        <v>69</v>
      </c>
      <c r="B289" s="4" t="s">
        <v>19</v>
      </c>
      <c r="C289" s="4" t="s">
        <v>21</v>
      </c>
      <c r="D289" s="5">
        <v>43002</v>
      </c>
      <c r="E289" s="4">
        <v>67</v>
      </c>
      <c r="F289" s="4">
        <v>0.22978859400000001</v>
      </c>
      <c r="G289" s="4">
        <v>27</v>
      </c>
      <c r="H289" s="4">
        <v>13</v>
      </c>
      <c r="I289" s="4">
        <v>14</v>
      </c>
      <c r="J289" s="4">
        <v>12</v>
      </c>
      <c r="K289" s="4">
        <v>11</v>
      </c>
      <c r="L289" s="4">
        <v>8</v>
      </c>
      <c r="M289" s="6">
        <v>1.273148148148148E-4</v>
      </c>
      <c r="N289" s="4">
        <v>30</v>
      </c>
      <c r="O289" s="7"/>
      <c r="P289" s="7"/>
      <c r="Q289" s="4">
        <v>28</v>
      </c>
      <c r="R289" s="4">
        <v>1</v>
      </c>
    </row>
    <row r="290" spans="1:18" ht="15" x14ac:dyDescent="0.25">
      <c r="A290" s="4" t="s">
        <v>69</v>
      </c>
      <c r="B290" s="4" t="s">
        <v>19</v>
      </c>
      <c r="C290" s="4" t="s">
        <v>20</v>
      </c>
      <c r="D290" s="5">
        <v>43002</v>
      </c>
      <c r="E290" s="4">
        <v>128</v>
      </c>
      <c r="F290" s="4">
        <v>0.37965072100000002</v>
      </c>
      <c r="G290" s="4">
        <v>19</v>
      </c>
      <c r="H290" s="4">
        <v>18</v>
      </c>
      <c r="I290" s="4">
        <v>18</v>
      </c>
      <c r="J290" s="4">
        <v>17</v>
      </c>
      <c r="K290" s="4">
        <v>17</v>
      </c>
      <c r="L290" s="4">
        <v>17</v>
      </c>
      <c r="M290" s="6">
        <v>3.2407407407407406E-4</v>
      </c>
      <c r="N290" s="4">
        <v>23</v>
      </c>
      <c r="O290" s="4">
        <v>1</v>
      </c>
      <c r="P290" s="7"/>
      <c r="Q290" s="4">
        <v>22</v>
      </c>
      <c r="R290" s="4">
        <v>2</v>
      </c>
    </row>
    <row r="291" spans="1:18" ht="15" x14ac:dyDescent="0.25">
      <c r="A291" s="4" t="s">
        <v>69</v>
      </c>
      <c r="B291" s="4" t="s">
        <v>19</v>
      </c>
      <c r="C291" s="4" t="s">
        <v>22</v>
      </c>
      <c r="D291" s="5">
        <v>43002</v>
      </c>
      <c r="E291" s="4">
        <v>1535</v>
      </c>
      <c r="F291" s="4">
        <v>6.7437957080000004</v>
      </c>
      <c r="G291" s="4">
        <v>639</v>
      </c>
      <c r="H291" s="4">
        <v>202</v>
      </c>
      <c r="I291" s="4">
        <v>248</v>
      </c>
      <c r="J291" s="4">
        <v>139</v>
      </c>
      <c r="K291" s="4">
        <v>120</v>
      </c>
      <c r="L291" s="4">
        <v>91</v>
      </c>
      <c r="M291" s="6">
        <v>8.1018518518518516E-5</v>
      </c>
      <c r="N291" s="4">
        <v>641</v>
      </c>
      <c r="O291" s="7"/>
      <c r="P291" s="7"/>
      <c r="Q291" s="4">
        <v>641</v>
      </c>
      <c r="R291" s="4">
        <v>2</v>
      </c>
    </row>
    <row r="292" spans="1:18" ht="15" x14ac:dyDescent="0.25">
      <c r="A292" s="4" t="s">
        <v>69</v>
      </c>
      <c r="B292" s="4" t="s">
        <v>19</v>
      </c>
      <c r="C292" s="4" t="s">
        <v>23</v>
      </c>
      <c r="D292" s="5">
        <v>43002</v>
      </c>
      <c r="E292" s="4">
        <v>2986</v>
      </c>
      <c r="F292" s="4">
        <v>7.872757064</v>
      </c>
      <c r="G292" s="4">
        <v>960</v>
      </c>
      <c r="H292" s="4">
        <v>357</v>
      </c>
      <c r="I292" s="4">
        <v>412</v>
      </c>
      <c r="J292" s="4">
        <v>254</v>
      </c>
      <c r="K292" s="4">
        <v>212</v>
      </c>
      <c r="L292" s="4">
        <v>152</v>
      </c>
      <c r="M292" s="6">
        <v>8.1018518518518516E-5</v>
      </c>
      <c r="N292" s="4">
        <v>993</v>
      </c>
      <c r="O292" s="4">
        <v>3</v>
      </c>
      <c r="P292" s="7"/>
      <c r="Q292" s="4">
        <v>990</v>
      </c>
      <c r="R292" s="4">
        <v>27</v>
      </c>
    </row>
    <row r="293" spans="1:18" ht="15" x14ac:dyDescent="0.25">
      <c r="A293" s="4" t="s">
        <v>69</v>
      </c>
      <c r="B293" s="4" t="s">
        <v>19</v>
      </c>
      <c r="C293" s="4" t="s">
        <v>25</v>
      </c>
      <c r="D293" s="5">
        <v>43002</v>
      </c>
      <c r="E293" s="4">
        <v>61662</v>
      </c>
      <c r="F293" s="4">
        <v>163.3696999</v>
      </c>
      <c r="G293" s="4">
        <v>18566</v>
      </c>
      <c r="H293" s="4">
        <v>6475</v>
      </c>
      <c r="I293" s="4">
        <v>7472</v>
      </c>
      <c r="J293" s="4">
        <v>4547</v>
      </c>
      <c r="K293" s="4">
        <v>3873</v>
      </c>
      <c r="L293" s="4">
        <v>2622</v>
      </c>
      <c r="M293" s="6">
        <v>6.9444444444444444E-5</v>
      </c>
      <c r="N293" s="4">
        <v>19028</v>
      </c>
      <c r="O293" s="4">
        <v>55</v>
      </c>
      <c r="P293" s="4">
        <v>23</v>
      </c>
      <c r="Q293" s="4">
        <v>18991</v>
      </c>
      <c r="R293" s="4">
        <v>347</v>
      </c>
    </row>
    <row r="294" spans="1:18" ht="15" x14ac:dyDescent="0.25">
      <c r="A294" s="4" t="s">
        <v>69</v>
      </c>
      <c r="B294" s="4" t="s">
        <v>19</v>
      </c>
      <c r="C294" s="4" t="s">
        <v>24</v>
      </c>
      <c r="D294" s="5">
        <v>43002</v>
      </c>
      <c r="E294" s="4">
        <v>75990</v>
      </c>
      <c r="F294" s="4">
        <v>148.97294489999999</v>
      </c>
      <c r="G294" s="4">
        <v>25149</v>
      </c>
      <c r="H294" s="4">
        <v>9124</v>
      </c>
      <c r="I294" s="4">
        <v>10423</v>
      </c>
      <c r="J294" s="4">
        <v>6516</v>
      </c>
      <c r="K294" s="4">
        <v>5524</v>
      </c>
      <c r="L294" s="4">
        <v>4129</v>
      </c>
      <c r="M294" s="6">
        <v>6.9444444444444444E-5</v>
      </c>
      <c r="N294" s="4">
        <v>25603</v>
      </c>
      <c r="O294" s="4">
        <v>74</v>
      </c>
      <c r="P294" s="4">
        <v>18</v>
      </c>
      <c r="Q294" s="4">
        <v>25518</v>
      </c>
      <c r="R294" s="4">
        <v>242</v>
      </c>
    </row>
    <row r="295" spans="1:18" ht="15" x14ac:dyDescent="0.25">
      <c r="A295" s="4" t="s">
        <v>69</v>
      </c>
      <c r="B295" s="4" t="s">
        <v>19</v>
      </c>
      <c r="C295" s="4" t="s">
        <v>26</v>
      </c>
      <c r="D295" s="5">
        <v>43002</v>
      </c>
      <c r="E295" s="4">
        <v>334024</v>
      </c>
      <c r="F295" s="4">
        <v>672.4313631</v>
      </c>
      <c r="G295" s="4">
        <v>90655</v>
      </c>
      <c r="H295" s="4">
        <v>35718</v>
      </c>
      <c r="I295" s="4">
        <v>40212</v>
      </c>
      <c r="J295" s="4">
        <v>26597</v>
      </c>
      <c r="K295" s="4">
        <v>23319</v>
      </c>
      <c r="L295" s="4">
        <v>14631</v>
      </c>
      <c r="M295" s="6">
        <v>6.9444444444444444E-5</v>
      </c>
      <c r="N295" s="4">
        <v>93561</v>
      </c>
      <c r="O295" s="4">
        <v>442</v>
      </c>
      <c r="P295" s="4">
        <v>149</v>
      </c>
      <c r="Q295" s="4">
        <v>93250</v>
      </c>
      <c r="R295" s="4">
        <v>2003</v>
      </c>
    </row>
    <row r="296" spans="1:18" ht="15" x14ac:dyDescent="0.25">
      <c r="A296" s="4" t="s">
        <v>70</v>
      </c>
      <c r="B296" s="4" t="s">
        <v>29</v>
      </c>
      <c r="C296" s="4" t="s">
        <v>21</v>
      </c>
      <c r="D296" s="5">
        <v>43002</v>
      </c>
      <c r="E296" s="4">
        <v>0</v>
      </c>
      <c r="F296" s="4">
        <v>4.9954041999999997E-2</v>
      </c>
      <c r="G296" s="4">
        <v>10</v>
      </c>
      <c r="H296" s="4">
        <v>7</v>
      </c>
      <c r="I296" s="4">
        <v>6</v>
      </c>
      <c r="J296" s="4">
        <v>4</v>
      </c>
      <c r="K296" s="4">
        <v>4</v>
      </c>
      <c r="L296" s="4">
        <v>1</v>
      </c>
      <c r="M296" s="6">
        <v>1.1574074074074075E-4</v>
      </c>
      <c r="N296" s="4">
        <v>10</v>
      </c>
      <c r="O296" s="7"/>
      <c r="P296" s="7"/>
      <c r="Q296" s="4">
        <v>10</v>
      </c>
      <c r="R296" s="7"/>
    </row>
    <row r="297" spans="1:18" ht="15" x14ac:dyDescent="0.25">
      <c r="A297" s="4" t="s">
        <v>70</v>
      </c>
      <c r="B297" s="4" t="s">
        <v>29</v>
      </c>
      <c r="C297" s="4" t="s">
        <v>20</v>
      </c>
      <c r="D297" s="5">
        <v>43002</v>
      </c>
      <c r="E297" s="4">
        <v>273</v>
      </c>
      <c r="F297" s="4">
        <v>0.189825361</v>
      </c>
      <c r="G297" s="4">
        <v>13</v>
      </c>
      <c r="H297" s="4">
        <v>11</v>
      </c>
      <c r="I297" s="4">
        <v>11</v>
      </c>
      <c r="J297" s="4">
        <v>11</v>
      </c>
      <c r="K297" s="4">
        <v>11</v>
      </c>
      <c r="L297" s="4">
        <v>11</v>
      </c>
      <c r="M297" s="6">
        <v>4.2824074074074075E-4</v>
      </c>
      <c r="N297" s="4">
        <v>13</v>
      </c>
      <c r="O297" s="7"/>
      <c r="P297" s="7"/>
      <c r="Q297" s="4">
        <v>13</v>
      </c>
      <c r="R297" s="7"/>
    </row>
    <row r="298" spans="1:18" ht="15" x14ac:dyDescent="0.25">
      <c r="A298" s="4" t="s">
        <v>70</v>
      </c>
      <c r="B298" s="4" t="s">
        <v>29</v>
      </c>
      <c r="C298" s="4" t="s">
        <v>23</v>
      </c>
      <c r="D298" s="5">
        <v>43002</v>
      </c>
      <c r="E298" s="4">
        <v>1919</v>
      </c>
      <c r="F298" s="4">
        <v>3.4668105339999999</v>
      </c>
      <c r="G298" s="4">
        <v>648</v>
      </c>
      <c r="H298" s="4">
        <v>282</v>
      </c>
      <c r="I298" s="4">
        <v>257</v>
      </c>
      <c r="J298" s="4">
        <v>216</v>
      </c>
      <c r="K298" s="4">
        <v>211</v>
      </c>
      <c r="L298" s="4">
        <v>179</v>
      </c>
      <c r="M298" s="6">
        <v>1.7361111111111112E-4</v>
      </c>
      <c r="N298" s="4">
        <v>662</v>
      </c>
      <c r="O298" s="4">
        <v>4</v>
      </c>
      <c r="P298" s="4">
        <v>1</v>
      </c>
      <c r="Q298" s="4">
        <v>659</v>
      </c>
      <c r="R298" s="4">
        <v>6</v>
      </c>
    </row>
    <row r="299" spans="1:18" ht="15" x14ac:dyDescent="0.25">
      <c r="A299" s="4" t="s">
        <v>70</v>
      </c>
      <c r="B299" s="4" t="s">
        <v>29</v>
      </c>
      <c r="C299" s="4" t="s">
        <v>22</v>
      </c>
      <c r="D299" s="5">
        <v>43002</v>
      </c>
      <c r="E299" s="4">
        <v>4228</v>
      </c>
      <c r="F299" s="4">
        <v>12.62838189</v>
      </c>
      <c r="G299" s="4">
        <v>1843</v>
      </c>
      <c r="H299" s="4">
        <v>739</v>
      </c>
      <c r="I299" s="4">
        <v>659</v>
      </c>
      <c r="J299" s="4">
        <v>594</v>
      </c>
      <c r="K299" s="4">
        <v>571</v>
      </c>
      <c r="L299" s="4">
        <v>428</v>
      </c>
      <c r="M299" s="6">
        <v>1.3888888888888889E-4</v>
      </c>
      <c r="N299" s="4">
        <v>1850</v>
      </c>
      <c r="O299" s="4">
        <v>1</v>
      </c>
      <c r="P299" s="4">
        <v>1</v>
      </c>
      <c r="Q299" s="4">
        <v>1850</v>
      </c>
      <c r="R299" s="4">
        <v>5</v>
      </c>
    </row>
    <row r="300" spans="1:18" ht="15" x14ac:dyDescent="0.25">
      <c r="A300" s="4" t="s">
        <v>70</v>
      </c>
      <c r="B300" s="4" t="s">
        <v>29</v>
      </c>
      <c r="C300" s="4" t="s">
        <v>24</v>
      </c>
      <c r="D300" s="5">
        <v>43002</v>
      </c>
      <c r="E300" s="4">
        <v>46251</v>
      </c>
      <c r="F300" s="4">
        <v>52.831395120000003</v>
      </c>
      <c r="G300" s="4">
        <v>12206</v>
      </c>
      <c r="H300" s="4">
        <v>6333</v>
      </c>
      <c r="I300" s="4">
        <v>5834</v>
      </c>
      <c r="J300" s="4">
        <v>5197</v>
      </c>
      <c r="K300" s="4">
        <v>5029</v>
      </c>
      <c r="L300" s="4">
        <v>4316</v>
      </c>
      <c r="M300" s="6">
        <v>1.5046296296296297E-4</v>
      </c>
      <c r="N300" s="4">
        <v>12490</v>
      </c>
      <c r="O300" s="4">
        <v>43</v>
      </c>
      <c r="P300" s="4">
        <v>28</v>
      </c>
      <c r="Q300" s="4">
        <v>12452</v>
      </c>
      <c r="R300" s="4">
        <v>121</v>
      </c>
    </row>
    <row r="301" spans="1:18" ht="15" x14ac:dyDescent="0.25">
      <c r="A301" s="4" t="s">
        <v>70</v>
      </c>
      <c r="B301" s="4" t="s">
        <v>29</v>
      </c>
      <c r="C301" s="4" t="s">
        <v>25</v>
      </c>
      <c r="D301" s="5">
        <v>43002</v>
      </c>
      <c r="E301" s="4">
        <v>133629</v>
      </c>
      <c r="F301" s="4">
        <v>281.75078930000001</v>
      </c>
      <c r="G301" s="4">
        <v>49397</v>
      </c>
      <c r="H301" s="4">
        <v>19594</v>
      </c>
      <c r="I301" s="4">
        <v>17234</v>
      </c>
      <c r="J301" s="4">
        <v>15153</v>
      </c>
      <c r="K301" s="4">
        <v>14627</v>
      </c>
      <c r="L301" s="4">
        <v>10869</v>
      </c>
      <c r="M301" s="6">
        <v>1.0416666666666667E-4</v>
      </c>
      <c r="N301" s="4">
        <v>49979</v>
      </c>
      <c r="O301" s="4">
        <v>82</v>
      </c>
      <c r="P301" s="4">
        <v>90</v>
      </c>
      <c r="Q301" s="4">
        <v>49917</v>
      </c>
      <c r="R301" s="4">
        <v>348</v>
      </c>
    </row>
    <row r="302" spans="1:18" ht="15" x14ac:dyDescent="0.25">
      <c r="A302" s="4" t="s">
        <v>70</v>
      </c>
      <c r="B302" s="4" t="s">
        <v>29</v>
      </c>
      <c r="C302" s="4" t="s">
        <v>26</v>
      </c>
      <c r="D302" s="5">
        <v>43002</v>
      </c>
      <c r="E302" s="4">
        <v>411906</v>
      </c>
      <c r="F302" s="4">
        <v>649.08284379999998</v>
      </c>
      <c r="G302" s="4">
        <v>126489</v>
      </c>
      <c r="H302" s="4">
        <v>57813</v>
      </c>
      <c r="I302" s="4">
        <v>52254</v>
      </c>
      <c r="J302" s="4">
        <v>46743</v>
      </c>
      <c r="K302" s="4">
        <v>45192</v>
      </c>
      <c r="L302" s="4">
        <v>35413</v>
      </c>
      <c r="M302" s="6">
        <v>1.0416666666666667E-4</v>
      </c>
      <c r="N302" s="4">
        <v>129019</v>
      </c>
      <c r="O302" s="4">
        <v>451</v>
      </c>
      <c r="P302" s="4">
        <v>301</v>
      </c>
      <c r="Q302" s="4">
        <v>128661</v>
      </c>
      <c r="R302" s="4">
        <v>1419</v>
      </c>
    </row>
    <row r="303" spans="1:18" ht="15" x14ac:dyDescent="0.25">
      <c r="A303" s="4" t="s">
        <v>71</v>
      </c>
      <c r="B303" s="4" t="s">
        <v>29</v>
      </c>
      <c r="C303" s="4" t="s">
        <v>21</v>
      </c>
      <c r="D303" s="5">
        <v>43003</v>
      </c>
      <c r="E303" s="4">
        <v>0</v>
      </c>
      <c r="F303" s="4">
        <v>3.9962434999999998E-2</v>
      </c>
      <c r="G303" s="4">
        <v>13</v>
      </c>
      <c r="H303" s="4">
        <v>5</v>
      </c>
      <c r="I303" s="4">
        <v>3</v>
      </c>
      <c r="J303" s="4">
        <v>3</v>
      </c>
      <c r="K303" s="4">
        <v>3</v>
      </c>
      <c r="L303" s="4">
        <v>2</v>
      </c>
      <c r="M303" s="6">
        <v>1.3888888888888889E-4</v>
      </c>
      <c r="N303" s="4">
        <v>13</v>
      </c>
      <c r="O303" s="7"/>
      <c r="P303" s="7"/>
      <c r="Q303" s="4">
        <v>13</v>
      </c>
      <c r="R303" s="7"/>
    </row>
    <row r="304" spans="1:18" ht="15" x14ac:dyDescent="0.25">
      <c r="A304" s="4" t="s">
        <v>71</v>
      </c>
      <c r="B304" s="4" t="s">
        <v>29</v>
      </c>
      <c r="C304" s="4" t="s">
        <v>20</v>
      </c>
      <c r="D304" s="5">
        <v>43003</v>
      </c>
      <c r="E304" s="4">
        <v>11</v>
      </c>
      <c r="F304" s="4">
        <v>9.9906089999999993E-3</v>
      </c>
      <c r="G304" s="7"/>
      <c r="H304" s="7"/>
      <c r="I304" s="7"/>
      <c r="J304" s="7"/>
      <c r="K304" s="7"/>
      <c r="L304" s="7"/>
      <c r="M304" s="6">
        <v>0</v>
      </c>
      <c r="N304" s="4">
        <v>0</v>
      </c>
      <c r="O304" s="7"/>
      <c r="P304" s="7"/>
      <c r="Q304" s="7"/>
      <c r="R304" s="7"/>
    </row>
    <row r="305" spans="1:18" ht="15" x14ac:dyDescent="0.25">
      <c r="A305" s="4" t="s">
        <v>71</v>
      </c>
      <c r="B305" s="4" t="s">
        <v>29</v>
      </c>
      <c r="C305" s="4" t="s">
        <v>23</v>
      </c>
      <c r="D305" s="5">
        <v>43003</v>
      </c>
      <c r="E305" s="4">
        <v>512</v>
      </c>
      <c r="F305" s="4">
        <v>3.2869103040000001</v>
      </c>
      <c r="G305" s="4">
        <v>820</v>
      </c>
      <c r="H305" s="4">
        <v>248</v>
      </c>
      <c r="I305" s="4">
        <v>159</v>
      </c>
      <c r="J305" s="4">
        <v>112</v>
      </c>
      <c r="K305" s="4">
        <v>87</v>
      </c>
      <c r="L305" s="4">
        <v>69</v>
      </c>
      <c r="M305" s="6">
        <v>1.0416666666666667E-4</v>
      </c>
      <c r="N305" s="4">
        <v>824</v>
      </c>
      <c r="O305" s="4">
        <v>1</v>
      </c>
      <c r="P305" s="7"/>
      <c r="Q305" s="4">
        <v>824</v>
      </c>
      <c r="R305" s="4">
        <v>3</v>
      </c>
    </row>
    <row r="306" spans="1:18" ht="15" x14ac:dyDescent="0.25">
      <c r="A306" s="4" t="s">
        <v>71</v>
      </c>
      <c r="B306" s="4" t="s">
        <v>29</v>
      </c>
      <c r="C306" s="4" t="s">
        <v>22</v>
      </c>
      <c r="D306" s="5">
        <v>43003</v>
      </c>
      <c r="E306" s="4">
        <v>1439</v>
      </c>
      <c r="F306" s="4">
        <v>4.6456331049999999</v>
      </c>
      <c r="G306" s="4">
        <v>996</v>
      </c>
      <c r="H306" s="4">
        <v>259</v>
      </c>
      <c r="I306" s="4">
        <v>130</v>
      </c>
      <c r="J306" s="4">
        <v>93</v>
      </c>
      <c r="K306" s="4">
        <v>69</v>
      </c>
      <c r="L306" s="4">
        <v>50</v>
      </c>
      <c r="M306" s="6">
        <v>1.0416666666666667E-4</v>
      </c>
      <c r="N306" s="4">
        <v>997</v>
      </c>
      <c r="O306" s="7"/>
      <c r="P306" s="7"/>
      <c r="Q306" s="4">
        <v>997</v>
      </c>
      <c r="R306" s="4">
        <v>1</v>
      </c>
    </row>
    <row r="307" spans="1:18" ht="15" x14ac:dyDescent="0.25">
      <c r="A307" s="4" t="s">
        <v>71</v>
      </c>
      <c r="B307" s="4" t="s">
        <v>29</v>
      </c>
      <c r="C307" s="4" t="s">
        <v>24</v>
      </c>
      <c r="D307" s="5">
        <v>43003</v>
      </c>
      <c r="E307" s="4">
        <v>8844</v>
      </c>
      <c r="F307" s="4">
        <v>23.288109179999999</v>
      </c>
      <c r="G307" s="4">
        <v>5628</v>
      </c>
      <c r="H307" s="4">
        <v>1475</v>
      </c>
      <c r="I307" s="4">
        <v>737</v>
      </c>
      <c r="J307" s="4">
        <v>466</v>
      </c>
      <c r="K307" s="4">
        <v>351</v>
      </c>
      <c r="L307" s="4">
        <v>300</v>
      </c>
      <c r="M307" s="6">
        <v>9.2592592592592588E-5</v>
      </c>
      <c r="N307" s="4">
        <v>5646</v>
      </c>
      <c r="O307" s="4">
        <v>2</v>
      </c>
      <c r="P307" s="7"/>
      <c r="Q307" s="4">
        <v>5641</v>
      </c>
      <c r="R307" s="4">
        <v>5</v>
      </c>
    </row>
    <row r="308" spans="1:18" ht="15" x14ac:dyDescent="0.25">
      <c r="A308" s="4" t="s">
        <v>71</v>
      </c>
      <c r="B308" s="4" t="s">
        <v>29</v>
      </c>
      <c r="C308" s="4" t="s">
        <v>25</v>
      </c>
      <c r="D308" s="5">
        <v>43003</v>
      </c>
      <c r="E308" s="4">
        <v>93300</v>
      </c>
      <c r="F308" s="4">
        <v>227.16646349999999</v>
      </c>
      <c r="G308" s="4">
        <v>63012</v>
      </c>
      <c r="H308" s="4">
        <v>17560</v>
      </c>
      <c r="I308" s="4">
        <v>10423</v>
      </c>
      <c r="J308" s="4">
        <v>7762</v>
      </c>
      <c r="K308" s="4">
        <v>5502</v>
      </c>
      <c r="L308" s="4">
        <v>4551</v>
      </c>
      <c r="M308" s="6">
        <v>9.2592592592592588E-5</v>
      </c>
      <c r="N308" s="4">
        <v>63375</v>
      </c>
      <c r="O308" s="4">
        <v>71</v>
      </c>
      <c r="P308" s="4">
        <v>21</v>
      </c>
      <c r="Q308" s="4">
        <v>63341</v>
      </c>
      <c r="R308" s="4">
        <v>237</v>
      </c>
    </row>
    <row r="309" spans="1:18" ht="15" x14ac:dyDescent="0.25">
      <c r="A309" s="4" t="s">
        <v>71</v>
      </c>
      <c r="B309" s="4" t="s">
        <v>29</v>
      </c>
      <c r="C309" s="4" t="s">
        <v>26</v>
      </c>
      <c r="D309" s="5">
        <v>43003</v>
      </c>
      <c r="E309" s="4">
        <v>383439</v>
      </c>
      <c r="F309" s="4">
        <v>741.5629308</v>
      </c>
      <c r="G309" s="4">
        <v>224603</v>
      </c>
      <c r="H309" s="4">
        <v>73197</v>
      </c>
      <c r="I309" s="4">
        <v>46068</v>
      </c>
      <c r="J309" s="4">
        <v>33855</v>
      </c>
      <c r="K309" s="4">
        <v>24108</v>
      </c>
      <c r="L309" s="4">
        <v>19834</v>
      </c>
      <c r="M309" s="6">
        <v>1.0416666666666667E-4</v>
      </c>
      <c r="N309" s="4">
        <v>226169</v>
      </c>
      <c r="O309" s="4">
        <v>289</v>
      </c>
      <c r="P309" s="4">
        <v>69</v>
      </c>
      <c r="Q309" s="4">
        <v>225966</v>
      </c>
      <c r="R309" s="4">
        <v>1005</v>
      </c>
    </row>
    <row r="310" spans="1:18" ht="15" x14ac:dyDescent="0.25">
      <c r="A310" s="4" t="s">
        <v>72</v>
      </c>
      <c r="B310" s="4" t="s">
        <v>29</v>
      </c>
      <c r="C310" s="4" t="s">
        <v>22</v>
      </c>
      <c r="D310" s="5">
        <v>42981</v>
      </c>
      <c r="E310" s="4">
        <v>1</v>
      </c>
      <c r="F310" s="4">
        <v>0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7"/>
      <c r="M310" s="6">
        <v>4.1666666666666669E-4</v>
      </c>
      <c r="N310" s="4">
        <v>1</v>
      </c>
      <c r="O310" s="7"/>
      <c r="P310" s="7"/>
      <c r="Q310" s="4">
        <v>1</v>
      </c>
      <c r="R310" s="7"/>
    </row>
    <row r="311" spans="1:18" ht="15" x14ac:dyDescent="0.25">
      <c r="A311" s="4" t="s">
        <v>72</v>
      </c>
      <c r="B311" s="4" t="s">
        <v>29</v>
      </c>
      <c r="C311" s="4" t="s">
        <v>21</v>
      </c>
      <c r="D311" s="5">
        <v>42981</v>
      </c>
      <c r="E311" s="4">
        <v>7</v>
      </c>
      <c r="F311" s="4">
        <v>9.9815340000000002E-3</v>
      </c>
      <c r="G311" s="4">
        <v>4</v>
      </c>
      <c r="H311" s="4">
        <v>3</v>
      </c>
      <c r="I311" s="4">
        <v>3</v>
      </c>
      <c r="J311" s="4">
        <v>1</v>
      </c>
      <c r="K311" s="4">
        <v>1</v>
      </c>
      <c r="L311" s="7"/>
      <c r="M311" s="6">
        <v>1.3888888888888889E-4</v>
      </c>
      <c r="N311" s="4">
        <v>4</v>
      </c>
      <c r="O311" s="7"/>
      <c r="P311" s="7"/>
      <c r="Q311" s="4">
        <v>4</v>
      </c>
      <c r="R311" s="7"/>
    </row>
    <row r="312" spans="1:18" ht="15" x14ac:dyDescent="0.25">
      <c r="A312" s="4" t="s">
        <v>72</v>
      </c>
      <c r="B312" s="4" t="s">
        <v>29</v>
      </c>
      <c r="C312" s="4" t="s">
        <v>24</v>
      </c>
      <c r="D312" s="5">
        <v>42981</v>
      </c>
      <c r="E312" s="4">
        <v>16</v>
      </c>
      <c r="F312" s="4">
        <v>9.9815342000000001E-2</v>
      </c>
      <c r="G312" s="4">
        <v>7</v>
      </c>
      <c r="H312" s="4">
        <v>1</v>
      </c>
      <c r="I312" s="4">
        <v>1</v>
      </c>
      <c r="J312" s="4">
        <v>1</v>
      </c>
      <c r="K312" s="4">
        <v>1</v>
      </c>
      <c r="L312" s="7"/>
      <c r="M312" s="6">
        <v>5.7870370370370373E-5</v>
      </c>
      <c r="N312" s="4">
        <v>7</v>
      </c>
      <c r="O312" s="7"/>
      <c r="P312" s="7"/>
      <c r="Q312" s="4">
        <v>7</v>
      </c>
      <c r="R312" s="7"/>
    </row>
    <row r="313" spans="1:18" ht="15" x14ac:dyDescent="0.25">
      <c r="A313" s="4" t="s">
        <v>72</v>
      </c>
      <c r="B313" s="4" t="s">
        <v>29</v>
      </c>
      <c r="C313" s="4" t="s">
        <v>25</v>
      </c>
      <c r="D313" s="5">
        <v>42981</v>
      </c>
      <c r="E313" s="4">
        <v>43</v>
      </c>
      <c r="F313" s="4">
        <v>0.14972301199999999</v>
      </c>
      <c r="G313" s="4">
        <v>9</v>
      </c>
      <c r="H313" s="4">
        <v>2</v>
      </c>
      <c r="I313" s="4">
        <v>2</v>
      </c>
      <c r="J313" s="4">
        <v>1</v>
      </c>
      <c r="K313" s="4">
        <v>1</v>
      </c>
      <c r="L313" s="4">
        <v>1</v>
      </c>
      <c r="M313" s="6">
        <v>2.3148148148148147E-5</v>
      </c>
      <c r="N313" s="4">
        <v>9</v>
      </c>
      <c r="O313" s="7"/>
      <c r="P313" s="7"/>
      <c r="Q313" s="4">
        <v>9</v>
      </c>
      <c r="R313" s="7"/>
    </row>
    <row r="314" spans="1:18" ht="15" x14ac:dyDescent="0.25">
      <c r="A314" s="4" t="s">
        <v>72</v>
      </c>
      <c r="B314" s="4" t="s">
        <v>29</v>
      </c>
      <c r="C314" s="4" t="s">
        <v>20</v>
      </c>
      <c r="D314" s="5">
        <v>42981</v>
      </c>
      <c r="E314" s="4">
        <v>64</v>
      </c>
      <c r="F314" s="4">
        <v>8.8236761989999994</v>
      </c>
      <c r="G314" s="4">
        <v>182</v>
      </c>
      <c r="H314" s="4">
        <v>154</v>
      </c>
      <c r="I314" s="4">
        <v>157</v>
      </c>
      <c r="J314" s="4">
        <v>67</v>
      </c>
      <c r="K314" s="4">
        <v>49</v>
      </c>
      <c r="L314" s="4">
        <v>42</v>
      </c>
      <c r="M314" s="6">
        <v>1.8518518518518518E-4</v>
      </c>
      <c r="N314" s="4">
        <v>182</v>
      </c>
      <c r="O314" s="7"/>
      <c r="P314" s="7"/>
      <c r="Q314" s="4">
        <v>182</v>
      </c>
      <c r="R314" s="7"/>
    </row>
    <row r="315" spans="1:18" ht="15" x14ac:dyDescent="0.25">
      <c r="A315" s="4" t="s">
        <v>72</v>
      </c>
      <c r="B315" s="4" t="s">
        <v>29</v>
      </c>
      <c r="C315" s="4" t="s">
        <v>26</v>
      </c>
      <c r="D315" s="5">
        <v>42981</v>
      </c>
      <c r="E315" s="4">
        <v>169</v>
      </c>
      <c r="F315" s="4">
        <v>0.59889205000000001</v>
      </c>
      <c r="G315" s="4">
        <v>48</v>
      </c>
      <c r="H315" s="4">
        <v>23</v>
      </c>
      <c r="I315" s="4">
        <v>24</v>
      </c>
      <c r="J315" s="4">
        <v>12</v>
      </c>
      <c r="K315" s="4">
        <v>9</v>
      </c>
      <c r="L315" s="4">
        <v>8</v>
      </c>
      <c r="M315" s="6">
        <v>5.7870370370370373E-5</v>
      </c>
      <c r="N315" s="4">
        <v>48</v>
      </c>
      <c r="O315" s="7"/>
      <c r="P315" s="7"/>
      <c r="Q315" s="4">
        <v>48</v>
      </c>
      <c r="R315" s="7"/>
    </row>
    <row r="316" spans="1:18" ht="15" x14ac:dyDescent="0.25">
      <c r="A316" s="4" t="s">
        <v>72</v>
      </c>
      <c r="B316" s="4" t="s">
        <v>29</v>
      </c>
      <c r="C316" s="4" t="s">
        <v>22</v>
      </c>
      <c r="D316" s="5">
        <v>42981</v>
      </c>
      <c r="E316" s="4">
        <v>448</v>
      </c>
      <c r="F316" s="4">
        <v>3.1342017270000002</v>
      </c>
      <c r="G316" s="4">
        <v>349</v>
      </c>
      <c r="H316" s="4">
        <v>156</v>
      </c>
      <c r="I316" s="4">
        <v>160</v>
      </c>
      <c r="J316" s="4">
        <v>94</v>
      </c>
      <c r="K316" s="4">
        <v>69</v>
      </c>
      <c r="L316" s="4">
        <v>55</v>
      </c>
      <c r="M316" s="6">
        <v>8.1018518518518516E-5</v>
      </c>
      <c r="N316" s="4">
        <v>350</v>
      </c>
      <c r="O316" s="7"/>
      <c r="P316" s="7"/>
      <c r="Q316" s="4">
        <v>350</v>
      </c>
      <c r="R316" s="4">
        <v>1</v>
      </c>
    </row>
    <row r="317" spans="1:18" ht="15" x14ac:dyDescent="0.25">
      <c r="A317" s="4" t="s">
        <v>72</v>
      </c>
      <c r="B317" s="4" t="s">
        <v>29</v>
      </c>
      <c r="C317" s="4" t="s">
        <v>24</v>
      </c>
      <c r="D317" s="5">
        <v>42981</v>
      </c>
      <c r="E317" s="4">
        <v>1503</v>
      </c>
      <c r="F317" s="4">
        <v>2.914607975</v>
      </c>
      <c r="G317" s="4">
        <v>502</v>
      </c>
      <c r="H317" s="4">
        <v>145</v>
      </c>
      <c r="I317" s="4">
        <v>149</v>
      </c>
      <c r="J317" s="4">
        <v>90</v>
      </c>
      <c r="K317" s="4">
        <v>72</v>
      </c>
      <c r="L317" s="4">
        <v>60</v>
      </c>
      <c r="M317" s="6">
        <v>5.7870370370370373E-5</v>
      </c>
      <c r="N317" s="4">
        <v>503</v>
      </c>
      <c r="O317" s="7"/>
      <c r="P317" s="7"/>
      <c r="Q317" s="4">
        <v>503</v>
      </c>
      <c r="R317" s="4">
        <v>1</v>
      </c>
    </row>
    <row r="318" spans="1:18" ht="15" x14ac:dyDescent="0.25">
      <c r="A318" s="4" t="s">
        <v>72</v>
      </c>
      <c r="B318" s="4" t="s">
        <v>29</v>
      </c>
      <c r="C318" s="4" t="s">
        <v>23</v>
      </c>
      <c r="D318" s="5">
        <v>42981</v>
      </c>
      <c r="E318" s="4">
        <v>2119</v>
      </c>
      <c r="F318" s="4">
        <v>5.8391974849999997</v>
      </c>
      <c r="G318" s="4">
        <v>904</v>
      </c>
      <c r="H318" s="4">
        <v>428</v>
      </c>
      <c r="I318" s="4">
        <v>438</v>
      </c>
      <c r="J318" s="4">
        <v>263</v>
      </c>
      <c r="K318" s="4">
        <v>184</v>
      </c>
      <c r="L318" s="4">
        <v>148</v>
      </c>
      <c r="M318" s="6">
        <v>8.1018518518518516E-5</v>
      </c>
      <c r="N318" s="4">
        <v>913</v>
      </c>
      <c r="O318" s="4">
        <v>1</v>
      </c>
      <c r="P318" s="7"/>
      <c r="Q318" s="4">
        <v>913</v>
      </c>
      <c r="R318" s="4">
        <v>8</v>
      </c>
    </row>
    <row r="319" spans="1:18" ht="15" x14ac:dyDescent="0.25">
      <c r="A319" s="4" t="s">
        <v>72</v>
      </c>
      <c r="B319" s="4" t="s">
        <v>29</v>
      </c>
      <c r="C319" s="4" t="s">
        <v>25</v>
      </c>
      <c r="D319" s="5">
        <v>42981</v>
      </c>
      <c r="E319" s="4">
        <v>46715</v>
      </c>
      <c r="F319" s="4">
        <v>149.5433448</v>
      </c>
      <c r="G319" s="4">
        <v>16622</v>
      </c>
      <c r="H319" s="4">
        <v>8671</v>
      </c>
      <c r="I319" s="4">
        <v>8738</v>
      </c>
      <c r="J319" s="4">
        <v>4980</v>
      </c>
      <c r="K319" s="4">
        <v>3659</v>
      </c>
      <c r="L319" s="4">
        <v>2993</v>
      </c>
      <c r="M319" s="6">
        <v>8.1018518518518516E-5</v>
      </c>
      <c r="N319" s="4">
        <v>16722</v>
      </c>
      <c r="O319" s="4">
        <v>12</v>
      </c>
      <c r="P319" s="4">
        <v>10</v>
      </c>
      <c r="Q319" s="4">
        <v>16718</v>
      </c>
      <c r="R319" s="4">
        <v>74</v>
      </c>
    </row>
    <row r="320" spans="1:18" ht="15" x14ac:dyDescent="0.25">
      <c r="A320" s="4" t="s">
        <v>72</v>
      </c>
      <c r="B320" s="4" t="s">
        <v>29</v>
      </c>
      <c r="C320" s="4" t="s">
        <v>26</v>
      </c>
      <c r="D320" s="5">
        <v>42981</v>
      </c>
      <c r="E320" s="4">
        <v>265956</v>
      </c>
      <c r="F320" s="4">
        <v>828.88655989999995</v>
      </c>
      <c r="G320" s="4">
        <v>108591</v>
      </c>
      <c r="H320" s="4">
        <v>56452</v>
      </c>
      <c r="I320" s="4">
        <v>57281</v>
      </c>
      <c r="J320" s="4">
        <v>34134</v>
      </c>
      <c r="K320" s="4">
        <v>24896</v>
      </c>
      <c r="L320" s="4">
        <v>19968</v>
      </c>
      <c r="M320" s="6">
        <v>8.1018518518518516E-5</v>
      </c>
      <c r="N320" s="4">
        <v>109462</v>
      </c>
      <c r="O320" s="4">
        <v>141</v>
      </c>
      <c r="P320" s="4">
        <v>20</v>
      </c>
      <c r="Q320" s="4">
        <v>109383</v>
      </c>
      <c r="R320" s="4">
        <v>631</v>
      </c>
    </row>
    <row r="321" spans="1:18" ht="15" x14ac:dyDescent="0.25">
      <c r="A321" s="4" t="s">
        <v>73</v>
      </c>
      <c r="B321" s="4" t="s">
        <v>32</v>
      </c>
      <c r="C321" s="4" t="s">
        <v>20</v>
      </c>
      <c r="D321" s="5">
        <v>43003</v>
      </c>
      <c r="E321" s="4">
        <v>0</v>
      </c>
      <c r="F321" s="4">
        <v>5.9943653E-2</v>
      </c>
      <c r="G321" s="4">
        <v>3</v>
      </c>
      <c r="H321" s="4">
        <v>3</v>
      </c>
      <c r="I321" s="4">
        <v>2</v>
      </c>
      <c r="J321" s="4">
        <v>1</v>
      </c>
      <c r="K321" s="4">
        <v>1</v>
      </c>
      <c r="L321" s="4">
        <v>1</v>
      </c>
      <c r="M321" s="6">
        <v>2.7777777777777778E-4</v>
      </c>
      <c r="N321" s="4">
        <v>3</v>
      </c>
      <c r="O321" s="7"/>
      <c r="P321" s="7"/>
      <c r="Q321" s="4">
        <v>3</v>
      </c>
      <c r="R321" s="7"/>
    </row>
    <row r="322" spans="1:18" ht="15" x14ac:dyDescent="0.25">
      <c r="A322" s="4" t="s">
        <v>73</v>
      </c>
      <c r="B322" s="4" t="s">
        <v>32</v>
      </c>
      <c r="C322" s="4" t="s">
        <v>21</v>
      </c>
      <c r="D322" s="5">
        <v>43003</v>
      </c>
      <c r="E322" s="4">
        <v>30</v>
      </c>
      <c r="F322" s="4">
        <v>0.14985913200000001</v>
      </c>
      <c r="G322" s="4">
        <v>18</v>
      </c>
      <c r="H322" s="4">
        <v>11</v>
      </c>
      <c r="I322" s="4">
        <v>7</v>
      </c>
      <c r="J322" s="4">
        <v>5</v>
      </c>
      <c r="K322" s="4">
        <v>4</v>
      </c>
      <c r="L322" s="4">
        <v>2</v>
      </c>
      <c r="M322" s="6">
        <v>1.9675925925925926E-4</v>
      </c>
      <c r="N322" s="4">
        <v>18</v>
      </c>
      <c r="O322" s="7"/>
      <c r="P322" s="7"/>
      <c r="Q322" s="4">
        <v>18</v>
      </c>
      <c r="R322" s="7"/>
    </row>
    <row r="323" spans="1:18" ht="15" x14ac:dyDescent="0.25">
      <c r="A323" s="4" t="s">
        <v>73</v>
      </c>
      <c r="B323" s="4" t="s">
        <v>32</v>
      </c>
      <c r="C323" s="4" t="s">
        <v>22</v>
      </c>
      <c r="D323" s="5">
        <v>43003</v>
      </c>
      <c r="E323" s="4">
        <v>2112</v>
      </c>
      <c r="F323" s="4">
        <v>15.964992909999999</v>
      </c>
      <c r="G323" s="4">
        <v>1230</v>
      </c>
      <c r="H323" s="4">
        <v>391</v>
      </c>
      <c r="I323" s="4">
        <v>192</v>
      </c>
      <c r="J323" s="4">
        <v>89</v>
      </c>
      <c r="K323" s="4">
        <v>59</v>
      </c>
      <c r="L323" s="4">
        <v>49</v>
      </c>
      <c r="M323" s="6">
        <v>8.1018518518518516E-5</v>
      </c>
      <c r="N323" s="4">
        <v>1234</v>
      </c>
      <c r="O323" s="4">
        <v>1</v>
      </c>
      <c r="P323" s="7"/>
      <c r="Q323" s="4">
        <v>1233</v>
      </c>
      <c r="R323" s="4">
        <v>2</v>
      </c>
    </row>
    <row r="324" spans="1:18" ht="15" x14ac:dyDescent="0.25">
      <c r="A324" s="4" t="s">
        <v>73</v>
      </c>
      <c r="B324" s="4" t="s">
        <v>32</v>
      </c>
      <c r="C324" s="4" t="s">
        <v>23</v>
      </c>
      <c r="D324" s="5">
        <v>43003</v>
      </c>
      <c r="E324" s="4">
        <v>2176</v>
      </c>
      <c r="F324" s="4">
        <v>14.856035329999999</v>
      </c>
      <c r="G324" s="4">
        <v>1662</v>
      </c>
      <c r="H324" s="4">
        <v>597</v>
      </c>
      <c r="I324" s="4">
        <v>313</v>
      </c>
      <c r="J324" s="4">
        <v>184</v>
      </c>
      <c r="K324" s="4">
        <v>130</v>
      </c>
      <c r="L324" s="4">
        <v>98</v>
      </c>
      <c r="M324" s="6">
        <v>9.2592592592592588E-5</v>
      </c>
      <c r="N324" s="4">
        <v>1677</v>
      </c>
      <c r="O324" s="4">
        <v>2</v>
      </c>
      <c r="P324" s="4">
        <v>2</v>
      </c>
      <c r="Q324" s="4">
        <v>1677</v>
      </c>
      <c r="R324" s="4">
        <v>11</v>
      </c>
    </row>
    <row r="325" spans="1:18" ht="15" x14ac:dyDescent="0.25">
      <c r="A325" s="4" t="s">
        <v>73</v>
      </c>
      <c r="B325" s="4" t="s">
        <v>32</v>
      </c>
      <c r="C325" s="4" t="s">
        <v>24</v>
      </c>
      <c r="D325" s="5">
        <v>43003</v>
      </c>
      <c r="E325" s="4">
        <v>12798</v>
      </c>
      <c r="F325" s="4">
        <v>71.652646509999997</v>
      </c>
      <c r="G325" s="4">
        <v>6187</v>
      </c>
      <c r="H325" s="4">
        <v>1982</v>
      </c>
      <c r="I325" s="4">
        <v>1144</v>
      </c>
      <c r="J325" s="4">
        <v>652</v>
      </c>
      <c r="K325" s="4">
        <v>468</v>
      </c>
      <c r="L325" s="4">
        <v>383</v>
      </c>
      <c r="M325" s="6">
        <v>8.1018518518518516E-5</v>
      </c>
      <c r="N325" s="4">
        <v>6217</v>
      </c>
      <c r="O325" s="4">
        <v>2</v>
      </c>
      <c r="P325" s="4">
        <v>1</v>
      </c>
      <c r="Q325" s="4">
        <v>6211</v>
      </c>
      <c r="R325" s="4">
        <v>21</v>
      </c>
    </row>
    <row r="326" spans="1:18" ht="15" x14ac:dyDescent="0.25">
      <c r="A326" s="4" t="s">
        <v>73</v>
      </c>
      <c r="B326" s="4" t="s">
        <v>32</v>
      </c>
      <c r="C326" s="4" t="s">
        <v>25</v>
      </c>
      <c r="D326" s="5">
        <v>43003</v>
      </c>
      <c r="E326" s="4">
        <v>30203</v>
      </c>
      <c r="F326" s="4">
        <v>131.79611170000001</v>
      </c>
      <c r="G326" s="4">
        <v>15207</v>
      </c>
      <c r="H326" s="4">
        <v>5600</v>
      </c>
      <c r="I326" s="4">
        <v>3057</v>
      </c>
      <c r="J326" s="4">
        <v>1958</v>
      </c>
      <c r="K326" s="4">
        <v>1347</v>
      </c>
      <c r="L326" s="4">
        <v>1038</v>
      </c>
      <c r="M326" s="6">
        <v>8.1018518518518516E-5</v>
      </c>
      <c r="N326" s="4">
        <v>15354</v>
      </c>
      <c r="O326" s="4">
        <v>31</v>
      </c>
      <c r="P326" s="4">
        <v>9</v>
      </c>
      <c r="Q326" s="4">
        <v>15341</v>
      </c>
      <c r="R326" s="4">
        <v>94</v>
      </c>
    </row>
    <row r="327" spans="1:18" ht="15" x14ac:dyDescent="0.25">
      <c r="A327" s="4" t="s">
        <v>73</v>
      </c>
      <c r="B327" s="4" t="s">
        <v>32</v>
      </c>
      <c r="C327" s="4" t="s">
        <v>26</v>
      </c>
      <c r="D327" s="5">
        <v>43003</v>
      </c>
      <c r="E327" s="4">
        <v>221340</v>
      </c>
      <c r="F327" s="4">
        <v>765.52041080000004</v>
      </c>
      <c r="G327" s="4">
        <v>97116</v>
      </c>
      <c r="H327" s="4">
        <v>36197</v>
      </c>
      <c r="I327" s="4">
        <v>19278</v>
      </c>
      <c r="J327" s="4">
        <v>11440</v>
      </c>
      <c r="K327" s="4">
        <v>7639</v>
      </c>
      <c r="L327" s="4">
        <v>5781</v>
      </c>
      <c r="M327" s="6">
        <v>8.1018518518518516E-5</v>
      </c>
      <c r="N327" s="4">
        <v>98201</v>
      </c>
      <c r="O327" s="4">
        <v>205</v>
      </c>
      <c r="P327" s="4">
        <v>28</v>
      </c>
      <c r="Q327" s="4">
        <v>98071</v>
      </c>
      <c r="R327" s="4">
        <v>722</v>
      </c>
    </row>
    <row r="328" spans="1:18" ht="15" x14ac:dyDescent="0.25">
      <c r="A328" s="4" t="s">
        <v>74</v>
      </c>
      <c r="B328" s="4" t="s">
        <v>19</v>
      </c>
      <c r="C328" s="4" t="s">
        <v>21</v>
      </c>
      <c r="D328" s="5">
        <v>43004</v>
      </c>
      <c r="E328" s="4">
        <v>0</v>
      </c>
      <c r="F328" s="4">
        <v>0.109896697</v>
      </c>
      <c r="G328" s="4">
        <v>13</v>
      </c>
      <c r="H328" s="4">
        <v>7</v>
      </c>
      <c r="I328" s="4">
        <v>7</v>
      </c>
      <c r="J328" s="4">
        <v>7</v>
      </c>
      <c r="K328" s="4">
        <v>6</v>
      </c>
      <c r="L328" s="4">
        <v>6</v>
      </c>
      <c r="M328" s="6">
        <v>1.8518518518518518E-4</v>
      </c>
      <c r="N328" s="4">
        <v>14</v>
      </c>
      <c r="O328" s="7"/>
      <c r="P328" s="7"/>
      <c r="Q328" s="4">
        <v>14</v>
      </c>
      <c r="R328" s="4">
        <v>1</v>
      </c>
    </row>
    <row r="329" spans="1:18" ht="15" x14ac:dyDescent="0.25">
      <c r="A329" s="4" t="s">
        <v>74</v>
      </c>
      <c r="B329" s="4" t="s">
        <v>19</v>
      </c>
      <c r="C329" s="4" t="s">
        <v>20</v>
      </c>
      <c r="D329" s="5">
        <v>43004</v>
      </c>
      <c r="E329" s="4">
        <v>26</v>
      </c>
      <c r="F329" s="4">
        <v>4.9953044000000002E-2</v>
      </c>
      <c r="G329" s="7"/>
      <c r="H329" s="7"/>
      <c r="I329" s="7"/>
      <c r="J329" s="7"/>
      <c r="K329" s="7"/>
      <c r="L329" s="7"/>
      <c r="M329" s="6">
        <v>0</v>
      </c>
      <c r="N329" s="4">
        <v>0</v>
      </c>
      <c r="O329" s="7"/>
      <c r="P329" s="7"/>
      <c r="Q329" s="7"/>
      <c r="R329" s="7"/>
    </row>
    <row r="330" spans="1:18" ht="15" x14ac:dyDescent="0.25">
      <c r="A330" s="4" t="s">
        <v>74</v>
      </c>
      <c r="B330" s="4" t="s">
        <v>19</v>
      </c>
      <c r="C330" s="4" t="s">
        <v>23</v>
      </c>
      <c r="D330" s="5">
        <v>43004</v>
      </c>
      <c r="E330" s="4">
        <v>1216</v>
      </c>
      <c r="F330" s="4">
        <v>8.6718484619999998</v>
      </c>
      <c r="G330" s="4">
        <v>947</v>
      </c>
      <c r="H330" s="4">
        <v>306</v>
      </c>
      <c r="I330" s="4">
        <v>286</v>
      </c>
      <c r="J330" s="4">
        <v>208</v>
      </c>
      <c r="K330" s="4">
        <v>155</v>
      </c>
      <c r="L330" s="4">
        <v>146</v>
      </c>
      <c r="M330" s="6">
        <v>8.1018518518518516E-5</v>
      </c>
      <c r="N330" s="4">
        <v>955</v>
      </c>
      <c r="O330" s="4">
        <v>1</v>
      </c>
      <c r="P330" s="7"/>
      <c r="Q330" s="4">
        <v>955</v>
      </c>
      <c r="R330" s="4">
        <v>7</v>
      </c>
    </row>
    <row r="331" spans="1:18" ht="15" x14ac:dyDescent="0.25">
      <c r="A331" s="4" t="s">
        <v>74</v>
      </c>
      <c r="B331" s="4" t="s">
        <v>19</v>
      </c>
      <c r="C331" s="4" t="s">
        <v>22</v>
      </c>
      <c r="D331" s="5">
        <v>43004</v>
      </c>
      <c r="E331" s="4">
        <v>1920</v>
      </c>
      <c r="F331" s="4">
        <v>12.158570940000001</v>
      </c>
      <c r="G331" s="4">
        <v>1263</v>
      </c>
      <c r="H331" s="4">
        <v>422</v>
      </c>
      <c r="I331" s="4">
        <v>397</v>
      </c>
      <c r="J331" s="4">
        <v>263</v>
      </c>
      <c r="K331" s="4">
        <v>201</v>
      </c>
      <c r="L331" s="4">
        <v>179</v>
      </c>
      <c r="M331" s="6">
        <v>9.2592592592592588E-5</v>
      </c>
      <c r="N331" s="4">
        <v>1270</v>
      </c>
      <c r="O331" s="4">
        <v>1</v>
      </c>
      <c r="P331" s="7"/>
      <c r="Q331" s="4">
        <v>1269</v>
      </c>
      <c r="R331" s="4">
        <v>5</v>
      </c>
    </row>
    <row r="332" spans="1:18" ht="15" x14ac:dyDescent="0.25">
      <c r="A332" s="4" t="s">
        <v>74</v>
      </c>
      <c r="B332" s="4" t="s">
        <v>19</v>
      </c>
      <c r="C332" s="4" t="s">
        <v>24</v>
      </c>
      <c r="D332" s="5">
        <v>43004</v>
      </c>
      <c r="E332" s="4">
        <v>29060</v>
      </c>
      <c r="F332" s="4">
        <v>110.63600219999999</v>
      </c>
      <c r="G332" s="4">
        <v>13137</v>
      </c>
      <c r="H332" s="4">
        <v>4025</v>
      </c>
      <c r="I332" s="4">
        <v>3779</v>
      </c>
      <c r="J332" s="4">
        <v>2272</v>
      </c>
      <c r="K332" s="4">
        <v>1837</v>
      </c>
      <c r="L332" s="4">
        <v>1680</v>
      </c>
      <c r="M332" s="6">
        <v>8.1018518518518516E-5</v>
      </c>
      <c r="N332" s="4">
        <v>13217</v>
      </c>
      <c r="O332" s="4">
        <v>11</v>
      </c>
      <c r="P332" s="4">
        <v>1</v>
      </c>
      <c r="Q332" s="4">
        <v>13202</v>
      </c>
      <c r="R332" s="4">
        <v>48</v>
      </c>
    </row>
    <row r="333" spans="1:18" ht="15" x14ac:dyDescent="0.25">
      <c r="A333" s="4" t="s">
        <v>74</v>
      </c>
      <c r="B333" s="4" t="s">
        <v>19</v>
      </c>
      <c r="C333" s="4" t="s">
        <v>25</v>
      </c>
      <c r="D333" s="5">
        <v>43004</v>
      </c>
      <c r="E333" s="4">
        <v>49218</v>
      </c>
      <c r="F333" s="4">
        <v>152.7364278</v>
      </c>
      <c r="G333" s="4">
        <v>20851</v>
      </c>
      <c r="H333" s="4">
        <v>7593</v>
      </c>
      <c r="I333" s="4">
        <v>7284</v>
      </c>
      <c r="J333" s="4">
        <v>5902</v>
      </c>
      <c r="K333" s="4">
        <v>4670</v>
      </c>
      <c r="L333" s="4">
        <v>4274</v>
      </c>
      <c r="M333" s="6">
        <v>8.1018518518518516E-5</v>
      </c>
      <c r="N333" s="4">
        <v>21034</v>
      </c>
      <c r="O333" s="4">
        <v>8</v>
      </c>
      <c r="P333" s="4">
        <v>5</v>
      </c>
      <c r="Q333" s="4">
        <v>21008</v>
      </c>
      <c r="R333" s="4">
        <v>144</v>
      </c>
    </row>
    <row r="334" spans="1:18" ht="15" x14ac:dyDescent="0.25">
      <c r="A334" s="4" t="s">
        <v>74</v>
      </c>
      <c r="B334" s="4" t="s">
        <v>19</v>
      </c>
      <c r="C334" s="4" t="s">
        <v>26</v>
      </c>
      <c r="D334" s="5">
        <v>43004</v>
      </c>
      <c r="E334" s="4">
        <v>276425</v>
      </c>
      <c r="F334" s="4">
        <v>715.63730090000001</v>
      </c>
      <c r="G334" s="4">
        <v>103321</v>
      </c>
      <c r="H334" s="4">
        <v>42159</v>
      </c>
      <c r="I334" s="4">
        <v>40657</v>
      </c>
      <c r="J334" s="4">
        <v>33947</v>
      </c>
      <c r="K334" s="4">
        <v>27697</v>
      </c>
      <c r="L334" s="4">
        <v>25701</v>
      </c>
      <c r="M334" s="6">
        <v>8.1018518518518516E-5</v>
      </c>
      <c r="N334" s="4">
        <v>104832</v>
      </c>
      <c r="O334" s="4">
        <v>109</v>
      </c>
      <c r="P334" s="4">
        <v>47</v>
      </c>
      <c r="Q334" s="4">
        <v>104646</v>
      </c>
      <c r="R334" s="4">
        <v>1169</v>
      </c>
    </row>
    <row r="335" spans="1:18" ht="15" x14ac:dyDescent="0.25">
      <c r="A335" s="4" t="s">
        <v>75</v>
      </c>
      <c r="B335" s="4" t="s">
        <v>32</v>
      </c>
      <c r="C335" s="4" t="s">
        <v>20</v>
      </c>
      <c r="D335" s="5">
        <v>43004</v>
      </c>
      <c r="E335" s="4">
        <v>0</v>
      </c>
      <c r="F335" s="4">
        <v>4.9953044000000002E-2</v>
      </c>
      <c r="G335" s="4">
        <v>1</v>
      </c>
      <c r="H335" s="4">
        <v>1</v>
      </c>
      <c r="I335" s="4">
        <v>1</v>
      </c>
      <c r="J335" s="7"/>
      <c r="K335" s="7"/>
      <c r="L335" s="4">
        <v>1</v>
      </c>
      <c r="M335" s="6">
        <v>5.7870370370370373E-5</v>
      </c>
      <c r="N335" s="4">
        <v>1</v>
      </c>
      <c r="O335" s="7"/>
      <c r="P335" s="7"/>
      <c r="Q335" s="4">
        <v>1</v>
      </c>
      <c r="R335" s="7"/>
    </row>
    <row r="336" spans="1:18" ht="15" x14ac:dyDescent="0.25">
      <c r="A336" s="4" t="s">
        <v>75</v>
      </c>
      <c r="B336" s="4" t="s">
        <v>32</v>
      </c>
      <c r="C336" s="4" t="s">
        <v>21</v>
      </c>
      <c r="D336" s="5">
        <v>43004</v>
      </c>
      <c r="E336" s="4">
        <v>0</v>
      </c>
      <c r="F336" s="4">
        <v>5.9943653E-2</v>
      </c>
      <c r="G336" s="4">
        <v>10</v>
      </c>
      <c r="H336" s="4">
        <v>5</v>
      </c>
      <c r="I336" s="4">
        <v>4</v>
      </c>
      <c r="J336" s="4">
        <v>3</v>
      </c>
      <c r="K336" s="4">
        <v>3</v>
      </c>
      <c r="L336" s="4">
        <v>3</v>
      </c>
      <c r="M336" s="6">
        <v>1.3888888888888889E-4</v>
      </c>
      <c r="N336" s="4">
        <v>11</v>
      </c>
      <c r="O336" s="7"/>
      <c r="P336" s="7"/>
      <c r="Q336" s="4">
        <v>11</v>
      </c>
      <c r="R336" s="4">
        <v>1</v>
      </c>
    </row>
    <row r="337" spans="1:18" ht="15" x14ac:dyDescent="0.25">
      <c r="A337" s="4" t="s">
        <v>75</v>
      </c>
      <c r="B337" s="4" t="s">
        <v>32</v>
      </c>
      <c r="C337" s="4" t="s">
        <v>23</v>
      </c>
      <c r="D337" s="5">
        <v>43004</v>
      </c>
      <c r="E337" s="4">
        <v>2550</v>
      </c>
      <c r="F337" s="4">
        <v>11.449237719999999</v>
      </c>
      <c r="G337" s="4">
        <v>1222</v>
      </c>
      <c r="H337" s="4">
        <v>475</v>
      </c>
      <c r="I337" s="4">
        <v>419</v>
      </c>
      <c r="J337" s="4">
        <v>271</v>
      </c>
      <c r="K337" s="4">
        <v>202</v>
      </c>
      <c r="L337" s="4">
        <v>168</v>
      </c>
      <c r="M337" s="6">
        <v>9.2592592592592588E-5</v>
      </c>
      <c r="N337" s="4">
        <v>1241</v>
      </c>
      <c r="O337" s="4">
        <v>2</v>
      </c>
      <c r="P337" s="4">
        <v>1</v>
      </c>
      <c r="Q337" s="4">
        <v>1241</v>
      </c>
      <c r="R337" s="4">
        <v>16</v>
      </c>
    </row>
    <row r="338" spans="1:18" ht="15" x14ac:dyDescent="0.25">
      <c r="A338" s="4" t="s">
        <v>75</v>
      </c>
      <c r="B338" s="4" t="s">
        <v>32</v>
      </c>
      <c r="C338" s="4" t="s">
        <v>22</v>
      </c>
      <c r="D338" s="5">
        <v>43004</v>
      </c>
      <c r="E338" s="4">
        <v>2752</v>
      </c>
      <c r="F338" s="4">
        <v>18.842288249999999</v>
      </c>
      <c r="G338" s="4">
        <v>1960</v>
      </c>
      <c r="H338" s="4">
        <v>656</v>
      </c>
      <c r="I338" s="4">
        <v>599</v>
      </c>
      <c r="J338" s="4">
        <v>323</v>
      </c>
      <c r="K338" s="4">
        <v>193</v>
      </c>
      <c r="L338" s="4">
        <v>129</v>
      </c>
      <c r="M338" s="6">
        <v>9.2592592592592588E-5</v>
      </c>
      <c r="N338" s="4">
        <v>1965</v>
      </c>
      <c r="O338" s="7"/>
      <c r="P338" s="7"/>
      <c r="Q338" s="4">
        <v>1963</v>
      </c>
      <c r="R338" s="4">
        <v>3</v>
      </c>
    </row>
    <row r="339" spans="1:18" ht="15" x14ac:dyDescent="0.25">
      <c r="A339" s="4" t="s">
        <v>75</v>
      </c>
      <c r="B339" s="4" t="s">
        <v>32</v>
      </c>
      <c r="C339" s="4" t="s">
        <v>24</v>
      </c>
      <c r="D339" s="5">
        <v>43004</v>
      </c>
      <c r="E339" s="4">
        <v>57919</v>
      </c>
      <c r="F339" s="4">
        <v>192.41912600000001</v>
      </c>
      <c r="G339" s="4">
        <v>29939</v>
      </c>
      <c r="H339" s="4">
        <v>11034</v>
      </c>
      <c r="I339" s="4">
        <v>10347</v>
      </c>
      <c r="J339" s="4">
        <v>6806</v>
      </c>
      <c r="K339" s="4">
        <v>4939</v>
      </c>
      <c r="L339" s="4">
        <v>3861</v>
      </c>
      <c r="M339" s="6">
        <v>9.2592592592592588E-5</v>
      </c>
      <c r="N339" s="4">
        <v>30118</v>
      </c>
      <c r="O339" s="4">
        <v>8</v>
      </c>
      <c r="P339" s="4">
        <v>8</v>
      </c>
      <c r="Q339" s="4">
        <v>30072</v>
      </c>
      <c r="R339" s="4">
        <v>104</v>
      </c>
    </row>
    <row r="340" spans="1:18" ht="15" x14ac:dyDescent="0.25">
      <c r="A340" s="4" t="s">
        <v>75</v>
      </c>
      <c r="B340" s="4" t="s">
        <v>32</v>
      </c>
      <c r="C340" s="4" t="s">
        <v>25</v>
      </c>
      <c r="D340" s="5">
        <v>43004</v>
      </c>
      <c r="E340" s="4">
        <v>59967</v>
      </c>
      <c r="F340" s="4">
        <v>274.92157370000001</v>
      </c>
      <c r="G340" s="4">
        <v>29278</v>
      </c>
      <c r="H340" s="4">
        <v>9852</v>
      </c>
      <c r="I340" s="4">
        <v>9145</v>
      </c>
      <c r="J340" s="4">
        <v>5562</v>
      </c>
      <c r="K340" s="4">
        <v>3793</v>
      </c>
      <c r="L340" s="4">
        <v>2856</v>
      </c>
      <c r="M340" s="6">
        <v>8.1018518518518516E-5</v>
      </c>
      <c r="N340" s="4">
        <v>29494</v>
      </c>
      <c r="O340" s="4">
        <v>14</v>
      </c>
      <c r="P340" s="4">
        <v>9</v>
      </c>
      <c r="Q340" s="4">
        <v>29462</v>
      </c>
      <c r="R340" s="4">
        <v>161</v>
      </c>
    </row>
    <row r="341" spans="1:18" ht="15" x14ac:dyDescent="0.25">
      <c r="A341" s="4" t="s">
        <v>75</v>
      </c>
      <c r="B341" s="4" t="s">
        <v>32</v>
      </c>
      <c r="C341" s="4" t="s">
        <v>26</v>
      </c>
      <c r="D341" s="5">
        <v>43004</v>
      </c>
      <c r="E341" s="4">
        <v>129598</v>
      </c>
      <c r="F341" s="4">
        <v>502.25787759999997</v>
      </c>
      <c r="G341" s="4">
        <v>55112</v>
      </c>
      <c r="H341" s="4">
        <v>22486</v>
      </c>
      <c r="I341" s="4">
        <v>21033</v>
      </c>
      <c r="J341" s="4">
        <v>14693</v>
      </c>
      <c r="K341" s="4">
        <v>10958</v>
      </c>
      <c r="L341" s="4">
        <v>8153</v>
      </c>
      <c r="M341" s="6">
        <v>9.2592592592592588E-5</v>
      </c>
      <c r="N341" s="4">
        <v>55874</v>
      </c>
      <c r="O341" s="4">
        <v>58</v>
      </c>
      <c r="P341" s="4">
        <v>22</v>
      </c>
      <c r="Q341" s="4">
        <v>55775</v>
      </c>
      <c r="R341" s="4">
        <v>583</v>
      </c>
    </row>
    <row r="342" spans="1:18" ht="15" x14ac:dyDescent="0.25">
      <c r="A342" s="4" t="s">
        <v>76</v>
      </c>
      <c r="B342" s="4" t="s">
        <v>19</v>
      </c>
      <c r="C342" s="4" t="s">
        <v>20</v>
      </c>
      <c r="D342" s="5">
        <v>43005</v>
      </c>
      <c r="E342" s="4">
        <v>0</v>
      </c>
      <c r="F342" s="4">
        <v>8.9390358000000003E-2</v>
      </c>
      <c r="G342" s="4">
        <v>5</v>
      </c>
      <c r="H342" s="4">
        <v>2</v>
      </c>
      <c r="I342" s="4">
        <v>2</v>
      </c>
      <c r="J342" s="4">
        <v>2</v>
      </c>
      <c r="K342" s="4">
        <v>1</v>
      </c>
      <c r="L342" s="4">
        <v>2</v>
      </c>
      <c r="M342" s="6">
        <v>2.3148148148148149E-4</v>
      </c>
      <c r="N342" s="4">
        <v>5</v>
      </c>
      <c r="O342" s="7"/>
      <c r="P342" s="7"/>
      <c r="Q342" s="4">
        <v>5</v>
      </c>
      <c r="R342" s="7"/>
    </row>
    <row r="343" spans="1:18" ht="15" x14ac:dyDescent="0.25">
      <c r="A343" s="4" t="s">
        <v>76</v>
      </c>
      <c r="B343" s="4" t="s">
        <v>19</v>
      </c>
      <c r="C343" s="4" t="s">
        <v>21</v>
      </c>
      <c r="D343" s="5">
        <v>43005</v>
      </c>
      <c r="E343" s="4">
        <v>19</v>
      </c>
      <c r="F343" s="4">
        <v>4.966131E-2</v>
      </c>
      <c r="G343" s="4">
        <v>6</v>
      </c>
      <c r="H343" s="4">
        <v>1</v>
      </c>
      <c r="I343" s="4">
        <v>1</v>
      </c>
      <c r="J343" s="7"/>
      <c r="K343" s="7"/>
      <c r="L343" s="7"/>
      <c r="M343" s="6">
        <v>5.7870370370370373E-5</v>
      </c>
      <c r="N343" s="4">
        <v>6</v>
      </c>
      <c r="O343" s="7"/>
      <c r="P343" s="7"/>
      <c r="Q343" s="4">
        <v>6</v>
      </c>
      <c r="R343" s="7"/>
    </row>
    <row r="344" spans="1:18" ht="15" x14ac:dyDescent="0.25">
      <c r="A344" s="4" t="s">
        <v>76</v>
      </c>
      <c r="B344" s="4" t="s">
        <v>19</v>
      </c>
      <c r="C344" s="4" t="s">
        <v>23</v>
      </c>
      <c r="D344" s="5">
        <v>43005</v>
      </c>
      <c r="E344" s="4">
        <v>3264</v>
      </c>
      <c r="F344" s="4">
        <v>13.73631831</v>
      </c>
      <c r="G344" s="4">
        <v>2230</v>
      </c>
      <c r="H344" s="4">
        <v>819</v>
      </c>
      <c r="I344" s="4">
        <v>511</v>
      </c>
      <c r="J344" s="4">
        <v>310</v>
      </c>
      <c r="K344" s="4">
        <v>239</v>
      </c>
      <c r="L344" s="4">
        <v>216</v>
      </c>
      <c r="M344" s="6">
        <v>1.0416666666666667E-4</v>
      </c>
      <c r="N344" s="4">
        <v>2254</v>
      </c>
      <c r="O344" s="4">
        <v>6</v>
      </c>
      <c r="P344" s="4">
        <v>1</v>
      </c>
      <c r="Q344" s="4">
        <v>2254</v>
      </c>
      <c r="R344" s="4">
        <v>17</v>
      </c>
    </row>
    <row r="345" spans="1:18" ht="15" x14ac:dyDescent="0.25">
      <c r="A345" s="4" t="s">
        <v>76</v>
      </c>
      <c r="B345" s="4" t="s">
        <v>19</v>
      </c>
      <c r="C345" s="4" t="s">
        <v>22</v>
      </c>
      <c r="D345" s="5">
        <v>43005</v>
      </c>
      <c r="E345" s="4">
        <v>6486</v>
      </c>
      <c r="F345" s="4">
        <v>28.684372580000002</v>
      </c>
      <c r="G345" s="4">
        <v>3915</v>
      </c>
      <c r="H345" s="4">
        <v>1265</v>
      </c>
      <c r="I345" s="4">
        <v>845</v>
      </c>
      <c r="J345" s="4">
        <v>508</v>
      </c>
      <c r="K345" s="4">
        <v>379</v>
      </c>
      <c r="L345" s="4">
        <v>350</v>
      </c>
      <c r="M345" s="6">
        <v>1.1574074074074075E-4</v>
      </c>
      <c r="N345" s="4">
        <v>3944</v>
      </c>
      <c r="O345" s="4">
        <v>8</v>
      </c>
      <c r="P345" s="7"/>
      <c r="Q345" s="4">
        <v>3943</v>
      </c>
      <c r="R345" s="4">
        <v>20</v>
      </c>
    </row>
    <row r="346" spans="1:18" ht="15" x14ac:dyDescent="0.25">
      <c r="A346" s="4" t="s">
        <v>76</v>
      </c>
      <c r="B346" s="4" t="s">
        <v>19</v>
      </c>
      <c r="C346" s="4" t="s">
        <v>25</v>
      </c>
      <c r="D346" s="5">
        <v>43005</v>
      </c>
      <c r="E346" s="4">
        <v>43324</v>
      </c>
      <c r="F346" s="4">
        <v>132.20833909999999</v>
      </c>
      <c r="G346" s="4">
        <v>21840</v>
      </c>
      <c r="H346" s="4">
        <v>6172</v>
      </c>
      <c r="I346" s="4">
        <v>3790</v>
      </c>
      <c r="J346" s="4">
        <v>2315</v>
      </c>
      <c r="K346" s="4">
        <v>1801</v>
      </c>
      <c r="L346" s="4">
        <v>1671</v>
      </c>
      <c r="M346" s="6">
        <v>8.1018518518518516E-5</v>
      </c>
      <c r="N346" s="4">
        <v>21972</v>
      </c>
      <c r="O346" s="4">
        <v>33</v>
      </c>
      <c r="P346" s="4">
        <v>6</v>
      </c>
      <c r="Q346" s="4">
        <v>21962</v>
      </c>
      <c r="R346" s="4">
        <v>83</v>
      </c>
    </row>
    <row r="347" spans="1:18" ht="15" x14ac:dyDescent="0.25">
      <c r="A347" s="4" t="s">
        <v>76</v>
      </c>
      <c r="B347" s="4" t="s">
        <v>19</v>
      </c>
      <c r="C347" s="4" t="s">
        <v>24</v>
      </c>
      <c r="D347" s="5">
        <v>43005</v>
      </c>
      <c r="E347" s="4">
        <v>90615</v>
      </c>
      <c r="F347" s="4">
        <v>346.55648480000002</v>
      </c>
      <c r="G347" s="4">
        <v>52406</v>
      </c>
      <c r="H347" s="4">
        <v>18229</v>
      </c>
      <c r="I347" s="4">
        <v>11264</v>
      </c>
      <c r="J347" s="4">
        <v>6810</v>
      </c>
      <c r="K347" s="4">
        <v>5325</v>
      </c>
      <c r="L347" s="4">
        <v>4811</v>
      </c>
      <c r="M347" s="6">
        <v>1.0416666666666667E-4</v>
      </c>
      <c r="N347" s="4">
        <v>52774</v>
      </c>
      <c r="O347" s="4">
        <v>112</v>
      </c>
      <c r="P347" s="4">
        <v>12</v>
      </c>
      <c r="Q347" s="4">
        <v>52737</v>
      </c>
      <c r="R347" s="4">
        <v>207</v>
      </c>
    </row>
    <row r="348" spans="1:18" ht="15" x14ac:dyDescent="0.25">
      <c r="A348" s="4" t="s">
        <v>76</v>
      </c>
      <c r="B348" s="4" t="s">
        <v>19</v>
      </c>
      <c r="C348" s="4" t="s">
        <v>26</v>
      </c>
      <c r="D348" s="5">
        <v>43005</v>
      </c>
      <c r="E348" s="4">
        <v>203821</v>
      </c>
      <c r="F348" s="4">
        <v>478.6754335</v>
      </c>
      <c r="G348" s="4">
        <v>87749</v>
      </c>
      <c r="H348" s="4">
        <v>29774</v>
      </c>
      <c r="I348" s="4">
        <v>19174</v>
      </c>
      <c r="J348" s="4">
        <v>11701</v>
      </c>
      <c r="K348" s="4">
        <v>9071</v>
      </c>
      <c r="L348" s="4">
        <v>8242</v>
      </c>
      <c r="M348" s="6">
        <v>8.1018518518518516E-5</v>
      </c>
      <c r="N348" s="4">
        <v>88820</v>
      </c>
      <c r="O348" s="4">
        <v>317</v>
      </c>
      <c r="P348" s="4">
        <v>39</v>
      </c>
      <c r="Q348" s="4">
        <v>88701</v>
      </c>
      <c r="R348" s="4">
        <v>596</v>
      </c>
    </row>
    <row r="349" spans="1:18" ht="15" x14ac:dyDescent="0.25">
      <c r="A349" s="4" t="s">
        <v>77</v>
      </c>
      <c r="B349" s="4" t="s">
        <v>29</v>
      </c>
      <c r="C349" s="4" t="s">
        <v>21</v>
      </c>
      <c r="D349" s="5">
        <v>43005</v>
      </c>
      <c r="E349" s="4">
        <v>0</v>
      </c>
      <c r="F349" s="4">
        <v>4.9954041999999997E-2</v>
      </c>
      <c r="G349" s="4">
        <v>8</v>
      </c>
      <c r="H349" s="4">
        <v>3</v>
      </c>
      <c r="I349" s="4">
        <v>3</v>
      </c>
      <c r="J349" s="4">
        <v>3</v>
      </c>
      <c r="K349" s="4">
        <v>3</v>
      </c>
      <c r="L349" s="4">
        <v>3</v>
      </c>
      <c r="M349" s="6">
        <v>1.3888888888888889E-4</v>
      </c>
      <c r="N349" s="4">
        <v>8</v>
      </c>
      <c r="O349" s="7"/>
      <c r="P349" s="7"/>
      <c r="Q349" s="4">
        <v>8</v>
      </c>
      <c r="R349" s="7"/>
    </row>
    <row r="350" spans="1:18" ht="15" x14ac:dyDescent="0.25">
      <c r="A350" s="4" t="s">
        <v>77</v>
      </c>
      <c r="B350" s="4" t="s">
        <v>29</v>
      </c>
      <c r="C350" s="4" t="s">
        <v>20</v>
      </c>
      <c r="D350" s="5">
        <v>43005</v>
      </c>
      <c r="E350" s="4">
        <v>24</v>
      </c>
      <c r="F350" s="4">
        <v>6.9935658999999997E-2</v>
      </c>
      <c r="G350" s="4">
        <v>3</v>
      </c>
      <c r="H350" s="7"/>
      <c r="I350" s="7"/>
      <c r="J350" s="7"/>
      <c r="K350" s="7"/>
      <c r="L350" s="7"/>
      <c r="M350" s="6">
        <v>3.4722222222222222E-5</v>
      </c>
      <c r="N350" s="4">
        <v>3</v>
      </c>
      <c r="O350" s="7"/>
      <c r="P350" s="7"/>
      <c r="Q350" s="4">
        <v>3</v>
      </c>
      <c r="R350" s="7"/>
    </row>
    <row r="351" spans="1:18" ht="15" x14ac:dyDescent="0.25">
      <c r="A351" s="4" t="s">
        <v>77</v>
      </c>
      <c r="B351" s="4" t="s">
        <v>29</v>
      </c>
      <c r="C351" s="4" t="s">
        <v>23</v>
      </c>
      <c r="D351" s="5">
        <v>43005</v>
      </c>
      <c r="E351" s="4">
        <v>2623</v>
      </c>
      <c r="F351" s="4">
        <v>12.50849219</v>
      </c>
      <c r="G351" s="4">
        <v>1699</v>
      </c>
      <c r="H351" s="4">
        <v>666</v>
      </c>
      <c r="I351" s="4">
        <v>498</v>
      </c>
      <c r="J351" s="4">
        <v>390</v>
      </c>
      <c r="K351" s="4">
        <v>342</v>
      </c>
      <c r="L351" s="4">
        <v>294</v>
      </c>
      <c r="M351" s="6">
        <v>1.0416666666666667E-4</v>
      </c>
      <c r="N351" s="4">
        <v>1731</v>
      </c>
      <c r="O351" s="4">
        <v>7</v>
      </c>
      <c r="P351" s="7"/>
      <c r="Q351" s="4">
        <v>1729</v>
      </c>
      <c r="R351" s="4">
        <v>23</v>
      </c>
    </row>
    <row r="352" spans="1:18" ht="15" x14ac:dyDescent="0.25">
      <c r="A352" s="4" t="s">
        <v>77</v>
      </c>
      <c r="B352" s="4" t="s">
        <v>29</v>
      </c>
      <c r="C352" s="4" t="s">
        <v>22</v>
      </c>
      <c r="D352" s="5">
        <v>43005</v>
      </c>
      <c r="E352" s="4">
        <v>3320</v>
      </c>
      <c r="F352" s="4">
        <v>15.885385449999999</v>
      </c>
      <c r="G352" s="4">
        <v>1620</v>
      </c>
      <c r="H352" s="4">
        <v>561</v>
      </c>
      <c r="I352" s="4">
        <v>354</v>
      </c>
      <c r="J352" s="4">
        <v>247</v>
      </c>
      <c r="K352" s="4">
        <v>196</v>
      </c>
      <c r="L352" s="4">
        <v>165</v>
      </c>
      <c r="M352" s="6">
        <v>9.2592592592592588E-5</v>
      </c>
      <c r="N352" s="4">
        <v>1628</v>
      </c>
      <c r="O352" s="4">
        <v>2</v>
      </c>
      <c r="P352" s="4">
        <v>2</v>
      </c>
      <c r="Q352" s="4">
        <v>1628</v>
      </c>
      <c r="R352" s="4">
        <v>4</v>
      </c>
    </row>
    <row r="353" spans="1:18" ht="15" x14ac:dyDescent="0.25">
      <c r="A353" s="4" t="s">
        <v>77</v>
      </c>
      <c r="B353" s="4" t="s">
        <v>29</v>
      </c>
      <c r="C353" s="4" t="s">
        <v>24</v>
      </c>
      <c r="D353" s="5">
        <v>43005</v>
      </c>
      <c r="E353" s="4">
        <v>36974</v>
      </c>
      <c r="F353" s="4">
        <v>122.4673301</v>
      </c>
      <c r="G353" s="4">
        <v>15651</v>
      </c>
      <c r="H353" s="4">
        <v>5384</v>
      </c>
      <c r="I353" s="4">
        <v>3603</v>
      </c>
      <c r="J353" s="4">
        <v>2335</v>
      </c>
      <c r="K353" s="4">
        <v>1984</v>
      </c>
      <c r="L353" s="4">
        <v>1744</v>
      </c>
      <c r="M353" s="6">
        <v>8.1018518518518516E-5</v>
      </c>
      <c r="N353" s="4">
        <v>15778</v>
      </c>
      <c r="O353" s="4">
        <v>16</v>
      </c>
      <c r="P353" s="4">
        <v>8</v>
      </c>
      <c r="Q353" s="4">
        <v>15755</v>
      </c>
      <c r="R353" s="4">
        <v>69</v>
      </c>
    </row>
    <row r="354" spans="1:18" ht="15" x14ac:dyDescent="0.25">
      <c r="A354" s="4" t="s">
        <v>77</v>
      </c>
      <c r="B354" s="4" t="s">
        <v>29</v>
      </c>
      <c r="C354" s="4" t="s">
        <v>25</v>
      </c>
      <c r="D354" s="5">
        <v>43005</v>
      </c>
      <c r="E354" s="4">
        <v>44203</v>
      </c>
      <c r="F354" s="4">
        <v>116.5727531</v>
      </c>
      <c r="G354" s="4">
        <v>15533</v>
      </c>
      <c r="H354" s="4">
        <v>5878</v>
      </c>
      <c r="I354" s="4">
        <v>4327</v>
      </c>
      <c r="J354" s="4">
        <v>3453</v>
      </c>
      <c r="K354" s="4">
        <v>3035</v>
      </c>
      <c r="L354" s="4">
        <v>2492</v>
      </c>
      <c r="M354" s="6">
        <v>8.1018518518518516E-5</v>
      </c>
      <c r="N354" s="4">
        <v>15750</v>
      </c>
      <c r="O354" s="4">
        <v>15</v>
      </c>
      <c r="P354" s="4">
        <v>19</v>
      </c>
      <c r="Q354" s="4">
        <v>15723</v>
      </c>
      <c r="R354" s="4">
        <v>156</v>
      </c>
    </row>
    <row r="355" spans="1:18" ht="15" x14ac:dyDescent="0.25">
      <c r="A355" s="4" t="s">
        <v>77</v>
      </c>
      <c r="B355" s="4" t="s">
        <v>29</v>
      </c>
      <c r="C355" s="4" t="s">
        <v>26</v>
      </c>
      <c r="D355" s="5">
        <v>43005</v>
      </c>
      <c r="E355" s="4">
        <v>326819</v>
      </c>
      <c r="F355" s="4">
        <v>732.44614950000005</v>
      </c>
      <c r="G355" s="4">
        <v>101997</v>
      </c>
      <c r="H355" s="4">
        <v>47904</v>
      </c>
      <c r="I355" s="4">
        <v>38211</v>
      </c>
      <c r="J355" s="4">
        <v>31270</v>
      </c>
      <c r="K355" s="4">
        <v>27749</v>
      </c>
      <c r="L355" s="4">
        <v>24071</v>
      </c>
      <c r="M355" s="6">
        <v>9.2592592592592588E-5</v>
      </c>
      <c r="N355" s="4">
        <v>104351</v>
      </c>
      <c r="O355" s="4">
        <v>394</v>
      </c>
      <c r="P355" s="4">
        <v>125</v>
      </c>
      <c r="Q355" s="4">
        <v>104057</v>
      </c>
      <c r="R355" s="4">
        <v>1540</v>
      </c>
    </row>
    <row r="356" spans="1:18" ht="15" x14ac:dyDescent="0.25">
      <c r="A356" s="4" t="s">
        <v>78</v>
      </c>
      <c r="B356" s="4" t="s">
        <v>19</v>
      </c>
      <c r="C356" s="4" t="s">
        <v>21</v>
      </c>
      <c r="D356" s="5">
        <v>43006</v>
      </c>
      <c r="E356" s="4">
        <v>0</v>
      </c>
      <c r="F356" s="4">
        <v>0.14985014999999999</v>
      </c>
      <c r="G356" s="4">
        <v>12</v>
      </c>
      <c r="H356" s="4">
        <v>6</v>
      </c>
      <c r="I356" s="4">
        <v>4</v>
      </c>
      <c r="J356" s="4">
        <v>3</v>
      </c>
      <c r="K356" s="4">
        <v>3</v>
      </c>
      <c r="L356" s="4">
        <v>2</v>
      </c>
      <c r="M356" s="6">
        <v>1.273148148148148E-4</v>
      </c>
      <c r="N356" s="4">
        <v>12</v>
      </c>
      <c r="O356" s="7"/>
      <c r="P356" s="7"/>
      <c r="Q356" s="4">
        <v>12</v>
      </c>
      <c r="R356" s="7"/>
    </row>
    <row r="357" spans="1:18" ht="15" x14ac:dyDescent="0.25">
      <c r="A357" s="4" t="s">
        <v>78</v>
      </c>
      <c r="B357" s="4" t="s">
        <v>19</v>
      </c>
      <c r="C357" s="4" t="s">
        <v>20</v>
      </c>
      <c r="D357" s="5">
        <v>43006</v>
      </c>
      <c r="E357" s="4">
        <v>0</v>
      </c>
      <c r="F357" s="4">
        <v>6.9930069999999997E-2</v>
      </c>
      <c r="G357" s="4">
        <v>2</v>
      </c>
      <c r="H357" s="4">
        <v>1</v>
      </c>
      <c r="I357" s="7"/>
      <c r="J357" s="7"/>
      <c r="K357" s="7"/>
      <c r="L357" s="7"/>
      <c r="M357" s="6">
        <v>1.0416666666666667E-4</v>
      </c>
      <c r="N357" s="4">
        <v>2</v>
      </c>
      <c r="O357" s="7"/>
      <c r="P357" s="7"/>
      <c r="Q357" s="4">
        <v>2</v>
      </c>
      <c r="R357" s="7"/>
    </row>
    <row r="358" spans="1:18" ht="15" x14ac:dyDescent="0.25">
      <c r="A358" s="4" t="s">
        <v>78</v>
      </c>
      <c r="B358" s="4" t="s">
        <v>19</v>
      </c>
      <c r="C358" s="4" t="s">
        <v>23</v>
      </c>
      <c r="D358" s="5">
        <v>43006</v>
      </c>
      <c r="E358" s="4">
        <v>1346</v>
      </c>
      <c r="F358" s="4">
        <v>4.8551448549999998</v>
      </c>
      <c r="G358" s="4">
        <v>627</v>
      </c>
      <c r="H358" s="4">
        <v>244</v>
      </c>
      <c r="I358" s="4">
        <v>185</v>
      </c>
      <c r="J358" s="4">
        <v>123</v>
      </c>
      <c r="K358" s="4">
        <v>100</v>
      </c>
      <c r="L358" s="4">
        <v>58</v>
      </c>
      <c r="M358" s="6">
        <v>1.1574074074074075E-4</v>
      </c>
      <c r="N358" s="4">
        <v>631</v>
      </c>
      <c r="O358" s="4">
        <v>1</v>
      </c>
      <c r="P358" s="7"/>
      <c r="Q358" s="4">
        <v>631</v>
      </c>
      <c r="R358" s="4">
        <v>3</v>
      </c>
    </row>
    <row r="359" spans="1:18" ht="15" x14ac:dyDescent="0.25">
      <c r="A359" s="4" t="s">
        <v>78</v>
      </c>
      <c r="B359" s="4" t="s">
        <v>19</v>
      </c>
      <c r="C359" s="4" t="s">
        <v>22</v>
      </c>
      <c r="D359" s="5">
        <v>43006</v>
      </c>
      <c r="E359" s="4">
        <v>1558</v>
      </c>
      <c r="F359" s="4">
        <v>8.3016983020000001</v>
      </c>
      <c r="G359" s="4">
        <v>686</v>
      </c>
      <c r="H359" s="4">
        <v>230</v>
      </c>
      <c r="I359" s="4">
        <v>167</v>
      </c>
      <c r="J359" s="4">
        <v>111</v>
      </c>
      <c r="K359" s="4">
        <v>80</v>
      </c>
      <c r="L359" s="4">
        <v>43</v>
      </c>
      <c r="M359" s="6">
        <v>9.2592592592592588E-5</v>
      </c>
      <c r="N359" s="4">
        <v>689</v>
      </c>
      <c r="O359" s="7"/>
      <c r="P359" s="4">
        <v>1</v>
      </c>
      <c r="Q359" s="4">
        <v>689</v>
      </c>
      <c r="R359" s="4">
        <v>2</v>
      </c>
    </row>
    <row r="360" spans="1:18" ht="15" x14ac:dyDescent="0.25">
      <c r="A360" s="4" t="s">
        <v>78</v>
      </c>
      <c r="B360" s="4" t="s">
        <v>19</v>
      </c>
      <c r="C360" s="4" t="s">
        <v>24</v>
      </c>
      <c r="D360" s="5">
        <v>43006</v>
      </c>
      <c r="E360" s="4">
        <v>11065</v>
      </c>
      <c r="F360" s="4">
        <v>23.35664336</v>
      </c>
      <c r="G360" s="4">
        <v>3829</v>
      </c>
      <c r="H360" s="4">
        <v>1303</v>
      </c>
      <c r="I360" s="4">
        <v>1003</v>
      </c>
      <c r="J360" s="4">
        <v>690</v>
      </c>
      <c r="K360" s="4">
        <v>592</v>
      </c>
      <c r="L360" s="4">
        <v>406</v>
      </c>
      <c r="M360" s="6">
        <v>8.1018518518518516E-5</v>
      </c>
      <c r="N360" s="4">
        <v>3879</v>
      </c>
      <c r="O360" s="4">
        <v>3</v>
      </c>
      <c r="P360" s="4">
        <v>3</v>
      </c>
      <c r="Q360" s="4">
        <v>3869</v>
      </c>
      <c r="R360" s="4">
        <v>24</v>
      </c>
    </row>
    <row r="361" spans="1:18" ht="15" x14ac:dyDescent="0.25">
      <c r="A361" s="4" t="s">
        <v>78</v>
      </c>
      <c r="B361" s="4" t="s">
        <v>19</v>
      </c>
      <c r="C361" s="4" t="s">
        <v>25</v>
      </c>
      <c r="D361" s="5">
        <v>43006</v>
      </c>
      <c r="E361" s="4">
        <v>87764</v>
      </c>
      <c r="F361" s="4">
        <v>308.77122880000002</v>
      </c>
      <c r="G361" s="4">
        <v>37592</v>
      </c>
      <c r="H361" s="4">
        <v>16993</v>
      </c>
      <c r="I361" s="4">
        <v>12960</v>
      </c>
      <c r="J361" s="4">
        <v>8124</v>
      </c>
      <c r="K361" s="4">
        <v>6535</v>
      </c>
      <c r="L361" s="4">
        <v>3184</v>
      </c>
      <c r="M361" s="6">
        <v>1.0416666666666667E-4</v>
      </c>
      <c r="N361" s="4">
        <v>37846</v>
      </c>
      <c r="O361" s="4">
        <v>14</v>
      </c>
      <c r="P361" s="4">
        <v>30</v>
      </c>
      <c r="Q361" s="4">
        <v>37824</v>
      </c>
      <c r="R361" s="4">
        <v>188</v>
      </c>
    </row>
    <row r="362" spans="1:18" ht="15" x14ac:dyDescent="0.25">
      <c r="A362" s="4" t="s">
        <v>78</v>
      </c>
      <c r="B362" s="4" t="s">
        <v>19</v>
      </c>
      <c r="C362" s="4" t="s">
        <v>26</v>
      </c>
      <c r="D362" s="5">
        <v>43006</v>
      </c>
      <c r="E362" s="4">
        <v>254273</v>
      </c>
      <c r="F362" s="4">
        <v>654.49550450000004</v>
      </c>
      <c r="G362" s="4">
        <v>103371</v>
      </c>
      <c r="H362" s="4">
        <v>43477</v>
      </c>
      <c r="I362" s="4">
        <v>33822</v>
      </c>
      <c r="J362" s="4">
        <v>21399</v>
      </c>
      <c r="K362" s="4">
        <v>17046</v>
      </c>
      <c r="L362" s="4">
        <v>9393</v>
      </c>
      <c r="M362" s="6">
        <v>1.0416666666666667E-4</v>
      </c>
      <c r="N362" s="4">
        <v>104411</v>
      </c>
      <c r="O362" s="4">
        <v>89</v>
      </c>
      <c r="P362" s="4">
        <v>76</v>
      </c>
      <c r="Q362" s="4">
        <v>104273</v>
      </c>
      <c r="R362" s="4">
        <v>737</v>
      </c>
    </row>
    <row r="363" spans="1:18" ht="15" x14ac:dyDescent="0.25">
      <c r="A363" s="4" t="s">
        <v>79</v>
      </c>
      <c r="B363" s="4" t="s">
        <v>32</v>
      </c>
      <c r="C363" s="4" t="s">
        <v>20</v>
      </c>
      <c r="D363" s="5">
        <v>43006</v>
      </c>
      <c r="E363" s="4">
        <v>0</v>
      </c>
      <c r="F363" s="4">
        <v>1.9981217999999999E-2</v>
      </c>
      <c r="G363" s="4">
        <v>3</v>
      </c>
      <c r="H363" s="4">
        <v>3</v>
      </c>
      <c r="I363" s="4">
        <v>3</v>
      </c>
      <c r="J363" s="4">
        <v>3</v>
      </c>
      <c r="K363" s="4">
        <v>3</v>
      </c>
      <c r="L363" s="4">
        <v>3</v>
      </c>
      <c r="M363" s="6">
        <v>6.4814814814814813E-4</v>
      </c>
      <c r="N363" s="4">
        <v>3</v>
      </c>
      <c r="O363" s="7"/>
      <c r="P363" s="7"/>
      <c r="Q363" s="4">
        <v>3</v>
      </c>
      <c r="R363" s="7"/>
    </row>
    <row r="364" spans="1:18" ht="15" x14ac:dyDescent="0.25">
      <c r="A364" s="4" t="s">
        <v>79</v>
      </c>
      <c r="B364" s="4" t="s">
        <v>32</v>
      </c>
      <c r="C364" s="4" t="s">
        <v>21</v>
      </c>
      <c r="D364" s="5">
        <v>43006</v>
      </c>
      <c r="E364" s="4">
        <v>0</v>
      </c>
      <c r="F364" s="4">
        <v>3.9962434999999998E-2</v>
      </c>
      <c r="G364" s="4">
        <v>7</v>
      </c>
      <c r="H364" s="4">
        <v>4</v>
      </c>
      <c r="I364" s="4">
        <v>4</v>
      </c>
      <c r="J364" s="4">
        <v>2</v>
      </c>
      <c r="K364" s="4">
        <v>2</v>
      </c>
      <c r="L364" s="4">
        <v>1</v>
      </c>
      <c r="M364" s="6">
        <v>2.6620370370370372E-4</v>
      </c>
      <c r="N364" s="4">
        <v>7</v>
      </c>
      <c r="O364" s="7"/>
      <c r="P364" s="7"/>
      <c r="Q364" s="4">
        <v>7</v>
      </c>
      <c r="R364" s="7"/>
    </row>
    <row r="365" spans="1:18" ht="15" x14ac:dyDescent="0.25">
      <c r="A365" s="4" t="s">
        <v>79</v>
      </c>
      <c r="B365" s="4" t="s">
        <v>32</v>
      </c>
      <c r="C365" s="4" t="s">
        <v>22</v>
      </c>
      <c r="D365" s="5">
        <v>43006</v>
      </c>
      <c r="E365" s="4">
        <v>3456</v>
      </c>
      <c r="F365" s="4">
        <v>10.22039283</v>
      </c>
      <c r="G365" s="4">
        <v>1865</v>
      </c>
      <c r="H365" s="4">
        <v>993</v>
      </c>
      <c r="I365" s="4">
        <v>936</v>
      </c>
      <c r="J365" s="4">
        <v>590</v>
      </c>
      <c r="K365" s="4">
        <v>444</v>
      </c>
      <c r="L365" s="4">
        <v>381</v>
      </c>
      <c r="M365" s="6">
        <v>1.7361111111111112E-4</v>
      </c>
      <c r="N365" s="4">
        <v>1870</v>
      </c>
      <c r="O365" s="4">
        <v>2</v>
      </c>
      <c r="P365" s="7"/>
      <c r="Q365" s="4">
        <v>1870</v>
      </c>
      <c r="R365" s="4">
        <v>3</v>
      </c>
    </row>
    <row r="366" spans="1:18" ht="15" x14ac:dyDescent="0.25">
      <c r="A366" s="4" t="s">
        <v>79</v>
      </c>
      <c r="B366" s="4" t="s">
        <v>32</v>
      </c>
      <c r="C366" s="4" t="s">
        <v>23</v>
      </c>
      <c r="D366" s="5">
        <v>43006</v>
      </c>
      <c r="E366" s="4">
        <v>3584</v>
      </c>
      <c r="F366" s="4">
        <v>6.7636421760000003</v>
      </c>
      <c r="G366" s="4">
        <v>2757</v>
      </c>
      <c r="H366" s="4">
        <v>1483</v>
      </c>
      <c r="I366" s="4">
        <v>1354</v>
      </c>
      <c r="J366" s="4">
        <v>853</v>
      </c>
      <c r="K366" s="4">
        <v>645</v>
      </c>
      <c r="L366" s="4">
        <v>558</v>
      </c>
      <c r="M366" s="6">
        <v>1.6203703703703703E-4</v>
      </c>
      <c r="N366" s="4">
        <v>2778</v>
      </c>
      <c r="O366" s="4">
        <v>8</v>
      </c>
      <c r="P366" s="7"/>
      <c r="Q366" s="4">
        <v>2774</v>
      </c>
      <c r="R366" s="4">
        <v>9</v>
      </c>
    </row>
    <row r="367" spans="1:18" ht="15" x14ac:dyDescent="0.25">
      <c r="A367" s="4" t="s">
        <v>79</v>
      </c>
      <c r="B367" s="4" t="s">
        <v>32</v>
      </c>
      <c r="C367" s="4" t="s">
        <v>24</v>
      </c>
      <c r="D367" s="5">
        <v>43006</v>
      </c>
      <c r="E367" s="4">
        <v>12494</v>
      </c>
      <c r="F367" s="4">
        <v>15.235678460000001</v>
      </c>
      <c r="G367" s="4">
        <v>6109</v>
      </c>
      <c r="H367" s="4">
        <v>2569</v>
      </c>
      <c r="I367" s="4">
        <v>2269</v>
      </c>
      <c r="J367" s="4">
        <v>1489</v>
      </c>
      <c r="K367" s="4">
        <v>1148</v>
      </c>
      <c r="L367" s="4">
        <v>1034</v>
      </c>
      <c r="M367" s="6">
        <v>1.1574074074074075E-4</v>
      </c>
      <c r="N367" s="4">
        <v>6131</v>
      </c>
      <c r="O367" s="4">
        <v>7</v>
      </c>
      <c r="P367" s="4">
        <v>1</v>
      </c>
      <c r="Q367" s="4">
        <v>6124</v>
      </c>
      <c r="R367" s="4">
        <v>7</v>
      </c>
    </row>
    <row r="368" spans="1:18" ht="15" x14ac:dyDescent="0.25">
      <c r="A368" s="4" t="s">
        <v>79</v>
      </c>
      <c r="B368" s="4" t="s">
        <v>32</v>
      </c>
      <c r="C368" s="4" t="s">
        <v>25</v>
      </c>
      <c r="D368" s="5">
        <v>43006</v>
      </c>
      <c r="E368" s="4">
        <v>88693</v>
      </c>
      <c r="F368" s="4">
        <v>213.55925429999999</v>
      </c>
      <c r="G368" s="4">
        <v>45158</v>
      </c>
      <c r="H368" s="4">
        <v>26739</v>
      </c>
      <c r="I368" s="4">
        <v>25420</v>
      </c>
      <c r="J368" s="4">
        <v>17521</v>
      </c>
      <c r="K368" s="4">
        <v>13897</v>
      </c>
      <c r="L368" s="4">
        <v>11861</v>
      </c>
      <c r="M368" s="6">
        <v>1.5046296296296297E-4</v>
      </c>
      <c r="N368" s="4">
        <v>45556</v>
      </c>
      <c r="O368" s="4">
        <v>91</v>
      </c>
      <c r="P368" s="4">
        <v>67</v>
      </c>
      <c r="Q368" s="4">
        <v>45517</v>
      </c>
      <c r="R368" s="4">
        <v>201</v>
      </c>
    </row>
    <row r="369" spans="1:18" ht="15" x14ac:dyDescent="0.25">
      <c r="A369" s="4" t="s">
        <v>79</v>
      </c>
      <c r="B369" s="4" t="s">
        <v>32</v>
      </c>
      <c r="C369" s="4" t="s">
        <v>26</v>
      </c>
      <c r="D369" s="5">
        <v>43006</v>
      </c>
      <c r="E369" s="4">
        <v>496197</v>
      </c>
      <c r="F369" s="4">
        <v>754.16108859999997</v>
      </c>
      <c r="G369" s="4">
        <v>284866</v>
      </c>
      <c r="H369" s="4">
        <v>159698</v>
      </c>
      <c r="I369" s="4">
        <v>149201</v>
      </c>
      <c r="J369" s="4">
        <v>99957</v>
      </c>
      <c r="K369" s="4">
        <v>77605</v>
      </c>
      <c r="L369" s="4">
        <v>66586</v>
      </c>
      <c r="M369" s="6">
        <v>1.5046296296296297E-4</v>
      </c>
      <c r="N369" s="4">
        <v>287392</v>
      </c>
      <c r="O369" s="4">
        <v>629</v>
      </c>
      <c r="P369" s="4">
        <v>232</v>
      </c>
      <c r="Q369" s="4">
        <v>287129</v>
      </c>
      <c r="R369" s="4">
        <v>1402</v>
      </c>
    </row>
    <row r="370" spans="1:18" ht="15" x14ac:dyDescent="0.25">
      <c r="A370" s="4" t="s">
        <v>80</v>
      </c>
      <c r="B370" s="4" t="s">
        <v>29</v>
      </c>
      <c r="C370" s="4" t="s">
        <v>21</v>
      </c>
      <c r="D370" s="5">
        <v>43007</v>
      </c>
      <c r="E370" s="4">
        <v>0</v>
      </c>
      <c r="F370" s="4">
        <v>8.8846769000000006E-2</v>
      </c>
      <c r="G370" s="4">
        <v>10</v>
      </c>
      <c r="H370" s="4">
        <v>6</v>
      </c>
      <c r="I370" s="4">
        <v>4</v>
      </c>
      <c r="J370" s="4">
        <v>3</v>
      </c>
      <c r="K370" s="4">
        <v>3</v>
      </c>
      <c r="L370" s="4">
        <v>1</v>
      </c>
      <c r="M370" s="6">
        <v>1.1574074074074075E-4</v>
      </c>
      <c r="N370" s="4">
        <v>10</v>
      </c>
      <c r="O370" s="7"/>
      <c r="P370" s="7"/>
      <c r="Q370" s="4">
        <v>10</v>
      </c>
      <c r="R370" s="7"/>
    </row>
    <row r="371" spans="1:18" ht="15" x14ac:dyDescent="0.25">
      <c r="A371" s="4" t="s">
        <v>80</v>
      </c>
      <c r="B371" s="4" t="s">
        <v>29</v>
      </c>
      <c r="C371" s="4" t="s">
        <v>20</v>
      </c>
      <c r="D371" s="5">
        <v>43007</v>
      </c>
      <c r="E371" s="4">
        <v>0</v>
      </c>
      <c r="F371" s="4">
        <v>0.17769353800000001</v>
      </c>
      <c r="G371" s="4">
        <v>7</v>
      </c>
      <c r="H371" s="4">
        <v>3</v>
      </c>
      <c r="I371" s="4">
        <v>2</v>
      </c>
      <c r="J371" s="4">
        <v>2</v>
      </c>
      <c r="K371" s="4">
        <v>1</v>
      </c>
      <c r="L371" s="4">
        <v>1</v>
      </c>
      <c r="M371" s="6">
        <v>9.2592592592592588E-5</v>
      </c>
      <c r="N371" s="4">
        <v>7</v>
      </c>
      <c r="O371" s="7"/>
      <c r="P371" s="7"/>
      <c r="Q371" s="4">
        <v>7</v>
      </c>
      <c r="R371" s="7"/>
    </row>
    <row r="372" spans="1:18" ht="15" x14ac:dyDescent="0.25">
      <c r="A372" s="4" t="s">
        <v>80</v>
      </c>
      <c r="B372" s="4" t="s">
        <v>29</v>
      </c>
      <c r="C372" s="4" t="s">
        <v>23</v>
      </c>
      <c r="D372" s="5">
        <v>43007</v>
      </c>
      <c r="E372" s="4">
        <v>2240</v>
      </c>
      <c r="F372" s="4">
        <v>15.794981140000001</v>
      </c>
      <c r="G372" s="4">
        <v>1418</v>
      </c>
      <c r="H372" s="4">
        <v>377</v>
      </c>
      <c r="I372" s="4">
        <v>313</v>
      </c>
      <c r="J372" s="4">
        <v>146</v>
      </c>
      <c r="K372" s="4">
        <v>104</v>
      </c>
      <c r="L372" s="4">
        <v>99</v>
      </c>
      <c r="M372" s="6">
        <v>6.9444444444444444E-5</v>
      </c>
      <c r="N372" s="4">
        <v>1437</v>
      </c>
      <c r="O372" s="4">
        <v>5</v>
      </c>
      <c r="P372" s="4">
        <v>1</v>
      </c>
      <c r="Q372" s="4">
        <v>1437</v>
      </c>
      <c r="R372" s="4">
        <v>13</v>
      </c>
    </row>
    <row r="373" spans="1:18" ht="15" x14ac:dyDescent="0.25">
      <c r="A373" s="4" t="s">
        <v>80</v>
      </c>
      <c r="B373" s="4" t="s">
        <v>29</v>
      </c>
      <c r="C373" s="4" t="s">
        <v>22</v>
      </c>
      <c r="D373" s="5">
        <v>43007</v>
      </c>
      <c r="E373" s="4">
        <v>2276</v>
      </c>
      <c r="F373" s="4">
        <v>14.018045770000001</v>
      </c>
      <c r="G373" s="4">
        <v>1223</v>
      </c>
      <c r="H373" s="4">
        <v>268</v>
      </c>
      <c r="I373" s="4">
        <v>209</v>
      </c>
      <c r="J373" s="4">
        <v>91</v>
      </c>
      <c r="K373" s="4">
        <v>64</v>
      </c>
      <c r="L373" s="4">
        <v>55</v>
      </c>
      <c r="M373" s="6">
        <v>5.7870370370370373E-5</v>
      </c>
      <c r="N373" s="4">
        <v>1228</v>
      </c>
      <c r="O373" s="7"/>
      <c r="P373" s="7"/>
      <c r="Q373" s="4">
        <v>1227</v>
      </c>
      <c r="R373" s="4">
        <v>4</v>
      </c>
    </row>
    <row r="374" spans="1:18" ht="15" x14ac:dyDescent="0.25">
      <c r="A374" s="4" t="s">
        <v>80</v>
      </c>
      <c r="B374" s="4" t="s">
        <v>29</v>
      </c>
      <c r="C374" s="4" t="s">
        <v>24</v>
      </c>
      <c r="D374" s="5">
        <v>43007</v>
      </c>
      <c r="E374" s="4">
        <v>37820</v>
      </c>
      <c r="F374" s="4">
        <v>178.26610590000001</v>
      </c>
      <c r="G374" s="4">
        <v>18336</v>
      </c>
      <c r="H374" s="4">
        <v>4207</v>
      </c>
      <c r="I374" s="4">
        <v>3481</v>
      </c>
      <c r="J374" s="4">
        <v>1720</v>
      </c>
      <c r="K374" s="4">
        <v>1276</v>
      </c>
      <c r="L374" s="4">
        <v>1053</v>
      </c>
      <c r="M374" s="6">
        <v>5.7870370370370373E-5</v>
      </c>
      <c r="N374" s="4">
        <v>18454</v>
      </c>
      <c r="O374" s="4">
        <v>18</v>
      </c>
      <c r="P374" s="4">
        <v>2</v>
      </c>
      <c r="Q374" s="4">
        <v>18426</v>
      </c>
      <c r="R374" s="4">
        <v>70</v>
      </c>
    </row>
    <row r="375" spans="1:18" ht="15" x14ac:dyDescent="0.25">
      <c r="A375" s="4" t="s">
        <v>80</v>
      </c>
      <c r="B375" s="4" t="s">
        <v>29</v>
      </c>
      <c r="C375" s="4" t="s">
        <v>25</v>
      </c>
      <c r="D375" s="5">
        <v>43007</v>
      </c>
      <c r="E375" s="4">
        <v>41084</v>
      </c>
      <c r="F375" s="4">
        <v>147.67320179999999</v>
      </c>
      <c r="G375" s="4">
        <v>17813</v>
      </c>
      <c r="H375" s="4">
        <v>5389</v>
      </c>
      <c r="I375" s="4">
        <v>4858</v>
      </c>
      <c r="J375" s="4">
        <v>3086</v>
      </c>
      <c r="K375" s="4">
        <v>2523</v>
      </c>
      <c r="L375" s="4">
        <v>2138</v>
      </c>
      <c r="M375" s="6">
        <v>6.9444444444444444E-5</v>
      </c>
      <c r="N375" s="4">
        <v>17994</v>
      </c>
      <c r="O375" s="4">
        <v>14</v>
      </c>
      <c r="P375" s="4">
        <v>19</v>
      </c>
      <c r="Q375" s="4">
        <v>17972</v>
      </c>
      <c r="R375" s="4">
        <v>126</v>
      </c>
    </row>
    <row r="376" spans="1:18" ht="15" x14ac:dyDescent="0.25">
      <c r="A376" s="4" t="s">
        <v>80</v>
      </c>
      <c r="B376" s="4" t="s">
        <v>29</v>
      </c>
      <c r="C376" s="4" t="s">
        <v>26</v>
      </c>
      <c r="D376" s="5">
        <v>43007</v>
      </c>
      <c r="E376" s="4">
        <v>181037</v>
      </c>
      <c r="F376" s="4">
        <v>643.98112500000002</v>
      </c>
      <c r="G376" s="4">
        <v>78961</v>
      </c>
      <c r="H376" s="4">
        <v>24978</v>
      </c>
      <c r="I376" s="4">
        <v>22275</v>
      </c>
      <c r="J376" s="4">
        <v>14193</v>
      </c>
      <c r="K376" s="4">
        <v>11549</v>
      </c>
      <c r="L376" s="4">
        <v>9867</v>
      </c>
      <c r="M376" s="6">
        <v>6.9444444444444444E-5</v>
      </c>
      <c r="N376" s="4">
        <v>80108</v>
      </c>
      <c r="O376" s="4">
        <v>119</v>
      </c>
      <c r="P376" s="4">
        <v>57</v>
      </c>
      <c r="Q376" s="4">
        <v>79964</v>
      </c>
      <c r="R376" s="4">
        <v>827</v>
      </c>
    </row>
    <row r="377" spans="1:18" ht="15" x14ac:dyDescent="0.25">
      <c r="A377" s="4" t="s">
        <v>81</v>
      </c>
      <c r="B377" s="4" t="s">
        <v>29</v>
      </c>
      <c r="C377" s="4" t="s">
        <v>20</v>
      </c>
      <c r="D377" s="5">
        <v>43007</v>
      </c>
      <c r="E377" s="4">
        <v>0</v>
      </c>
      <c r="F377" s="4">
        <v>1.9981617E-2</v>
      </c>
      <c r="G377" s="7"/>
      <c r="H377" s="7"/>
      <c r="I377" s="7"/>
      <c r="J377" s="7"/>
      <c r="K377" s="7"/>
      <c r="L377" s="7"/>
      <c r="M377" s="6">
        <v>1.1574074074074073E-5</v>
      </c>
      <c r="N377" s="4">
        <v>0</v>
      </c>
      <c r="O377" s="7"/>
      <c r="P377" s="7"/>
      <c r="Q377" s="7"/>
      <c r="R377" s="7"/>
    </row>
    <row r="378" spans="1:18" ht="15" x14ac:dyDescent="0.25">
      <c r="A378" s="4" t="s">
        <v>81</v>
      </c>
      <c r="B378" s="4" t="s">
        <v>29</v>
      </c>
      <c r="C378" s="4" t="s">
        <v>21</v>
      </c>
      <c r="D378" s="5">
        <v>43007</v>
      </c>
      <c r="E378" s="4">
        <v>0</v>
      </c>
      <c r="F378" s="4">
        <v>9.9908084999999994E-2</v>
      </c>
      <c r="G378" s="4">
        <v>8</v>
      </c>
      <c r="H378" s="4">
        <v>3</v>
      </c>
      <c r="I378" s="4">
        <v>3</v>
      </c>
      <c r="J378" s="4">
        <v>2</v>
      </c>
      <c r="K378" s="4">
        <v>2</v>
      </c>
      <c r="L378" s="4">
        <v>1</v>
      </c>
      <c r="M378" s="6">
        <v>1.0416666666666667E-4</v>
      </c>
      <c r="N378" s="4">
        <v>8</v>
      </c>
      <c r="O378" s="7"/>
      <c r="P378" s="7"/>
      <c r="Q378" s="4">
        <v>8</v>
      </c>
      <c r="R378" s="7"/>
    </row>
    <row r="379" spans="1:18" ht="15" x14ac:dyDescent="0.25">
      <c r="A379" s="4" t="s">
        <v>81</v>
      </c>
      <c r="B379" s="4" t="s">
        <v>29</v>
      </c>
      <c r="C379" s="4" t="s">
        <v>23</v>
      </c>
      <c r="D379" s="5">
        <v>43007</v>
      </c>
      <c r="E379" s="4">
        <v>2582</v>
      </c>
      <c r="F379" s="4">
        <v>10.02078088</v>
      </c>
      <c r="G379" s="4">
        <v>1206</v>
      </c>
      <c r="H379" s="4">
        <v>407</v>
      </c>
      <c r="I379" s="4">
        <v>284</v>
      </c>
      <c r="J379" s="4">
        <v>169</v>
      </c>
      <c r="K379" s="4">
        <v>141</v>
      </c>
      <c r="L379" s="4">
        <v>130</v>
      </c>
      <c r="M379" s="6">
        <v>9.2592592592592588E-5</v>
      </c>
      <c r="N379" s="4">
        <v>1233</v>
      </c>
      <c r="O379" s="4">
        <v>8</v>
      </c>
      <c r="P379" s="7"/>
      <c r="Q379" s="4">
        <v>1231</v>
      </c>
      <c r="R379" s="4">
        <v>17</v>
      </c>
    </row>
    <row r="380" spans="1:18" ht="15" x14ac:dyDescent="0.25">
      <c r="A380" s="4" t="s">
        <v>81</v>
      </c>
      <c r="B380" s="4" t="s">
        <v>29</v>
      </c>
      <c r="C380" s="4" t="s">
        <v>22</v>
      </c>
      <c r="D380" s="5">
        <v>43007</v>
      </c>
      <c r="E380" s="4">
        <v>2926</v>
      </c>
      <c r="F380" s="4">
        <v>13.65743516</v>
      </c>
      <c r="G380" s="4">
        <v>1445</v>
      </c>
      <c r="H380" s="4">
        <v>456</v>
      </c>
      <c r="I380" s="4">
        <v>299</v>
      </c>
      <c r="J380" s="4">
        <v>193</v>
      </c>
      <c r="K380" s="4">
        <v>150</v>
      </c>
      <c r="L380" s="4">
        <v>137</v>
      </c>
      <c r="M380" s="6">
        <v>9.2592592592592588E-5</v>
      </c>
      <c r="N380" s="4">
        <v>1460</v>
      </c>
      <c r="O380" s="4">
        <v>4</v>
      </c>
      <c r="P380" s="7"/>
      <c r="Q380" s="4">
        <v>1458</v>
      </c>
      <c r="R380" s="4">
        <v>9</v>
      </c>
    </row>
    <row r="381" spans="1:18" ht="15" x14ac:dyDescent="0.25">
      <c r="A381" s="4" t="s">
        <v>81</v>
      </c>
      <c r="B381" s="4" t="s">
        <v>29</v>
      </c>
      <c r="C381" s="4" t="s">
        <v>24</v>
      </c>
      <c r="D381" s="5">
        <v>43007</v>
      </c>
      <c r="E381" s="4">
        <v>27457</v>
      </c>
      <c r="F381" s="4">
        <v>60.094712860000001</v>
      </c>
      <c r="G381" s="4">
        <v>10043</v>
      </c>
      <c r="H381" s="4">
        <v>3170</v>
      </c>
      <c r="I381" s="4">
        <v>2355</v>
      </c>
      <c r="J381" s="4">
        <v>1691</v>
      </c>
      <c r="K381" s="4">
        <v>1414</v>
      </c>
      <c r="L381" s="4">
        <v>1262</v>
      </c>
      <c r="M381" s="6">
        <v>6.9444444444444444E-5</v>
      </c>
      <c r="N381" s="4">
        <v>10203</v>
      </c>
      <c r="O381" s="4">
        <v>15</v>
      </c>
      <c r="P381" s="4">
        <v>7</v>
      </c>
      <c r="Q381" s="4">
        <v>10166</v>
      </c>
      <c r="R381" s="4">
        <v>100</v>
      </c>
    </row>
    <row r="382" spans="1:18" ht="15" x14ac:dyDescent="0.25">
      <c r="A382" s="4" t="s">
        <v>81</v>
      </c>
      <c r="B382" s="4" t="s">
        <v>29</v>
      </c>
      <c r="C382" s="4" t="s">
        <v>25</v>
      </c>
      <c r="D382" s="5">
        <v>43007</v>
      </c>
      <c r="E382" s="4">
        <v>65516</v>
      </c>
      <c r="F382" s="4">
        <v>222.47532269999999</v>
      </c>
      <c r="G382" s="4">
        <v>24123</v>
      </c>
      <c r="H382" s="4">
        <v>8183</v>
      </c>
      <c r="I382" s="4">
        <v>5705</v>
      </c>
      <c r="J382" s="4">
        <v>4073</v>
      </c>
      <c r="K382" s="4">
        <v>3348</v>
      </c>
      <c r="L382" s="4">
        <v>3010</v>
      </c>
      <c r="M382" s="6">
        <v>8.1018518518518516E-5</v>
      </c>
      <c r="N382" s="4">
        <v>24427</v>
      </c>
      <c r="O382" s="4">
        <v>40</v>
      </c>
      <c r="P382" s="4">
        <v>23</v>
      </c>
      <c r="Q382" s="4">
        <v>24403</v>
      </c>
      <c r="R382" s="4">
        <v>217</v>
      </c>
    </row>
    <row r="383" spans="1:18" ht="15" x14ac:dyDescent="0.25">
      <c r="A383" s="4" t="s">
        <v>81</v>
      </c>
      <c r="B383" s="4" t="s">
        <v>29</v>
      </c>
      <c r="C383" s="4" t="s">
        <v>26</v>
      </c>
      <c r="D383" s="5">
        <v>43007</v>
      </c>
      <c r="E383" s="4">
        <v>233800</v>
      </c>
      <c r="F383" s="4">
        <v>693.63185869999995</v>
      </c>
      <c r="G383" s="4">
        <v>88147</v>
      </c>
      <c r="H383" s="4">
        <v>32459</v>
      </c>
      <c r="I383" s="4">
        <v>23322</v>
      </c>
      <c r="J383" s="4">
        <v>16595</v>
      </c>
      <c r="K383" s="4">
        <v>13762</v>
      </c>
      <c r="L383" s="4">
        <v>12505</v>
      </c>
      <c r="M383" s="6">
        <v>8.1018518518518516E-5</v>
      </c>
      <c r="N383" s="4">
        <v>89942</v>
      </c>
      <c r="O383" s="4">
        <v>268</v>
      </c>
      <c r="P383" s="4">
        <v>88</v>
      </c>
      <c r="Q383" s="4">
        <v>89804</v>
      </c>
      <c r="R383" s="4">
        <v>1301</v>
      </c>
    </row>
    <row r="384" spans="1:18" ht="15" x14ac:dyDescent="0.25">
      <c r="A384" s="4" t="s">
        <v>82</v>
      </c>
      <c r="B384" s="4" t="s">
        <v>19</v>
      </c>
      <c r="C384" s="4" t="s">
        <v>20</v>
      </c>
      <c r="D384" s="5">
        <v>43008</v>
      </c>
      <c r="E384" s="4">
        <v>0</v>
      </c>
      <c r="F384" s="4">
        <v>8.9915479000000006E-2</v>
      </c>
      <c r="G384" s="4">
        <v>5</v>
      </c>
      <c r="H384" s="4">
        <v>2</v>
      </c>
      <c r="I384" s="4">
        <v>2</v>
      </c>
      <c r="J384" s="7"/>
      <c r="K384" s="7"/>
      <c r="L384" s="7"/>
      <c r="M384" s="6">
        <v>6.9444444444444444E-5</v>
      </c>
      <c r="N384" s="4">
        <v>5</v>
      </c>
      <c r="O384" s="7"/>
      <c r="P384" s="7"/>
      <c r="Q384" s="4">
        <v>5</v>
      </c>
      <c r="R384" s="7"/>
    </row>
    <row r="385" spans="1:18" ht="15" x14ac:dyDescent="0.25">
      <c r="A385" s="4" t="s">
        <v>82</v>
      </c>
      <c r="B385" s="4" t="s">
        <v>19</v>
      </c>
      <c r="C385" s="4" t="s">
        <v>21</v>
      </c>
      <c r="D385" s="5">
        <v>43008</v>
      </c>
      <c r="E385" s="4">
        <v>30</v>
      </c>
      <c r="F385" s="4">
        <v>8.9915479000000006E-2</v>
      </c>
      <c r="G385" s="4">
        <v>8</v>
      </c>
      <c r="H385" s="4">
        <v>5</v>
      </c>
      <c r="I385" s="4">
        <v>1</v>
      </c>
      <c r="J385" s="4">
        <v>1</v>
      </c>
      <c r="K385" s="4">
        <v>1</v>
      </c>
      <c r="L385" s="4">
        <v>1</v>
      </c>
      <c r="M385" s="6">
        <v>5.7870370370370373E-5</v>
      </c>
      <c r="N385" s="4">
        <v>8</v>
      </c>
      <c r="O385" s="7"/>
      <c r="P385" s="7"/>
      <c r="Q385" s="4">
        <v>8</v>
      </c>
      <c r="R385" s="7"/>
    </row>
    <row r="386" spans="1:18" ht="15" x14ac:dyDescent="0.25">
      <c r="A386" s="4" t="s">
        <v>82</v>
      </c>
      <c r="B386" s="4" t="s">
        <v>19</v>
      </c>
      <c r="C386" s="4" t="s">
        <v>22</v>
      </c>
      <c r="D386" s="5">
        <v>43008</v>
      </c>
      <c r="E386" s="4">
        <v>1856</v>
      </c>
      <c r="F386" s="4">
        <v>9.9406557840000005</v>
      </c>
      <c r="G386" s="4">
        <v>1285</v>
      </c>
      <c r="H386" s="4">
        <v>402</v>
      </c>
      <c r="I386" s="4">
        <v>249</v>
      </c>
      <c r="J386" s="4">
        <v>135</v>
      </c>
      <c r="K386" s="4">
        <v>89</v>
      </c>
      <c r="L386" s="4">
        <v>70</v>
      </c>
      <c r="M386" s="6">
        <v>1.0416666666666667E-4</v>
      </c>
      <c r="N386" s="4">
        <v>1295</v>
      </c>
      <c r="O386" s="4">
        <v>3</v>
      </c>
      <c r="P386" s="7"/>
      <c r="Q386" s="4">
        <v>1293</v>
      </c>
      <c r="R386" s="4">
        <v>5</v>
      </c>
    </row>
    <row r="387" spans="1:18" ht="15" x14ac:dyDescent="0.25">
      <c r="A387" s="4" t="s">
        <v>82</v>
      </c>
      <c r="B387" s="4" t="s">
        <v>19</v>
      </c>
      <c r="C387" s="4" t="s">
        <v>23</v>
      </c>
      <c r="D387" s="5">
        <v>43008</v>
      </c>
      <c r="E387" s="4">
        <v>3379</v>
      </c>
      <c r="F387" s="4">
        <v>13.24754731</v>
      </c>
      <c r="G387" s="4">
        <v>1586</v>
      </c>
      <c r="H387" s="4">
        <v>545</v>
      </c>
      <c r="I387" s="4">
        <v>369</v>
      </c>
      <c r="J387" s="4">
        <v>224</v>
      </c>
      <c r="K387" s="4">
        <v>169</v>
      </c>
      <c r="L387" s="4">
        <v>143</v>
      </c>
      <c r="M387" s="6">
        <v>9.2592592592592588E-5</v>
      </c>
      <c r="N387" s="4">
        <v>1606</v>
      </c>
      <c r="O387" s="4">
        <v>3</v>
      </c>
      <c r="P387" s="7"/>
      <c r="Q387" s="4">
        <v>1606</v>
      </c>
      <c r="R387" s="4">
        <v>17</v>
      </c>
    </row>
    <row r="388" spans="1:18" ht="15" x14ac:dyDescent="0.25">
      <c r="A388" s="4" t="s">
        <v>82</v>
      </c>
      <c r="B388" s="4" t="s">
        <v>19</v>
      </c>
      <c r="C388" s="4" t="s">
        <v>24</v>
      </c>
      <c r="D388" s="5">
        <v>43008</v>
      </c>
      <c r="E388" s="4">
        <v>34494</v>
      </c>
      <c r="F388" s="4">
        <v>123.0043759</v>
      </c>
      <c r="G388" s="4">
        <v>19315</v>
      </c>
      <c r="H388" s="4">
        <v>6351</v>
      </c>
      <c r="I388" s="4">
        <v>4110</v>
      </c>
      <c r="J388" s="4">
        <v>2534</v>
      </c>
      <c r="K388" s="4">
        <v>1938</v>
      </c>
      <c r="L388" s="4">
        <v>1677</v>
      </c>
      <c r="M388" s="6">
        <v>9.2592592592592588E-5</v>
      </c>
      <c r="N388" s="4">
        <v>19386</v>
      </c>
      <c r="O388" s="4">
        <v>9</v>
      </c>
      <c r="P388" s="4">
        <v>3</v>
      </c>
      <c r="Q388" s="4">
        <v>19375</v>
      </c>
      <c r="R388" s="4">
        <v>47</v>
      </c>
    </row>
    <row r="389" spans="1:18" ht="15" x14ac:dyDescent="0.25">
      <c r="A389" s="4" t="s">
        <v>82</v>
      </c>
      <c r="B389" s="4" t="s">
        <v>19</v>
      </c>
      <c r="C389" s="4" t="s">
        <v>25</v>
      </c>
      <c r="D389" s="5">
        <v>43008</v>
      </c>
      <c r="E389" s="4">
        <v>43581</v>
      </c>
      <c r="F389" s="4">
        <v>188.63268529999999</v>
      </c>
      <c r="G389" s="4">
        <v>22061</v>
      </c>
      <c r="H389" s="4">
        <v>6986</v>
      </c>
      <c r="I389" s="4">
        <v>4803</v>
      </c>
      <c r="J389" s="4">
        <v>3072</v>
      </c>
      <c r="K389" s="4">
        <v>2225</v>
      </c>
      <c r="L389" s="4">
        <v>1814</v>
      </c>
      <c r="M389" s="6">
        <v>9.2592592592592588E-5</v>
      </c>
      <c r="N389" s="4">
        <v>22187</v>
      </c>
      <c r="O389" s="4">
        <v>15</v>
      </c>
      <c r="P389" s="4">
        <v>5</v>
      </c>
      <c r="Q389" s="4">
        <v>22176</v>
      </c>
      <c r="R389" s="4">
        <v>95</v>
      </c>
    </row>
    <row r="390" spans="1:18" ht="15" x14ac:dyDescent="0.25">
      <c r="A390" s="4" t="s">
        <v>82</v>
      </c>
      <c r="B390" s="4" t="s">
        <v>19</v>
      </c>
      <c r="C390" s="4" t="s">
        <v>26</v>
      </c>
      <c r="D390" s="5">
        <v>43008</v>
      </c>
      <c r="E390" s="4">
        <v>243760</v>
      </c>
      <c r="F390" s="4">
        <v>664.99490479999997</v>
      </c>
      <c r="G390" s="4">
        <v>98248</v>
      </c>
      <c r="H390" s="4">
        <v>33737</v>
      </c>
      <c r="I390" s="4">
        <v>23630</v>
      </c>
      <c r="J390" s="4">
        <v>15451</v>
      </c>
      <c r="K390" s="4">
        <v>11516</v>
      </c>
      <c r="L390" s="4">
        <v>9582</v>
      </c>
      <c r="M390" s="6">
        <v>8.1018518518518516E-5</v>
      </c>
      <c r="N390" s="4">
        <v>99144</v>
      </c>
      <c r="O390" s="4">
        <v>59</v>
      </c>
      <c r="P390" s="4">
        <v>43</v>
      </c>
      <c r="Q390" s="4">
        <v>99035</v>
      </c>
      <c r="R390" s="4">
        <v>685</v>
      </c>
    </row>
    <row r="391" spans="1:18" ht="15" x14ac:dyDescent="0.25">
      <c r="A391" s="4" t="s">
        <v>83</v>
      </c>
      <c r="B391" s="4" t="s">
        <v>29</v>
      </c>
      <c r="C391" s="4" t="s">
        <v>21</v>
      </c>
      <c r="D391" s="5">
        <v>42981</v>
      </c>
      <c r="E391" s="4">
        <v>0</v>
      </c>
      <c r="F391" s="4">
        <v>5.9940060000000003E-2</v>
      </c>
      <c r="G391" s="4">
        <v>4</v>
      </c>
      <c r="H391" s="4">
        <v>2</v>
      </c>
      <c r="I391" s="4">
        <v>2</v>
      </c>
      <c r="J391" s="4">
        <v>2</v>
      </c>
      <c r="K391" s="4">
        <v>2</v>
      </c>
      <c r="L391" s="4">
        <v>2</v>
      </c>
      <c r="M391" s="6">
        <v>2.7777777777777778E-4</v>
      </c>
      <c r="N391" s="4">
        <v>4</v>
      </c>
      <c r="O391" s="7"/>
      <c r="P391" s="7"/>
      <c r="Q391" s="4">
        <v>4</v>
      </c>
      <c r="R391" s="7"/>
    </row>
    <row r="392" spans="1:18" ht="15" x14ac:dyDescent="0.25">
      <c r="A392" s="4" t="s">
        <v>83</v>
      </c>
      <c r="B392" s="4" t="s">
        <v>29</v>
      </c>
      <c r="C392" s="4" t="s">
        <v>20</v>
      </c>
      <c r="D392" s="5">
        <v>42981</v>
      </c>
      <c r="E392" s="4">
        <v>128</v>
      </c>
      <c r="F392" s="4">
        <v>15.72427572</v>
      </c>
      <c r="G392" s="4">
        <v>410</v>
      </c>
      <c r="H392" s="4">
        <v>337</v>
      </c>
      <c r="I392" s="4">
        <v>149</v>
      </c>
      <c r="J392" s="4">
        <v>91</v>
      </c>
      <c r="K392" s="4">
        <v>72</v>
      </c>
      <c r="L392" s="4">
        <v>60</v>
      </c>
      <c r="M392" s="6">
        <v>2.199074074074074E-4</v>
      </c>
      <c r="N392" s="4">
        <v>410</v>
      </c>
      <c r="O392" s="7"/>
      <c r="P392" s="7"/>
      <c r="Q392" s="4">
        <v>410</v>
      </c>
      <c r="R392" s="7"/>
    </row>
    <row r="393" spans="1:18" ht="15" x14ac:dyDescent="0.25">
      <c r="A393" s="4" t="s">
        <v>83</v>
      </c>
      <c r="B393" s="4" t="s">
        <v>29</v>
      </c>
      <c r="C393" s="4" t="s">
        <v>22</v>
      </c>
      <c r="D393" s="5">
        <v>42981</v>
      </c>
      <c r="E393" s="4">
        <v>832</v>
      </c>
      <c r="F393" s="4">
        <v>4.5754245750000004</v>
      </c>
      <c r="G393" s="4">
        <v>582</v>
      </c>
      <c r="H393" s="4">
        <v>157</v>
      </c>
      <c r="I393" s="4">
        <v>102</v>
      </c>
      <c r="J393" s="4">
        <v>56</v>
      </c>
      <c r="K393" s="4">
        <v>41</v>
      </c>
      <c r="L393" s="4">
        <v>28</v>
      </c>
      <c r="M393" s="6">
        <v>8.1018518518518516E-5</v>
      </c>
      <c r="N393" s="4">
        <v>587</v>
      </c>
      <c r="O393" s="4">
        <v>1</v>
      </c>
      <c r="P393" s="7"/>
      <c r="Q393" s="4">
        <v>587</v>
      </c>
      <c r="R393" s="4">
        <v>4</v>
      </c>
    </row>
    <row r="394" spans="1:18" ht="15" x14ac:dyDescent="0.25">
      <c r="A394" s="4" t="s">
        <v>83</v>
      </c>
      <c r="B394" s="4" t="s">
        <v>29</v>
      </c>
      <c r="C394" s="4" t="s">
        <v>23</v>
      </c>
      <c r="D394" s="5">
        <v>42981</v>
      </c>
      <c r="E394" s="4">
        <v>1344</v>
      </c>
      <c r="F394" s="4">
        <v>5.9740259739999999</v>
      </c>
      <c r="G394" s="4">
        <v>792</v>
      </c>
      <c r="H394" s="4">
        <v>252</v>
      </c>
      <c r="I394" s="4">
        <v>162</v>
      </c>
      <c r="J394" s="4">
        <v>90</v>
      </c>
      <c r="K394" s="4">
        <v>69</v>
      </c>
      <c r="L394" s="4">
        <v>56</v>
      </c>
      <c r="M394" s="6">
        <v>8.1018518518518516E-5</v>
      </c>
      <c r="N394" s="4">
        <v>795</v>
      </c>
      <c r="O394" s="7"/>
      <c r="P394" s="7"/>
      <c r="Q394" s="4">
        <v>794</v>
      </c>
      <c r="R394" s="4">
        <v>2</v>
      </c>
    </row>
    <row r="395" spans="1:18" ht="15" x14ac:dyDescent="0.25">
      <c r="A395" s="4" t="s">
        <v>83</v>
      </c>
      <c r="B395" s="4" t="s">
        <v>29</v>
      </c>
      <c r="C395" s="4" t="s">
        <v>24</v>
      </c>
      <c r="D395" s="5">
        <v>42981</v>
      </c>
      <c r="E395" s="4">
        <v>18448</v>
      </c>
      <c r="F395" s="4">
        <v>41.788211789999998</v>
      </c>
      <c r="G395" s="4">
        <v>7285</v>
      </c>
      <c r="H395" s="4">
        <v>2454</v>
      </c>
      <c r="I395" s="4">
        <v>1755</v>
      </c>
      <c r="J395" s="4">
        <v>1242</v>
      </c>
      <c r="K395" s="4">
        <v>1047</v>
      </c>
      <c r="L395" s="4">
        <v>874</v>
      </c>
      <c r="M395" s="6">
        <v>9.2592592592592588E-5</v>
      </c>
      <c r="N395" s="4">
        <v>7319</v>
      </c>
      <c r="O395" s="4">
        <v>3</v>
      </c>
      <c r="P395" s="4">
        <v>3</v>
      </c>
      <c r="Q395" s="4">
        <v>7315</v>
      </c>
      <c r="R395" s="4">
        <v>24</v>
      </c>
    </row>
    <row r="396" spans="1:18" ht="15" x14ac:dyDescent="0.25">
      <c r="A396" s="4" t="s">
        <v>83</v>
      </c>
      <c r="B396" s="4" t="s">
        <v>29</v>
      </c>
      <c r="C396" s="4" t="s">
        <v>25</v>
      </c>
      <c r="D396" s="5">
        <v>42981</v>
      </c>
      <c r="E396" s="4">
        <v>36639</v>
      </c>
      <c r="F396" s="4">
        <v>115.7142857</v>
      </c>
      <c r="G396" s="4">
        <v>13711</v>
      </c>
      <c r="H396" s="4">
        <v>4280</v>
      </c>
      <c r="I396" s="4">
        <v>2753</v>
      </c>
      <c r="J396" s="4">
        <v>1660</v>
      </c>
      <c r="K396" s="4">
        <v>1231</v>
      </c>
      <c r="L396" s="4">
        <v>926</v>
      </c>
      <c r="M396" s="6">
        <v>6.9444444444444444E-5</v>
      </c>
      <c r="N396" s="4">
        <v>13793</v>
      </c>
      <c r="O396" s="4">
        <v>11</v>
      </c>
      <c r="P396" s="4">
        <v>4</v>
      </c>
      <c r="Q396" s="4">
        <v>13784</v>
      </c>
      <c r="R396" s="4">
        <v>58</v>
      </c>
    </row>
    <row r="397" spans="1:18" ht="15" x14ac:dyDescent="0.25">
      <c r="A397" s="4" t="s">
        <v>83</v>
      </c>
      <c r="B397" s="4" t="s">
        <v>29</v>
      </c>
      <c r="C397" s="4" t="s">
        <v>26</v>
      </c>
      <c r="D397" s="5">
        <v>42981</v>
      </c>
      <c r="E397" s="4">
        <v>310553</v>
      </c>
      <c r="F397" s="4">
        <v>816.16383619999999</v>
      </c>
      <c r="G397" s="4">
        <v>119986</v>
      </c>
      <c r="H397" s="4">
        <v>39965</v>
      </c>
      <c r="I397" s="4">
        <v>26041</v>
      </c>
      <c r="J397" s="4">
        <v>15459</v>
      </c>
      <c r="K397" s="4">
        <v>12078</v>
      </c>
      <c r="L397" s="4">
        <v>9799</v>
      </c>
      <c r="M397" s="6">
        <v>6.9444444444444444E-5</v>
      </c>
      <c r="N397" s="4">
        <v>120952</v>
      </c>
      <c r="O397" s="4">
        <v>137</v>
      </c>
      <c r="P397" s="4">
        <v>54</v>
      </c>
      <c r="Q397" s="4">
        <v>120803</v>
      </c>
      <c r="R397" s="4">
        <v>625</v>
      </c>
    </row>
    <row r="398" spans="1:18" ht="15" x14ac:dyDescent="0.25">
      <c r="A398" s="4" t="s">
        <v>84</v>
      </c>
      <c r="B398" s="4" t="s">
        <v>32</v>
      </c>
      <c r="C398" s="4" t="s">
        <v>21</v>
      </c>
      <c r="D398" s="5">
        <v>43008</v>
      </c>
      <c r="E398" s="4">
        <v>0</v>
      </c>
      <c r="F398" s="4">
        <v>8.9915479000000006E-2</v>
      </c>
      <c r="G398" s="4">
        <v>7</v>
      </c>
      <c r="H398" s="4">
        <v>3</v>
      </c>
      <c r="I398" s="4">
        <v>3</v>
      </c>
      <c r="J398" s="4">
        <v>3</v>
      </c>
      <c r="K398" s="4">
        <v>2</v>
      </c>
      <c r="L398" s="4">
        <v>2</v>
      </c>
      <c r="M398" s="6">
        <v>9.2592592592592588E-5</v>
      </c>
      <c r="N398" s="4">
        <v>7</v>
      </c>
      <c r="O398" s="7"/>
      <c r="P398" s="7"/>
      <c r="Q398" s="4">
        <v>7</v>
      </c>
      <c r="R398" s="7"/>
    </row>
    <row r="399" spans="1:18" ht="15" x14ac:dyDescent="0.25">
      <c r="A399" s="4" t="s">
        <v>84</v>
      </c>
      <c r="B399" s="4" t="s">
        <v>32</v>
      </c>
      <c r="C399" s="4" t="s">
        <v>20</v>
      </c>
      <c r="D399" s="5">
        <v>43008</v>
      </c>
      <c r="E399" s="4">
        <v>18</v>
      </c>
      <c r="F399" s="4">
        <v>6.9934261999999997E-2</v>
      </c>
      <c r="G399" s="4">
        <v>4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6">
        <v>1.6203703703703703E-4</v>
      </c>
      <c r="N399" s="4">
        <v>4</v>
      </c>
      <c r="O399" s="7"/>
      <c r="P399" s="7"/>
      <c r="Q399" s="4">
        <v>4</v>
      </c>
      <c r="R399" s="7"/>
    </row>
    <row r="400" spans="1:18" ht="15" x14ac:dyDescent="0.25">
      <c r="A400" s="4" t="s">
        <v>84</v>
      </c>
      <c r="B400" s="4" t="s">
        <v>32</v>
      </c>
      <c r="C400" s="4" t="s">
        <v>22</v>
      </c>
      <c r="D400" s="5">
        <v>43008</v>
      </c>
      <c r="E400" s="4">
        <v>1129</v>
      </c>
      <c r="F400" s="4">
        <v>5.145163546</v>
      </c>
      <c r="G400" s="4">
        <v>530</v>
      </c>
      <c r="H400" s="4">
        <v>182</v>
      </c>
      <c r="I400" s="4">
        <v>181</v>
      </c>
      <c r="J400" s="4">
        <v>126</v>
      </c>
      <c r="K400" s="4">
        <v>104</v>
      </c>
      <c r="L400" s="4">
        <v>74</v>
      </c>
      <c r="M400" s="6">
        <v>8.1018518518518516E-5</v>
      </c>
      <c r="N400" s="4">
        <v>531</v>
      </c>
      <c r="O400" s="7"/>
      <c r="P400" s="7"/>
      <c r="Q400" s="4">
        <v>531</v>
      </c>
      <c r="R400" s="4">
        <v>1</v>
      </c>
    </row>
    <row r="401" spans="1:18" ht="15" x14ac:dyDescent="0.25">
      <c r="A401" s="4" t="s">
        <v>84</v>
      </c>
      <c r="B401" s="4" t="s">
        <v>32</v>
      </c>
      <c r="C401" s="4" t="s">
        <v>23</v>
      </c>
      <c r="D401" s="5">
        <v>43008</v>
      </c>
      <c r="E401" s="4">
        <v>1536</v>
      </c>
      <c r="F401" s="4">
        <v>6.583811217</v>
      </c>
      <c r="G401" s="4">
        <v>825</v>
      </c>
      <c r="H401" s="4">
        <v>310</v>
      </c>
      <c r="I401" s="4">
        <v>307</v>
      </c>
      <c r="J401" s="4">
        <v>230</v>
      </c>
      <c r="K401" s="4">
        <v>182</v>
      </c>
      <c r="L401" s="4">
        <v>140</v>
      </c>
      <c r="M401" s="6">
        <v>8.1018518518518516E-5</v>
      </c>
      <c r="N401" s="4">
        <v>837</v>
      </c>
      <c r="O401" s="4">
        <v>3</v>
      </c>
      <c r="P401" s="7"/>
      <c r="Q401" s="4">
        <v>837</v>
      </c>
      <c r="R401" s="4">
        <v>9</v>
      </c>
    </row>
    <row r="402" spans="1:18" ht="15" x14ac:dyDescent="0.25">
      <c r="A402" s="4" t="s">
        <v>84</v>
      </c>
      <c r="B402" s="4" t="s">
        <v>32</v>
      </c>
      <c r="C402" s="4" t="s">
        <v>24</v>
      </c>
      <c r="D402" s="5">
        <v>43008</v>
      </c>
      <c r="E402" s="4">
        <v>6527</v>
      </c>
      <c r="F402" s="4">
        <v>12.668091990000001</v>
      </c>
      <c r="G402" s="4">
        <v>2136</v>
      </c>
      <c r="H402" s="4">
        <v>699</v>
      </c>
      <c r="I402" s="4">
        <v>691</v>
      </c>
      <c r="J402" s="4">
        <v>498</v>
      </c>
      <c r="K402" s="4">
        <v>424</v>
      </c>
      <c r="L402" s="4">
        <v>362</v>
      </c>
      <c r="M402" s="6">
        <v>6.9444444444444444E-5</v>
      </c>
      <c r="N402" s="4">
        <v>2162</v>
      </c>
      <c r="O402" s="7"/>
      <c r="P402" s="4">
        <v>3</v>
      </c>
      <c r="Q402" s="4">
        <v>2159</v>
      </c>
      <c r="R402" s="4">
        <v>20</v>
      </c>
    </row>
    <row r="403" spans="1:18" ht="15" x14ac:dyDescent="0.25">
      <c r="A403" s="4" t="s">
        <v>84</v>
      </c>
      <c r="B403" s="4" t="s">
        <v>32</v>
      </c>
      <c r="C403" s="4" t="s">
        <v>25</v>
      </c>
      <c r="D403" s="5">
        <v>43008</v>
      </c>
      <c r="E403" s="4">
        <v>38458</v>
      </c>
      <c r="F403" s="4">
        <v>111.2953823</v>
      </c>
      <c r="G403" s="4">
        <v>13888</v>
      </c>
      <c r="H403" s="4">
        <v>5602</v>
      </c>
      <c r="I403" s="4">
        <v>5502</v>
      </c>
      <c r="J403" s="4">
        <v>4548</v>
      </c>
      <c r="K403" s="4">
        <v>3633</v>
      </c>
      <c r="L403" s="4">
        <v>2546</v>
      </c>
      <c r="M403" s="6">
        <v>8.1018518518518516E-5</v>
      </c>
      <c r="N403" s="4">
        <v>14056</v>
      </c>
      <c r="O403" s="4">
        <v>15</v>
      </c>
      <c r="P403" s="4">
        <v>6</v>
      </c>
      <c r="Q403" s="4">
        <v>14048</v>
      </c>
      <c r="R403" s="4">
        <v>139</v>
      </c>
    </row>
    <row r="404" spans="1:18" ht="15" x14ac:dyDescent="0.25">
      <c r="A404" s="4" t="s">
        <v>84</v>
      </c>
      <c r="B404" s="4" t="s">
        <v>32</v>
      </c>
      <c r="C404" s="4" t="s">
        <v>26</v>
      </c>
      <c r="D404" s="5">
        <v>43008</v>
      </c>
      <c r="E404" s="4">
        <v>334345</v>
      </c>
      <c r="F404" s="4">
        <v>864.14770120000003</v>
      </c>
      <c r="G404" s="4">
        <v>118195</v>
      </c>
      <c r="H404" s="4">
        <v>51313</v>
      </c>
      <c r="I404" s="4">
        <v>50643</v>
      </c>
      <c r="J404" s="4">
        <v>41146</v>
      </c>
      <c r="K404" s="4">
        <v>33004</v>
      </c>
      <c r="L404" s="4">
        <v>24098</v>
      </c>
      <c r="M404" s="6">
        <v>8.1018518518518516E-5</v>
      </c>
      <c r="N404" s="4">
        <v>120003</v>
      </c>
      <c r="O404" s="4">
        <v>180</v>
      </c>
      <c r="P404" s="4">
        <v>66</v>
      </c>
      <c r="Q404" s="4">
        <v>119829</v>
      </c>
      <c r="R404" s="4">
        <v>1388</v>
      </c>
    </row>
    <row r="405" spans="1:18" ht="15" x14ac:dyDescent="0.25">
      <c r="A405" s="4" t="s">
        <v>85</v>
      </c>
      <c r="B405" s="4" t="s">
        <v>19</v>
      </c>
      <c r="C405" s="4" t="s">
        <v>20</v>
      </c>
      <c r="D405" s="5">
        <v>42982</v>
      </c>
      <c r="E405" s="4">
        <v>0</v>
      </c>
      <c r="F405" s="4">
        <v>8.9573630000000001E-2</v>
      </c>
      <c r="G405" s="4">
        <v>2</v>
      </c>
      <c r="H405" s="7"/>
      <c r="I405" s="7"/>
      <c r="J405" s="7"/>
      <c r="K405" s="7"/>
      <c r="L405" s="7"/>
      <c r="M405" s="6">
        <v>3.4722222222222222E-5</v>
      </c>
      <c r="N405" s="4">
        <v>2</v>
      </c>
      <c r="O405" s="7"/>
      <c r="P405" s="7"/>
      <c r="Q405" s="4">
        <v>2</v>
      </c>
      <c r="R405" s="7"/>
    </row>
    <row r="406" spans="1:18" ht="15" x14ac:dyDescent="0.25">
      <c r="A406" s="4" t="s">
        <v>85</v>
      </c>
      <c r="B406" s="4" t="s">
        <v>19</v>
      </c>
      <c r="C406" s="4" t="s">
        <v>21</v>
      </c>
      <c r="D406" s="5">
        <v>42982</v>
      </c>
      <c r="E406" s="4">
        <v>26</v>
      </c>
      <c r="F406" s="4">
        <v>5.9715753000000003E-2</v>
      </c>
      <c r="G406" s="4">
        <v>9</v>
      </c>
      <c r="H406" s="4">
        <v>3</v>
      </c>
      <c r="I406" s="4">
        <v>3</v>
      </c>
      <c r="J406" s="4">
        <v>2</v>
      </c>
      <c r="K406" s="4">
        <v>2</v>
      </c>
      <c r="L406" s="4">
        <v>1</v>
      </c>
      <c r="M406" s="6">
        <v>5.7870370370370373E-5</v>
      </c>
      <c r="N406" s="4">
        <v>9</v>
      </c>
      <c r="O406" s="7"/>
      <c r="P406" s="7"/>
      <c r="Q406" s="4">
        <v>9</v>
      </c>
      <c r="R406" s="7"/>
    </row>
    <row r="407" spans="1:18" ht="15" x14ac:dyDescent="0.25">
      <c r="A407" s="4" t="s">
        <v>85</v>
      </c>
      <c r="B407" s="4" t="s">
        <v>19</v>
      </c>
      <c r="C407" s="4" t="s">
        <v>23</v>
      </c>
      <c r="D407" s="5">
        <v>42982</v>
      </c>
      <c r="E407" s="4">
        <v>768</v>
      </c>
      <c r="F407" s="4">
        <v>3.0156455270000002</v>
      </c>
      <c r="G407" s="4">
        <v>562</v>
      </c>
      <c r="H407" s="4">
        <v>277</v>
      </c>
      <c r="I407" s="4">
        <v>269</v>
      </c>
      <c r="J407" s="4">
        <v>190</v>
      </c>
      <c r="K407" s="4">
        <v>142</v>
      </c>
      <c r="L407" s="4">
        <v>126</v>
      </c>
      <c r="M407" s="6">
        <v>1.0416666666666667E-4</v>
      </c>
      <c r="N407" s="4">
        <v>568</v>
      </c>
      <c r="O407" s="4">
        <v>3</v>
      </c>
      <c r="P407" s="7"/>
      <c r="Q407" s="4">
        <v>568</v>
      </c>
      <c r="R407" s="4">
        <v>3</v>
      </c>
    </row>
    <row r="408" spans="1:18" ht="15" x14ac:dyDescent="0.25">
      <c r="A408" s="4" t="s">
        <v>85</v>
      </c>
      <c r="B408" s="4" t="s">
        <v>19</v>
      </c>
      <c r="C408" s="4" t="s">
        <v>22</v>
      </c>
      <c r="D408" s="5">
        <v>42982</v>
      </c>
      <c r="E408" s="4">
        <v>2048</v>
      </c>
      <c r="F408" s="4">
        <v>6.7180222140000003</v>
      </c>
      <c r="G408" s="4">
        <v>1377</v>
      </c>
      <c r="H408" s="4">
        <v>674</v>
      </c>
      <c r="I408" s="4">
        <v>665</v>
      </c>
      <c r="J408" s="4">
        <v>516</v>
      </c>
      <c r="K408" s="4">
        <v>365</v>
      </c>
      <c r="L408" s="4">
        <v>309</v>
      </c>
      <c r="M408" s="6">
        <v>1.273148148148148E-4</v>
      </c>
      <c r="N408" s="4">
        <v>1379</v>
      </c>
      <c r="O408" s="7"/>
      <c r="P408" s="7"/>
      <c r="Q408" s="4">
        <v>1379</v>
      </c>
      <c r="R408" s="4">
        <v>2</v>
      </c>
    </row>
    <row r="409" spans="1:18" ht="15" x14ac:dyDescent="0.25">
      <c r="A409" s="4" t="s">
        <v>85</v>
      </c>
      <c r="B409" s="4" t="s">
        <v>19</v>
      </c>
      <c r="C409" s="4" t="s">
        <v>24</v>
      </c>
      <c r="D409" s="5">
        <v>42982</v>
      </c>
      <c r="E409" s="4">
        <v>33635</v>
      </c>
      <c r="F409" s="4">
        <v>53.783988219999998</v>
      </c>
      <c r="G409" s="4">
        <v>16432</v>
      </c>
      <c r="H409" s="4">
        <v>7210</v>
      </c>
      <c r="I409" s="4">
        <v>7035</v>
      </c>
      <c r="J409" s="4">
        <v>4752</v>
      </c>
      <c r="K409" s="4">
        <v>3382</v>
      </c>
      <c r="L409" s="4">
        <v>2946</v>
      </c>
      <c r="M409" s="6">
        <v>1.0416666666666667E-4</v>
      </c>
      <c r="N409" s="4">
        <v>16453</v>
      </c>
      <c r="O409" s="4">
        <v>2</v>
      </c>
      <c r="P409" s="4">
        <v>3</v>
      </c>
      <c r="Q409" s="4">
        <v>16448</v>
      </c>
      <c r="R409" s="4">
        <v>10</v>
      </c>
    </row>
    <row r="410" spans="1:18" ht="15" x14ac:dyDescent="0.25">
      <c r="A410" s="4" t="s">
        <v>85</v>
      </c>
      <c r="B410" s="4" t="s">
        <v>19</v>
      </c>
      <c r="C410" s="4" t="s">
        <v>25</v>
      </c>
      <c r="D410" s="5">
        <v>42982</v>
      </c>
      <c r="E410" s="4">
        <v>108021</v>
      </c>
      <c r="F410" s="4">
        <v>238.54452800000001</v>
      </c>
      <c r="G410" s="4">
        <v>50401</v>
      </c>
      <c r="H410" s="4">
        <v>23539</v>
      </c>
      <c r="I410" s="4">
        <v>23062</v>
      </c>
      <c r="J410" s="4">
        <v>17215</v>
      </c>
      <c r="K410" s="4">
        <v>12038</v>
      </c>
      <c r="L410" s="4">
        <v>10201</v>
      </c>
      <c r="M410" s="6">
        <v>9.2592592592592588E-5</v>
      </c>
      <c r="N410" s="4">
        <v>50544</v>
      </c>
      <c r="O410" s="4">
        <v>5</v>
      </c>
      <c r="P410" s="4">
        <v>9</v>
      </c>
      <c r="Q410" s="4">
        <v>50522</v>
      </c>
      <c r="R410" s="4">
        <v>107</v>
      </c>
    </row>
    <row r="411" spans="1:18" ht="15" x14ac:dyDescent="0.25">
      <c r="A411" s="4" t="s">
        <v>85</v>
      </c>
      <c r="B411" s="4" t="s">
        <v>19</v>
      </c>
      <c r="C411" s="4" t="s">
        <v>26</v>
      </c>
      <c r="D411" s="5">
        <v>42982</v>
      </c>
      <c r="E411" s="4">
        <v>354525</v>
      </c>
      <c r="F411" s="4">
        <v>697.78852659999995</v>
      </c>
      <c r="G411" s="4">
        <v>151001</v>
      </c>
      <c r="H411" s="4">
        <v>72368</v>
      </c>
      <c r="I411" s="4">
        <v>70887</v>
      </c>
      <c r="J411" s="4">
        <v>52570</v>
      </c>
      <c r="K411" s="4">
        <v>37404</v>
      </c>
      <c r="L411" s="4">
        <v>32806</v>
      </c>
      <c r="M411" s="6">
        <v>9.2592592592592588E-5</v>
      </c>
      <c r="N411" s="4">
        <v>151603</v>
      </c>
      <c r="O411" s="4">
        <v>34</v>
      </c>
      <c r="P411" s="4">
        <v>32</v>
      </c>
      <c r="Q411" s="4">
        <v>151509</v>
      </c>
      <c r="R411" s="4">
        <v>442</v>
      </c>
    </row>
    <row r="412" spans="1:18" ht="15" x14ac:dyDescent="0.25">
      <c r="A412" s="4" t="s">
        <v>86</v>
      </c>
      <c r="B412" s="4" t="s">
        <v>32</v>
      </c>
      <c r="C412" s="4" t="s">
        <v>21</v>
      </c>
      <c r="D412" s="5">
        <v>42982</v>
      </c>
      <c r="E412" s="4">
        <v>0</v>
      </c>
      <c r="F412" s="4">
        <v>4.9950050000000003E-2</v>
      </c>
      <c r="G412" s="4">
        <v>7</v>
      </c>
      <c r="H412" s="4">
        <v>2</v>
      </c>
      <c r="I412" s="4">
        <v>1</v>
      </c>
      <c r="J412" s="4">
        <v>1</v>
      </c>
      <c r="K412" s="4">
        <v>1</v>
      </c>
      <c r="L412" s="4">
        <v>1</v>
      </c>
      <c r="M412" s="6">
        <v>6.9444444444444444E-5</v>
      </c>
      <c r="N412" s="4">
        <v>7</v>
      </c>
      <c r="O412" s="7"/>
      <c r="P412" s="7"/>
      <c r="Q412" s="4">
        <v>7</v>
      </c>
      <c r="R412" s="7"/>
    </row>
    <row r="413" spans="1:18" ht="15" x14ac:dyDescent="0.25">
      <c r="A413" s="4" t="s">
        <v>86</v>
      </c>
      <c r="B413" s="4" t="s">
        <v>32</v>
      </c>
      <c r="C413" s="4" t="s">
        <v>20</v>
      </c>
      <c r="D413" s="5">
        <v>42982</v>
      </c>
      <c r="E413" s="4">
        <v>256</v>
      </c>
      <c r="F413" s="4">
        <v>28.341658339999999</v>
      </c>
      <c r="G413" s="4">
        <v>760</v>
      </c>
      <c r="H413" s="4">
        <v>664</v>
      </c>
      <c r="I413" s="4">
        <v>350</v>
      </c>
      <c r="J413" s="4">
        <v>183</v>
      </c>
      <c r="K413" s="4">
        <v>154</v>
      </c>
      <c r="L413" s="4">
        <v>137</v>
      </c>
      <c r="M413" s="6">
        <v>1.9675925925925926E-4</v>
      </c>
      <c r="N413" s="4">
        <v>760</v>
      </c>
      <c r="O413" s="7"/>
      <c r="P413" s="7"/>
      <c r="Q413" s="4">
        <v>760</v>
      </c>
      <c r="R413" s="7"/>
    </row>
    <row r="414" spans="1:18" ht="15" x14ac:dyDescent="0.25">
      <c r="A414" s="4" t="s">
        <v>86</v>
      </c>
      <c r="B414" s="4" t="s">
        <v>32</v>
      </c>
      <c r="C414" s="4" t="s">
        <v>23</v>
      </c>
      <c r="D414" s="5">
        <v>42982</v>
      </c>
      <c r="E414" s="4">
        <v>1856</v>
      </c>
      <c r="F414" s="4">
        <v>7.8021978020000002</v>
      </c>
      <c r="G414" s="4">
        <v>1003</v>
      </c>
      <c r="H414" s="4">
        <v>303</v>
      </c>
      <c r="I414" s="4">
        <v>232</v>
      </c>
      <c r="J414" s="4">
        <v>162</v>
      </c>
      <c r="K414" s="4">
        <v>114</v>
      </c>
      <c r="L414" s="4">
        <v>95</v>
      </c>
      <c r="M414" s="6">
        <v>6.9444444444444444E-5</v>
      </c>
      <c r="N414" s="4">
        <v>1021</v>
      </c>
      <c r="O414" s="4">
        <v>1</v>
      </c>
      <c r="P414" s="7"/>
      <c r="Q414" s="4">
        <v>1019</v>
      </c>
      <c r="R414" s="4">
        <v>15</v>
      </c>
    </row>
    <row r="415" spans="1:18" ht="15" x14ac:dyDescent="0.25">
      <c r="A415" s="4" t="s">
        <v>86</v>
      </c>
      <c r="B415" s="4" t="s">
        <v>32</v>
      </c>
      <c r="C415" s="4" t="s">
        <v>22</v>
      </c>
      <c r="D415" s="5">
        <v>42982</v>
      </c>
      <c r="E415" s="4">
        <v>2247</v>
      </c>
      <c r="F415" s="4">
        <v>7.9220779219999997</v>
      </c>
      <c r="G415" s="4">
        <v>1070</v>
      </c>
      <c r="H415" s="4">
        <v>276</v>
      </c>
      <c r="I415" s="4">
        <v>228</v>
      </c>
      <c r="J415" s="4">
        <v>148</v>
      </c>
      <c r="K415" s="4">
        <v>106</v>
      </c>
      <c r="L415" s="4">
        <v>84</v>
      </c>
      <c r="M415" s="6">
        <v>8.1018518518518516E-5</v>
      </c>
      <c r="N415" s="4">
        <v>1071</v>
      </c>
      <c r="O415" s="4">
        <v>1</v>
      </c>
      <c r="P415" s="7"/>
      <c r="Q415" s="4">
        <v>1071</v>
      </c>
      <c r="R415" s="7"/>
    </row>
    <row r="416" spans="1:18" ht="15" x14ac:dyDescent="0.25">
      <c r="A416" s="4" t="s">
        <v>86</v>
      </c>
      <c r="B416" s="4" t="s">
        <v>32</v>
      </c>
      <c r="C416" s="4" t="s">
        <v>24</v>
      </c>
      <c r="D416" s="5">
        <v>42982</v>
      </c>
      <c r="E416" s="4">
        <v>7423</v>
      </c>
      <c r="F416" s="4">
        <v>18.14185814</v>
      </c>
      <c r="G416" s="4">
        <v>3460</v>
      </c>
      <c r="H416" s="4">
        <v>928</v>
      </c>
      <c r="I416" s="4">
        <v>753</v>
      </c>
      <c r="J416" s="4">
        <v>540</v>
      </c>
      <c r="K416" s="4">
        <v>435</v>
      </c>
      <c r="L416" s="4">
        <v>385</v>
      </c>
      <c r="M416" s="6">
        <v>6.9444444444444444E-5</v>
      </c>
      <c r="N416" s="4">
        <v>3484</v>
      </c>
      <c r="O416" s="7"/>
      <c r="P416" s="4">
        <v>2</v>
      </c>
      <c r="Q416" s="4">
        <v>3479</v>
      </c>
      <c r="R416" s="4">
        <v>17</v>
      </c>
    </row>
    <row r="417" spans="1:18" ht="15" x14ac:dyDescent="0.25">
      <c r="A417" s="4" t="s">
        <v>86</v>
      </c>
      <c r="B417" s="4" t="s">
        <v>32</v>
      </c>
      <c r="C417" s="4" t="s">
        <v>25</v>
      </c>
      <c r="D417" s="5">
        <v>42982</v>
      </c>
      <c r="E417" s="4">
        <v>64260</v>
      </c>
      <c r="F417" s="4">
        <v>169.33066930000001</v>
      </c>
      <c r="G417" s="4">
        <v>23361</v>
      </c>
      <c r="H417" s="4">
        <v>7317</v>
      </c>
      <c r="I417" s="4">
        <v>6302</v>
      </c>
      <c r="J417" s="4">
        <v>4503</v>
      </c>
      <c r="K417" s="4">
        <v>3279</v>
      </c>
      <c r="L417" s="4">
        <v>2630</v>
      </c>
      <c r="M417" s="6">
        <v>6.9444444444444444E-5</v>
      </c>
      <c r="N417" s="4">
        <v>23564</v>
      </c>
      <c r="O417" s="4">
        <v>21</v>
      </c>
      <c r="P417" s="4">
        <v>19</v>
      </c>
      <c r="Q417" s="4">
        <v>23549</v>
      </c>
      <c r="R417" s="4">
        <v>148</v>
      </c>
    </row>
    <row r="418" spans="1:18" ht="15" x14ac:dyDescent="0.25">
      <c r="A418" s="4" t="s">
        <v>86</v>
      </c>
      <c r="B418" s="4" t="s">
        <v>32</v>
      </c>
      <c r="C418" s="4" t="s">
        <v>26</v>
      </c>
      <c r="D418" s="5">
        <v>42982</v>
      </c>
      <c r="E418" s="4">
        <v>278885</v>
      </c>
      <c r="F418" s="4">
        <v>768.41158840000003</v>
      </c>
      <c r="G418" s="4">
        <v>106877</v>
      </c>
      <c r="H418" s="4">
        <v>36707</v>
      </c>
      <c r="I418" s="4">
        <v>31428</v>
      </c>
      <c r="J418" s="4">
        <v>22249</v>
      </c>
      <c r="K418" s="4">
        <v>17009</v>
      </c>
      <c r="L418" s="4">
        <v>14327</v>
      </c>
      <c r="M418" s="6">
        <v>6.9444444444444444E-5</v>
      </c>
      <c r="N418" s="4">
        <v>108204</v>
      </c>
      <c r="O418" s="4">
        <v>171</v>
      </c>
      <c r="P418" s="4">
        <v>72</v>
      </c>
      <c r="Q418" s="4">
        <v>108037</v>
      </c>
      <c r="R418" s="4">
        <v>917</v>
      </c>
    </row>
    <row r="419" spans="1:18" ht="15" x14ac:dyDescent="0.25">
      <c r="A419" s="4" t="s">
        <v>87</v>
      </c>
      <c r="B419" s="4" t="s">
        <v>29</v>
      </c>
      <c r="C419" s="4" t="s">
        <v>21</v>
      </c>
      <c r="D419" s="5">
        <v>42983</v>
      </c>
      <c r="E419" s="4">
        <v>0</v>
      </c>
      <c r="F419" s="4">
        <v>9.9437185999999997E-2</v>
      </c>
      <c r="G419" s="4">
        <v>14</v>
      </c>
      <c r="H419" s="4">
        <v>2</v>
      </c>
      <c r="I419" s="4">
        <v>1</v>
      </c>
      <c r="J419" s="4">
        <v>1</v>
      </c>
      <c r="K419" s="4">
        <v>1</v>
      </c>
      <c r="L419" s="4">
        <v>1</v>
      </c>
      <c r="M419" s="6">
        <v>8.1018518518518516E-5</v>
      </c>
      <c r="N419" s="4">
        <v>14</v>
      </c>
      <c r="O419" s="7"/>
      <c r="P419" s="7"/>
      <c r="Q419" s="4">
        <v>14</v>
      </c>
      <c r="R419" s="7"/>
    </row>
    <row r="420" spans="1:18" ht="15" x14ac:dyDescent="0.25">
      <c r="A420" s="4" t="s">
        <v>87</v>
      </c>
      <c r="B420" s="4" t="s">
        <v>29</v>
      </c>
      <c r="C420" s="4" t="s">
        <v>20</v>
      </c>
      <c r="D420" s="5">
        <v>42983</v>
      </c>
      <c r="E420" s="4">
        <v>0</v>
      </c>
      <c r="F420" s="4">
        <v>0.27842411900000003</v>
      </c>
      <c r="G420" s="4">
        <v>7</v>
      </c>
      <c r="H420" s="4">
        <v>5</v>
      </c>
      <c r="I420" s="4">
        <v>4</v>
      </c>
      <c r="J420" s="4">
        <v>3</v>
      </c>
      <c r="K420" s="4">
        <v>3</v>
      </c>
      <c r="L420" s="4">
        <v>3</v>
      </c>
      <c r="M420" s="6">
        <v>3.2407407407407406E-4</v>
      </c>
      <c r="N420" s="4">
        <v>7</v>
      </c>
      <c r="O420" s="7"/>
      <c r="P420" s="7"/>
      <c r="Q420" s="4">
        <v>7</v>
      </c>
      <c r="R420" s="7"/>
    </row>
    <row r="421" spans="1:18" ht="15" x14ac:dyDescent="0.25">
      <c r="A421" s="4" t="s">
        <v>87</v>
      </c>
      <c r="B421" s="4" t="s">
        <v>29</v>
      </c>
      <c r="C421" s="4" t="s">
        <v>22</v>
      </c>
      <c r="D421" s="5">
        <v>42983</v>
      </c>
      <c r="E421" s="4">
        <v>1920</v>
      </c>
      <c r="F421" s="4">
        <v>12.479366779999999</v>
      </c>
      <c r="G421" s="4">
        <v>1463</v>
      </c>
      <c r="H421" s="4">
        <v>367</v>
      </c>
      <c r="I421" s="4">
        <v>253</v>
      </c>
      <c r="J421" s="4">
        <v>199</v>
      </c>
      <c r="K421" s="4">
        <v>155</v>
      </c>
      <c r="L421" s="4">
        <v>108</v>
      </c>
      <c r="M421" s="6">
        <v>9.2592592592592588E-5</v>
      </c>
      <c r="N421" s="4">
        <v>1475</v>
      </c>
      <c r="O421" s="4">
        <v>2</v>
      </c>
      <c r="P421" s="7"/>
      <c r="Q421" s="4">
        <v>1474</v>
      </c>
      <c r="R421" s="4">
        <v>9</v>
      </c>
    </row>
    <row r="422" spans="1:18" ht="15" x14ac:dyDescent="0.25">
      <c r="A422" s="4" t="s">
        <v>87</v>
      </c>
      <c r="B422" s="4" t="s">
        <v>29</v>
      </c>
      <c r="C422" s="4" t="s">
        <v>23</v>
      </c>
      <c r="D422" s="5">
        <v>42983</v>
      </c>
      <c r="E422" s="4">
        <v>3441</v>
      </c>
      <c r="F422" s="4">
        <v>14.060418029999999</v>
      </c>
      <c r="G422" s="4">
        <v>1442</v>
      </c>
      <c r="H422" s="4">
        <v>438</v>
      </c>
      <c r="I422" s="4">
        <v>277</v>
      </c>
      <c r="J422" s="4">
        <v>199</v>
      </c>
      <c r="K422" s="4">
        <v>161</v>
      </c>
      <c r="L422" s="4">
        <v>110</v>
      </c>
      <c r="M422" s="6">
        <v>8.1018518518518516E-5</v>
      </c>
      <c r="N422" s="4">
        <v>1472</v>
      </c>
      <c r="O422" s="4">
        <v>4</v>
      </c>
      <c r="P422" s="4">
        <v>1</v>
      </c>
      <c r="Q422" s="4">
        <v>1472</v>
      </c>
      <c r="R422" s="4">
        <v>25</v>
      </c>
    </row>
    <row r="423" spans="1:18" ht="15" x14ac:dyDescent="0.25">
      <c r="A423" s="4" t="s">
        <v>87</v>
      </c>
      <c r="B423" s="4" t="s">
        <v>29</v>
      </c>
      <c r="C423" s="4" t="s">
        <v>25</v>
      </c>
      <c r="D423" s="5">
        <v>42983</v>
      </c>
      <c r="E423" s="4">
        <v>31166</v>
      </c>
      <c r="F423" s="4">
        <v>98.979774480000003</v>
      </c>
      <c r="G423" s="4">
        <v>13052</v>
      </c>
      <c r="H423" s="4">
        <v>3965</v>
      </c>
      <c r="I423" s="4">
        <v>2970</v>
      </c>
      <c r="J423" s="4">
        <v>2542</v>
      </c>
      <c r="K423" s="4">
        <v>2071</v>
      </c>
      <c r="L423" s="4">
        <v>1336</v>
      </c>
      <c r="M423" s="6">
        <v>9.2592592592592588E-5</v>
      </c>
      <c r="N423" s="4">
        <v>13252</v>
      </c>
      <c r="O423" s="4">
        <v>17</v>
      </c>
      <c r="P423" s="4">
        <v>10</v>
      </c>
      <c r="Q423" s="4">
        <v>13238</v>
      </c>
      <c r="R423" s="4">
        <v>159</v>
      </c>
    </row>
    <row r="424" spans="1:18" ht="15" x14ac:dyDescent="0.25">
      <c r="A424" s="4" t="s">
        <v>87</v>
      </c>
      <c r="B424" s="4" t="s">
        <v>29</v>
      </c>
      <c r="C424" s="4" t="s">
        <v>24</v>
      </c>
      <c r="D424" s="5">
        <v>42983</v>
      </c>
      <c r="E424" s="4">
        <v>71815</v>
      </c>
      <c r="F424" s="4">
        <v>212.43760320000001</v>
      </c>
      <c r="G424" s="4">
        <v>29860</v>
      </c>
      <c r="H424" s="4">
        <v>8077</v>
      </c>
      <c r="I424" s="4">
        <v>5454</v>
      </c>
      <c r="J424" s="4">
        <v>3838</v>
      </c>
      <c r="K424" s="4">
        <v>3123</v>
      </c>
      <c r="L424" s="4">
        <v>2420</v>
      </c>
      <c r="M424" s="6">
        <v>6.9444444444444444E-5</v>
      </c>
      <c r="N424" s="4">
        <v>30070</v>
      </c>
      <c r="O424" s="4">
        <v>29</v>
      </c>
      <c r="P424" s="4">
        <v>5</v>
      </c>
      <c r="Q424" s="4">
        <v>30035</v>
      </c>
      <c r="R424" s="4">
        <v>140</v>
      </c>
    </row>
    <row r="425" spans="1:18" ht="15" x14ac:dyDescent="0.25">
      <c r="A425" s="4" t="s">
        <v>87</v>
      </c>
      <c r="B425" s="4" t="s">
        <v>29</v>
      </c>
      <c r="C425" s="4" t="s">
        <v>26</v>
      </c>
      <c r="D425" s="5">
        <v>42983</v>
      </c>
      <c r="E425" s="4">
        <v>214960</v>
      </c>
      <c r="F425" s="4">
        <v>661.66497619999996</v>
      </c>
      <c r="G425" s="4">
        <v>83194</v>
      </c>
      <c r="H425" s="4">
        <v>28332</v>
      </c>
      <c r="I425" s="4">
        <v>21399</v>
      </c>
      <c r="J425" s="4">
        <v>17862</v>
      </c>
      <c r="K425" s="4">
        <v>14769</v>
      </c>
      <c r="L425" s="4">
        <v>10504</v>
      </c>
      <c r="M425" s="6">
        <v>9.2592592592592588E-5</v>
      </c>
      <c r="N425" s="4">
        <v>84845</v>
      </c>
      <c r="O425" s="4">
        <v>227</v>
      </c>
      <c r="P425" s="4">
        <v>68</v>
      </c>
      <c r="Q425" s="4">
        <v>84690</v>
      </c>
      <c r="R425" s="4">
        <v>1201</v>
      </c>
    </row>
    <row r="426" spans="1:18" ht="12.75" x14ac:dyDescent="0.2">
      <c r="D426" s="8"/>
    </row>
    <row r="427" spans="1:18" ht="12.75" x14ac:dyDescent="0.2">
      <c r="D427" s="8"/>
    </row>
    <row r="428" spans="1:18" ht="12.75" x14ac:dyDescent="0.2">
      <c r="D428" s="8"/>
    </row>
    <row r="429" spans="1:18" ht="12.75" x14ac:dyDescent="0.2">
      <c r="D429" s="8"/>
    </row>
    <row r="430" spans="1:18" ht="12.75" x14ac:dyDescent="0.2">
      <c r="D430" s="8"/>
    </row>
    <row r="431" spans="1:18" ht="12.75" x14ac:dyDescent="0.2">
      <c r="D431" s="8"/>
    </row>
    <row r="432" spans="1:18" ht="12.75" x14ac:dyDescent="0.2">
      <c r="D432" s="8"/>
    </row>
    <row r="433" spans="4:4" ht="12.75" x14ac:dyDescent="0.2">
      <c r="D433" s="8"/>
    </row>
    <row r="434" spans="4:4" ht="12.75" x14ac:dyDescent="0.2">
      <c r="D434" s="8"/>
    </row>
    <row r="435" spans="4:4" ht="12.75" x14ac:dyDescent="0.2">
      <c r="D435" s="8"/>
    </row>
    <row r="436" spans="4:4" ht="12.75" x14ac:dyDescent="0.2">
      <c r="D436" s="8"/>
    </row>
    <row r="437" spans="4:4" ht="12.75" x14ac:dyDescent="0.2">
      <c r="D437" s="8"/>
    </row>
    <row r="438" spans="4:4" ht="12.75" x14ac:dyDescent="0.2">
      <c r="D438" s="8"/>
    </row>
    <row r="439" spans="4:4" ht="12.75" x14ac:dyDescent="0.2">
      <c r="D439" s="8"/>
    </row>
    <row r="440" spans="4:4" ht="12.75" x14ac:dyDescent="0.2">
      <c r="D440" s="8"/>
    </row>
    <row r="441" spans="4:4" ht="12.75" x14ac:dyDescent="0.2">
      <c r="D441" s="8"/>
    </row>
    <row r="442" spans="4:4" ht="12.75" x14ac:dyDescent="0.2">
      <c r="D442" s="8"/>
    </row>
    <row r="443" spans="4:4" ht="12.75" x14ac:dyDescent="0.2">
      <c r="D443" s="8"/>
    </row>
    <row r="444" spans="4:4" ht="12.75" x14ac:dyDescent="0.2">
      <c r="D444" s="8"/>
    </row>
    <row r="445" spans="4:4" ht="12.75" x14ac:dyDescent="0.2">
      <c r="D445" s="8"/>
    </row>
    <row r="446" spans="4:4" ht="12.75" x14ac:dyDescent="0.2">
      <c r="D446" s="8"/>
    </row>
    <row r="447" spans="4:4" ht="12.75" x14ac:dyDescent="0.2">
      <c r="D447" s="8"/>
    </row>
    <row r="448" spans="4:4" ht="12.75" x14ac:dyDescent="0.2">
      <c r="D448" s="8"/>
    </row>
    <row r="449" spans="4:4" ht="12.75" x14ac:dyDescent="0.2">
      <c r="D449" s="8"/>
    </row>
    <row r="450" spans="4:4" ht="12.75" x14ac:dyDescent="0.2">
      <c r="D450" s="8"/>
    </row>
    <row r="451" spans="4:4" ht="12.75" x14ac:dyDescent="0.2">
      <c r="D451" s="8"/>
    </row>
    <row r="452" spans="4:4" ht="12.75" x14ac:dyDescent="0.2">
      <c r="D452" s="8"/>
    </row>
    <row r="453" spans="4:4" ht="12.75" x14ac:dyDescent="0.2">
      <c r="D453" s="8"/>
    </row>
    <row r="454" spans="4:4" ht="12.75" x14ac:dyDescent="0.2">
      <c r="D454" s="8"/>
    </row>
    <row r="455" spans="4:4" ht="12.75" x14ac:dyDescent="0.2">
      <c r="D455" s="8"/>
    </row>
    <row r="456" spans="4:4" ht="12.75" x14ac:dyDescent="0.2">
      <c r="D456" s="8"/>
    </row>
    <row r="457" spans="4:4" ht="12.75" x14ac:dyDescent="0.2">
      <c r="D457" s="8"/>
    </row>
    <row r="458" spans="4:4" ht="12.75" x14ac:dyDescent="0.2">
      <c r="D458" s="8"/>
    </row>
    <row r="459" spans="4:4" ht="12.75" x14ac:dyDescent="0.2">
      <c r="D459" s="8"/>
    </row>
    <row r="460" spans="4:4" ht="12.75" x14ac:dyDescent="0.2">
      <c r="D460" s="8"/>
    </row>
    <row r="461" spans="4:4" ht="12.75" x14ac:dyDescent="0.2">
      <c r="D461" s="8"/>
    </row>
    <row r="462" spans="4:4" ht="12.75" x14ac:dyDescent="0.2">
      <c r="D462" s="8"/>
    </row>
    <row r="463" spans="4:4" ht="12.75" x14ac:dyDescent="0.2">
      <c r="D463" s="8"/>
    </row>
    <row r="464" spans="4:4" ht="12.75" x14ac:dyDescent="0.2">
      <c r="D464" s="8"/>
    </row>
    <row r="465" spans="4:4" ht="12.75" x14ac:dyDescent="0.2">
      <c r="D465" s="8"/>
    </row>
    <row r="466" spans="4:4" ht="12.75" x14ac:dyDescent="0.2">
      <c r="D466" s="8"/>
    </row>
    <row r="467" spans="4:4" ht="12.75" x14ac:dyDescent="0.2">
      <c r="D467" s="8"/>
    </row>
    <row r="468" spans="4:4" ht="12.75" x14ac:dyDescent="0.2">
      <c r="D468" s="8"/>
    </row>
    <row r="469" spans="4:4" ht="12.75" x14ac:dyDescent="0.2">
      <c r="D469" s="8"/>
    </row>
    <row r="470" spans="4:4" ht="12.75" x14ac:dyDescent="0.2">
      <c r="D470" s="8"/>
    </row>
    <row r="471" spans="4:4" ht="12.75" x14ac:dyDescent="0.2">
      <c r="D471" s="8"/>
    </row>
    <row r="472" spans="4:4" ht="12.75" x14ac:dyDescent="0.2">
      <c r="D472" s="8"/>
    </row>
    <row r="473" spans="4:4" ht="12.75" x14ac:dyDescent="0.2">
      <c r="D473" s="8"/>
    </row>
    <row r="474" spans="4:4" ht="12.75" x14ac:dyDescent="0.2">
      <c r="D474" s="8"/>
    </row>
    <row r="475" spans="4:4" ht="12.75" x14ac:dyDescent="0.2">
      <c r="D475" s="8"/>
    </row>
    <row r="476" spans="4:4" ht="12.75" x14ac:dyDescent="0.2">
      <c r="D476" s="8"/>
    </row>
    <row r="477" spans="4:4" ht="12.75" x14ac:dyDescent="0.2">
      <c r="D477" s="8"/>
    </row>
    <row r="478" spans="4:4" ht="12.75" x14ac:dyDescent="0.2">
      <c r="D478" s="8"/>
    </row>
    <row r="479" spans="4:4" ht="12.75" x14ac:dyDescent="0.2">
      <c r="D479" s="8"/>
    </row>
    <row r="480" spans="4:4" ht="12.75" x14ac:dyDescent="0.2">
      <c r="D480" s="8"/>
    </row>
    <row r="481" spans="4:4" ht="12.75" x14ac:dyDescent="0.2">
      <c r="D481" s="8"/>
    </row>
    <row r="482" spans="4:4" ht="12.75" x14ac:dyDescent="0.2">
      <c r="D482" s="8"/>
    </row>
    <row r="483" spans="4:4" ht="12.75" x14ac:dyDescent="0.2">
      <c r="D483" s="8"/>
    </row>
    <row r="484" spans="4:4" ht="12.75" x14ac:dyDescent="0.2">
      <c r="D484" s="8"/>
    </row>
    <row r="485" spans="4:4" ht="12.75" x14ac:dyDescent="0.2">
      <c r="D485" s="8"/>
    </row>
    <row r="486" spans="4:4" ht="12.75" x14ac:dyDescent="0.2">
      <c r="D486" s="8"/>
    </row>
    <row r="487" spans="4:4" ht="12.75" x14ac:dyDescent="0.2">
      <c r="D487" s="8"/>
    </row>
    <row r="488" spans="4:4" ht="12.75" x14ac:dyDescent="0.2">
      <c r="D488" s="8"/>
    </row>
    <row r="489" spans="4:4" ht="12.75" x14ac:dyDescent="0.2">
      <c r="D489" s="8"/>
    </row>
    <row r="490" spans="4:4" ht="12.75" x14ac:dyDescent="0.2">
      <c r="D490" s="8"/>
    </row>
    <row r="491" spans="4:4" ht="12.75" x14ac:dyDescent="0.2">
      <c r="D491" s="8"/>
    </row>
    <row r="492" spans="4:4" ht="12.75" x14ac:dyDescent="0.2">
      <c r="D492" s="8"/>
    </row>
    <row r="493" spans="4:4" ht="12.75" x14ac:dyDescent="0.2">
      <c r="D493" s="8"/>
    </row>
    <row r="494" spans="4:4" ht="12.75" x14ac:dyDescent="0.2">
      <c r="D494" s="8"/>
    </row>
    <row r="495" spans="4:4" ht="12.75" x14ac:dyDescent="0.2">
      <c r="D495" s="8"/>
    </row>
    <row r="496" spans="4:4" ht="12.75" x14ac:dyDescent="0.2">
      <c r="D496" s="8"/>
    </row>
    <row r="497" spans="4:4" ht="12.75" x14ac:dyDescent="0.2">
      <c r="D497" s="8"/>
    </row>
    <row r="498" spans="4:4" ht="12.75" x14ac:dyDescent="0.2">
      <c r="D498" s="8"/>
    </row>
    <row r="499" spans="4:4" ht="12.75" x14ac:dyDescent="0.2">
      <c r="D499" s="8"/>
    </row>
    <row r="500" spans="4:4" ht="12.75" x14ac:dyDescent="0.2">
      <c r="D500" s="8"/>
    </row>
    <row r="501" spans="4:4" ht="12.75" x14ac:dyDescent="0.2">
      <c r="D501" s="8"/>
    </row>
    <row r="502" spans="4:4" ht="12.75" x14ac:dyDescent="0.2">
      <c r="D502" s="8"/>
    </row>
    <row r="503" spans="4:4" ht="12.75" x14ac:dyDescent="0.2">
      <c r="D503" s="8"/>
    </row>
    <row r="504" spans="4:4" ht="12.75" x14ac:dyDescent="0.2">
      <c r="D504" s="8"/>
    </row>
    <row r="505" spans="4:4" ht="12.75" x14ac:dyDescent="0.2">
      <c r="D505" s="8"/>
    </row>
    <row r="506" spans="4:4" ht="12.75" x14ac:dyDescent="0.2">
      <c r="D506" s="8"/>
    </row>
    <row r="507" spans="4:4" ht="12.75" x14ac:dyDescent="0.2">
      <c r="D507" s="8"/>
    </row>
    <row r="508" spans="4:4" ht="12.75" x14ac:dyDescent="0.2">
      <c r="D508" s="8"/>
    </row>
    <row r="509" spans="4:4" ht="12.75" x14ac:dyDescent="0.2">
      <c r="D509" s="8"/>
    </row>
    <row r="510" spans="4:4" ht="12.75" x14ac:dyDescent="0.2">
      <c r="D510" s="8"/>
    </row>
    <row r="511" spans="4:4" ht="12.75" x14ac:dyDescent="0.2">
      <c r="D511" s="8"/>
    </row>
    <row r="512" spans="4:4" ht="12.75" x14ac:dyDescent="0.2">
      <c r="D512" s="8"/>
    </row>
    <row r="513" spans="4:4" ht="12.75" x14ac:dyDescent="0.2">
      <c r="D513" s="8"/>
    </row>
    <row r="514" spans="4:4" ht="12.75" x14ac:dyDescent="0.2">
      <c r="D514" s="8"/>
    </row>
    <row r="515" spans="4:4" ht="12.75" x14ac:dyDescent="0.2">
      <c r="D515" s="8"/>
    </row>
    <row r="516" spans="4:4" ht="12.75" x14ac:dyDescent="0.2">
      <c r="D516" s="8"/>
    </row>
    <row r="517" spans="4:4" ht="12.75" x14ac:dyDescent="0.2">
      <c r="D517" s="8"/>
    </row>
    <row r="518" spans="4:4" ht="12.75" x14ac:dyDescent="0.2">
      <c r="D518" s="8"/>
    </row>
    <row r="519" spans="4:4" ht="12.75" x14ac:dyDescent="0.2">
      <c r="D519" s="8"/>
    </row>
    <row r="520" spans="4:4" ht="12.75" x14ac:dyDescent="0.2">
      <c r="D520" s="8"/>
    </row>
    <row r="521" spans="4:4" ht="12.75" x14ac:dyDescent="0.2">
      <c r="D521" s="8"/>
    </row>
    <row r="522" spans="4:4" ht="12.75" x14ac:dyDescent="0.2">
      <c r="D522" s="8"/>
    </row>
    <row r="523" spans="4:4" ht="12.75" x14ac:dyDescent="0.2">
      <c r="D523" s="8"/>
    </row>
    <row r="524" spans="4:4" ht="12.75" x14ac:dyDescent="0.2">
      <c r="D524" s="8"/>
    </row>
    <row r="525" spans="4:4" ht="12.75" x14ac:dyDescent="0.2">
      <c r="D525" s="8"/>
    </row>
    <row r="526" spans="4:4" ht="12.75" x14ac:dyDescent="0.2">
      <c r="D526" s="8"/>
    </row>
    <row r="527" spans="4:4" ht="12.75" x14ac:dyDescent="0.2">
      <c r="D527" s="8"/>
    </row>
    <row r="528" spans="4:4" ht="12.75" x14ac:dyDescent="0.2">
      <c r="D528" s="8"/>
    </row>
    <row r="529" spans="4:4" ht="12.75" x14ac:dyDescent="0.2">
      <c r="D529" s="8"/>
    </row>
    <row r="530" spans="4:4" ht="12.75" x14ac:dyDescent="0.2">
      <c r="D530" s="8"/>
    </row>
    <row r="531" spans="4:4" ht="12.75" x14ac:dyDescent="0.2">
      <c r="D531" s="8"/>
    </row>
    <row r="532" spans="4:4" ht="12.75" x14ac:dyDescent="0.2">
      <c r="D532" s="8"/>
    </row>
    <row r="533" spans="4:4" ht="12.75" x14ac:dyDescent="0.2">
      <c r="D533" s="8"/>
    </row>
    <row r="534" spans="4:4" ht="12.75" x14ac:dyDescent="0.2">
      <c r="D534" s="8"/>
    </row>
    <row r="535" spans="4:4" ht="12.75" x14ac:dyDescent="0.2">
      <c r="D535" s="8"/>
    </row>
    <row r="536" spans="4:4" ht="12.75" x14ac:dyDescent="0.2">
      <c r="D536" s="8"/>
    </row>
    <row r="537" spans="4:4" ht="12.75" x14ac:dyDescent="0.2">
      <c r="D537" s="8"/>
    </row>
    <row r="538" spans="4:4" ht="12.75" x14ac:dyDescent="0.2">
      <c r="D538" s="8"/>
    </row>
    <row r="539" spans="4:4" ht="12.75" x14ac:dyDescent="0.2">
      <c r="D539" s="8"/>
    </row>
    <row r="540" spans="4:4" ht="12.75" x14ac:dyDescent="0.2">
      <c r="D540" s="8"/>
    </row>
    <row r="541" spans="4:4" ht="12.75" x14ac:dyDescent="0.2">
      <c r="D541" s="8"/>
    </row>
    <row r="542" spans="4:4" ht="12.75" x14ac:dyDescent="0.2">
      <c r="D542" s="8"/>
    </row>
    <row r="543" spans="4:4" ht="12.75" x14ac:dyDescent="0.2">
      <c r="D543" s="8"/>
    </row>
    <row r="544" spans="4:4" ht="12.75" x14ac:dyDescent="0.2">
      <c r="D544" s="8"/>
    </row>
    <row r="545" spans="4:4" ht="12.75" x14ac:dyDescent="0.2">
      <c r="D545" s="8"/>
    </row>
    <row r="546" spans="4:4" ht="12.75" x14ac:dyDescent="0.2">
      <c r="D546" s="8"/>
    </row>
    <row r="547" spans="4:4" ht="12.75" x14ac:dyDescent="0.2">
      <c r="D547" s="8"/>
    </row>
    <row r="548" spans="4:4" ht="12.75" x14ac:dyDescent="0.2">
      <c r="D548" s="8"/>
    </row>
    <row r="549" spans="4:4" ht="12.75" x14ac:dyDescent="0.2">
      <c r="D549" s="8"/>
    </row>
    <row r="550" spans="4:4" ht="12.75" x14ac:dyDescent="0.2">
      <c r="D550" s="8"/>
    </row>
    <row r="551" spans="4:4" ht="12.75" x14ac:dyDescent="0.2">
      <c r="D551" s="8"/>
    </row>
    <row r="552" spans="4:4" ht="12.75" x14ac:dyDescent="0.2">
      <c r="D552" s="8"/>
    </row>
    <row r="553" spans="4:4" ht="12.75" x14ac:dyDescent="0.2">
      <c r="D553" s="8"/>
    </row>
    <row r="554" spans="4:4" ht="12.75" x14ac:dyDescent="0.2">
      <c r="D554" s="8"/>
    </row>
    <row r="555" spans="4:4" ht="12.75" x14ac:dyDescent="0.2">
      <c r="D555" s="8"/>
    </row>
    <row r="556" spans="4:4" ht="12.75" x14ac:dyDescent="0.2">
      <c r="D556" s="8"/>
    </row>
    <row r="557" spans="4:4" ht="12.75" x14ac:dyDescent="0.2">
      <c r="D557" s="8"/>
    </row>
    <row r="558" spans="4:4" ht="12.75" x14ac:dyDescent="0.2">
      <c r="D558" s="8"/>
    </row>
    <row r="559" spans="4:4" ht="12.75" x14ac:dyDescent="0.2">
      <c r="D559" s="8"/>
    </row>
    <row r="560" spans="4:4" ht="12.75" x14ac:dyDescent="0.2">
      <c r="D560" s="8"/>
    </row>
    <row r="561" spans="4:4" ht="12.75" x14ac:dyDescent="0.2">
      <c r="D561" s="8"/>
    </row>
    <row r="562" spans="4:4" ht="12.75" x14ac:dyDescent="0.2">
      <c r="D562" s="8"/>
    </row>
    <row r="563" spans="4:4" ht="12.75" x14ac:dyDescent="0.2">
      <c r="D563" s="8"/>
    </row>
    <row r="564" spans="4:4" ht="12.75" x14ac:dyDescent="0.2">
      <c r="D564" s="8"/>
    </row>
    <row r="565" spans="4:4" ht="12.75" x14ac:dyDescent="0.2">
      <c r="D565" s="8"/>
    </row>
    <row r="566" spans="4:4" ht="12.75" x14ac:dyDescent="0.2">
      <c r="D566" s="8"/>
    </row>
    <row r="567" spans="4:4" ht="12.75" x14ac:dyDescent="0.2">
      <c r="D567" s="8"/>
    </row>
    <row r="568" spans="4:4" ht="12.75" x14ac:dyDescent="0.2">
      <c r="D568" s="8"/>
    </row>
    <row r="569" spans="4:4" ht="12.75" x14ac:dyDescent="0.2">
      <c r="D569" s="8"/>
    </row>
    <row r="570" spans="4:4" ht="12.75" x14ac:dyDescent="0.2">
      <c r="D570" s="8"/>
    </row>
    <row r="571" spans="4:4" ht="12.75" x14ac:dyDescent="0.2">
      <c r="D571" s="8"/>
    </row>
    <row r="572" spans="4:4" ht="12.75" x14ac:dyDescent="0.2">
      <c r="D572" s="8"/>
    </row>
    <row r="573" spans="4:4" ht="12.75" x14ac:dyDescent="0.2">
      <c r="D573" s="8"/>
    </row>
    <row r="574" spans="4:4" ht="12.75" x14ac:dyDescent="0.2">
      <c r="D574" s="8"/>
    </row>
    <row r="575" spans="4:4" ht="12.75" x14ac:dyDescent="0.2">
      <c r="D575" s="8"/>
    </row>
    <row r="576" spans="4:4" ht="12.75" x14ac:dyDescent="0.2">
      <c r="D576" s="8"/>
    </row>
    <row r="577" spans="4:4" ht="12.75" x14ac:dyDescent="0.2">
      <c r="D577" s="8"/>
    </row>
    <row r="578" spans="4:4" ht="12.75" x14ac:dyDescent="0.2">
      <c r="D578" s="8"/>
    </row>
    <row r="579" spans="4:4" ht="12.75" x14ac:dyDescent="0.2">
      <c r="D579" s="8"/>
    </row>
    <row r="580" spans="4:4" ht="12.75" x14ac:dyDescent="0.2">
      <c r="D580" s="8"/>
    </row>
    <row r="581" spans="4:4" ht="12.75" x14ac:dyDescent="0.2">
      <c r="D581" s="8"/>
    </row>
    <row r="582" spans="4:4" ht="12.75" x14ac:dyDescent="0.2">
      <c r="D582" s="8"/>
    </row>
    <row r="583" spans="4:4" ht="12.75" x14ac:dyDescent="0.2">
      <c r="D583" s="8"/>
    </row>
    <row r="584" spans="4:4" ht="12.75" x14ac:dyDescent="0.2">
      <c r="D584" s="8"/>
    </row>
    <row r="585" spans="4:4" ht="12.75" x14ac:dyDescent="0.2">
      <c r="D585" s="8"/>
    </row>
    <row r="586" spans="4:4" ht="12.75" x14ac:dyDescent="0.2">
      <c r="D586" s="8"/>
    </row>
    <row r="587" spans="4:4" ht="12.75" x14ac:dyDescent="0.2">
      <c r="D587" s="8"/>
    </row>
    <row r="588" spans="4:4" ht="12.75" x14ac:dyDescent="0.2">
      <c r="D588" s="8"/>
    </row>
    <row r="589" spans="4:4" ht="12.75" x14ac:dyDescent="0.2">
      <c r="D589" s="8"/>
    </row>
    <row r="590" spans="4:4" ht="12.75" x14ac:dyDescent="0.2">
      <c r="D590" s="8"/>
    </row>
    <row r="591" spans="4:4" ht="12.75" x14ac:dyDescent="0.2">
      <c r="D591" s="8"/>
    </row>
    <row r="592" spans="4:4" ht="12.75" x14ac:dyDescent="0.2">
      <c r="D592" s="8"/>
    </row>
    <row r="593" spans="4:4" ht="12.75" x14ac:dyDescent="0.2">
      <c r="D593" s="8"/>
    </row>
    <row r="594" spans="4:4" ht="12.75" x14ac:dyDescent="0.2">
      <c r="D594" s="8"/>
    </row>
    <row r="595" spans="4:4" ht="12.75" x14ac:dyDescent="0.2">
      <c r="D595" s="8"/>
    </row>
    <row r="596" spans="4:4" ht="12.75" x14ac:dyDescent="0.2">
      <c r="D596" s="8"/>
    </row>
    <row r="597" spans="4:4" ht="12.75" x14ac:dyDescent="0.2">
      <c r="D597" s="8"/>
    </row>
    <row r="598" spans="4:4" ht="12.75" x14ac:dyDescent="0.2">
      <c r="D598" s="8"/>
    </row>
    <row r="599" spans="4:4" ht="12.75" x14ac:dyDescent="0.2">
      <c r="D599" s="8"/>
    </row>
    <row r="600" spans="4:4" ht="12.75" x14ac:dyDescent="0.2">
      <c r="D600" s="8"/>
    </row>
    <row r="601" spans="4:4" ht="12.75" x14ac:dyDescent="0.2">
      <c r="D601" s="8"/>
    </row>
    <row r="602" spans="4:4" ht="12.75" x14ac:dyDescent="0.2">
      <c r="D602" s="8"/>
    </row>
    <row r="603" spans="4:4" ht="12.75" x14ac:dyDescent="0.2">
      <c r="D603" s="8"/>
    </row>
    <row r="604" spans="4:4" ht="12.75" x14ac:dyDescent="0.2">
      <c r="D604" s="8"/>
    </row>
    <row r="605" spans="4:4" ht="12.75" x14ac:dyDescent="0.2">
      <c r="D605" s="8"/>
    </row>
    <row r="606" spans="4:4" ht="12.75" x14ac:dyDescent="0.2">
      <c r="D606" s="8"/>
    </row>
    <row r="607" spans="4:4" ht="12.75" x14ac:dyDescent="0.2">
      <c r="D607" s="8"/>
    </row>
    <row r="608" spans="4:4" ht="12.75" x14ac:dyDescent="0.2">
      <c r="D608" s="8"/>
    </row>
    <row r="609" spans="4:4" ht="12.75" x14ac:dyDescent="0.2">
      <c r="D609" s="8"/>
    </row>
    <row r="610" spans="4:4" ht="12.75" x14ac:dyDescent="0.2">
      <c r="D610" s="8"/>
    </row>
    <row r="611" spans="4:4" ht="12.75" x14ac:dyDescent="0.2">
      <c r="D611" s="8"/>
    </row>
    <row r="612" spans="4:4" ht="12.75" x14ac:dyDescent="0.2">
      <c r="D612" s="8"/>
    </row>
    <row r="613" spans="4:4" ht="12.75" x14ac:dyDescent="0.2">
      <c r="D613" s="8"/>
    </row>
    <row r="614" spans="4:4" ht="12.75" x14ac:dyDescent="0.2">
      <c r="D614" s="8"/>
    </row>
    <row r="615" spans="4:4" ht="12.75" x14ac:dyDescent="0.2">
      <c r="D615" s="8"/>
    </row>
    <row r="616" spans="4:4" ht="12.75" x14ac:dyDescent="0.2">
      <c r="D616" s="8"/>
    </row>
    <row r="617" spans="4:4" ht="12.75" x14ac:dyDescent="0.2">
      <c r="D617" s="8"/>
    </row>
    <row r="618" spans="4:4" ht="12.75" x14ac:dyDescent="0.2">
      <c r="D618" s="8"/>
    </row>
    <row r="619" spans="4:4" ht="12.75" x14ac:dyDescent="0.2">
      <c r="D619" s="8"/>
    </row>
    <row r="620" spans="4:4" ht="12.75" x14ac:dyDescent="0.2">
      <c r="D620" s="8"/>
    </row>
    <row r="621" spans="4:4" ht="12.75" x14ac:dyDescent="0.2">
      <c r="D621" s="8"/>
    </row>
    <row r="622" spans="4:4" ht="12.75" x14ac:dyDescent="0.2">
      <c r="D622" s="8"/>
    </row>
    <row r="623" spans="4:4" ht="12.75" x14ac:dyDescent="0.2">
      <c r="D623" s="8"/>
    </row>
    <row r="624" spans="4:4" ht="12.75" x14ac:dyDescent="0.2">
      <c r="D624" s="8"/>
    </row>
    <row r="625" spans="4:4" ht="12.75" x14ac:dyDescent="0.2">
      <c r="D625" s="8"/>
    </row>
    <row r="626" spans="4:4" ht="12.75" x14ac:dyDescent="0.2">
      <c r="D626" s="8"/>
    </row>
    <row r="627" spans="4:4" ht="12.75" x14ac:dyDescent="0.2">
      <c r="D627" s="8"/>
    </row>
    <row r="628" spans="4:4" ht="12.75" x14ac:dyDescent="0.2">
      <c r="D628" s="8"/>
    </row>
    <row r="629" spans="4:4" ht="12.75" x14ac:dyDescent="0.2">
      <c r="D629" s="8"/>
    </row>
    <row r="630" spans="4:4" ht="12.75" x14ac:dyDescent="0.2">
      <c r="D630" s="8"/>
    </row>
    <row r="631" spans="4:4" ht="12.75" x14ac:dyDescent="0.2">
      <c r="D631" s="8"/>
    </row>
    <row r="632" spans="4:4" ht="12.75" x14ac:dyDescent="0.2">
      <c r="D632" s="8"/>
    </row>
    <row r="633" spans="4:4" ht="12.75" x14ac:dyDescent="0.2">
      <c r="D633" s="8"/>
    </row>
    <row r="634" spans="4:4" ht="12.75" x14ac:dyDescent="0.2">
      <c r="D634" s="8"/>
    </row>
    <row r="635" spans="4:4" ht="12.75" x14ac:dyDescent="0.2">
      <c r="D635" s="8"/>
    </row>
    <row r="636" spans="4:4" ht="12.75" x14ac:dyDescent="0.2">
      <c r="D636" s="8"/>
    </row>
    <row r="637" spans="4:4" ht="12.75" x14ac:dyDescent="0.2">
      <c r="D637" s="8"/>
    </row>
    <row r="638" spans="4:4" ht="12.75" x14ac:dyDescent="0.2">
      <c r="D638" s="8"/>
    </row>
    <row r="639" spans="4:4" ht="12.75" x14ac:dyDescent="0.2">
      <c r="D639" s="8"/>
    </row>
    <row r="640" spans="4:4" ht="12.75" x14ac:dyDescent="0.2">
      <c r="D640" s="8"/>
    </row>
    <row r="641" spans="4:4" ht="12.75" x14ac:dyDescent="0.2">
      <c r="D641" s="8"/>
    </row>
    <row r="642" spans="4:4" ht="12.75" x14ac:dyDescent="0.2">
      <c r="D642" s="8"/>
    </row>
    <row r="643" spans="4:4" ht="12.75" x14ac:dyDescent="0.2">
      <c r="D643" s="8"/>
    </row>
    <row r="644" spans="4:4" ht="12.75" x14ac:dyDescent="0.2">
      <c r="D644" s="8"/>
    </row>
    <row r="645" spans="4:4" ht="12.75" x14ac:dyDescent="0.2">
      <c r="D645" s="8"/>
    </row>
    <row r="646" spans="4:4" ht="12.75" x14ac:dyDescent="0.2">
      <c r="D646" s="8"/>
    </row>
    <row r="647" spans="4:4" ht="12.75" x14ac:dyDescent="0.2">
      <c r="D647" s="8"/>
    </row>
    <row r="648" spans="4:4" ht="12.75" x14ac:dyDescent="0.2">
      <c r="D648" s="8"/>
    </row>
    <row r="649" spans="4:4" ht="12.75" x14ac:dyDescent="0.2">
      <c r="D649" s="8"/>
    </row>
    <row r="650" spans="4:4" ht="12.75" x14ac:dyDescent="0.2">
      <c r="D650" s="8"/>
    </row>
    <row r="651" spans="4:4" ht="12.75" x14ac:dyDescent="0.2">
      <c r="D651" s="8"/>
    </row>
    <row r="652" spans="4:4" ht="12.75" x14ac:dyDescent="0.2">
      <c r="D652" s="8"/>
    </row>
    <row r="653" spans="4:4" ht="12.75" x14ac:dyDescent="0.2">
      <c r="D653" s="8"/>
    </row>
    <row r="654" spans="4:4" ht="12.75" x14ac:dyDescent="0.2">
      <c r="D654" s="8"/>
    </row>
    <row r="655" spans="4:4" ht="12.75" x14ac:dyDescent="0.2">
      <c r="D655" s="8"/>
    </row>
    <row r="656" spans="4:4" ht="12.75" x14ac:dyDescent="0.2">
      <c r="D656" s="8"/>
    </row>
    <row r="657" spans="4:4" ht="12.75" x14ac:dyDescent="0.2">
      <c r="D657" s="8"/>
    </row>
    <row r="658" spans="4:4" ht="12.75" x14ac:dyDescent="0.2">
      <c r="D658" s="8"/>
    </row>
    <row r="659" spans="4:4" ht="12.75" x14ac:dyDescent="0.2">
      <c r="D659" s="8"/>
    </row>
    <row r="660" spans="4:4" ht="12.75" x14ac:dyDescent="0.2">
      <c r="D660" s="8"/>
    </row>
    <row r="661" spans="4:4" ht="12.75" x14ac:dyDescent="0.2">
      <c r="D661" s="8"/>
    </row>
    <row r="662" spans="4:4" ht="12.75" x14ac:dyDescent="0.2">
      <c r="D662" s="8"/>
    </row>
    <row r="663" spans="4:4" ht="12.75" x14ac:dyDescent="0.2">
      <c r="D663" s="8"/>
    </row>
    <row r="664" spans="4:4" ht="12.75" x14ac:dyDescent="0.2">
      <c r="D664" s="8"/>
    </row>
    <row r="665" spans="4:4" ht="12.75" x14ac:dyDescent="0.2">
      <c r="D665" s="8"/>
    </row>
    <row r="666" spans="4:4" ht="12.75" x14ac:dyDescent="0.2">
      <c r="D666" s="8"/>
    </row>
    <row r="667" spans="4:4" ht="12.75" x14ac:dyDescent="0.2">
      <c r="D667" s="8"/>
    </row>
    <row r="668" spans="4:4" ht="12.75" x14ac:dyDescent="0.2">
      <c r="D668" s="8"/>
    </row>
    <row r="669" spans="4:4" ht="12.75" x14ac:dyDescent="0.2">
      <c r="D669" s="8"/>
    </row>
    <row r="670" spans="4:4" ht="12.75" x14ac:dyDescent="0.2">
      <c r="D670" s="8"/>
    </row>
    <row r="671" spans="4:4" ht="12.75" x14ac:dyDescent="0.2">
      <c r="D671" s="8"/>
    </row>
    <row r="672" spans="4:4" ht="12.75" x14ac:dyDescent="0.2">
      <c r="D672" s="8"/>
    </row>
    <row r="673" spans="4:4" ht="12.75" x14ac:dyDescent="0.2">
      <c r="D673" s="8"/>
    </row>
    <row r="674" spans="4:4" ht="12.75" x14ac:dyDescent="0.2">
      <c r="D674" s="8"/>
    </row>
    <row r="675" spans="4:4" ht="12.75" x14ac:dyDescent="0.2">
      <c r="D675" s="8"/>
    </row>
    <row r="676" spans="4:4" ht="12.75" x14ac:dyDescent="0.2">
      <c r="D676" s="8"/>
    </row>
    <row r="677" spans="4:4" ht="12.75" x14ac:dyDescent="0.2">
      <c r="D677" s="8"/>
    </row>
    <row r="678" spans="4:4" ht="12.75" x14ac:dyDescent="0.2">
      <c r="D678" s="8"/>
    </row>
    <row r="679" spans="4:4" ht="12.75" x14ac:dyDescent="0.2">
      <c r="D679" s="8"/>
    </row>
    <row r="680" spans="4:4" ht="12.75" x14ac:dyDescent="0.2">
      <c r="D680" s="8"/>
    </row>
    <row r="681" spans="4:4" ht="12.75" x14ac:dyDescent="0.2">
      <c r="D681" s="8"/>
    </row>
    <row r="682" spans="4:4" ht="12.75" x14ac:dyDescent="0.2">
      <c r="D682" s="8"/>
    </row>
    <row r="683" spans="4:4" ht="12.75" x14ac:dyDescent="0.2">
      <c r="D683" s="8"/>
    </row>
    <row r="684" spans="4:4" ht="12.75" x14ac:dyDescent="0.2">
      <c r="D684" s="8"/>
    </row>
    <row r="685" spans="4:4" ht="12.75" x14ac:dyDescent="0.2">
      <c r="D685" s="8"/>
    </row>
    <row r="686" spans="4:4" ht="12.75" x14ac:dyDescent="0.2">
      <c r="D686" s="8"/>
    </row>
    <row r="687" spans="4:4" ht="12.75" x14ac:dyDescent="0.2">
      <c r="D687" s="8"/>
    </row>
    <row r="688" spans="4:4" ht="12.75" x14ac:dyDescent="0.2">
      <c r="D688" s="8"/>
    </row>
    <row r="689" spans="4:4" ht="12.75" x14ac:dyDescent="0.2">
      <c r="D689" s="8"/>
    </row>
    <row r="690" spans="4:4" ht="12.75" x14ac:dyDescent="0.2">
      <c r="D690" s="8"/>
    </row>
    <row r="691" spans="4:4" ht="12.75" x14ac:dyDescent="0.2">
      <c r="D691" s="8"/>
    </row>
    <row r="692" spans="4:4" ht="12.75" x14ac:dyDescent="0.2">
      <c r="D692" s="8"/>
    </row>
    <row r="693" spans="4:4" ht="12.75" x14ac:dyDescent="0.2">
      <c r="D693" s="8"/>
    </row>
    <row r="694" spans="4:4" ht="12.75" x14ac:dyDescent="0.2">
      <c r="D694" s="8"/>
    </row>
    <row r="695" spans="4:4" ht="12.75" x14ac:dyDescent="0.2">
      <c r="D695" s="8"/>
    </row>
    <row r="696" spans="4:4" ht="12.75" x14ac:dyDescent="0.2">
      <c r="D696" s="8"/>
    </row>
    <row r="697" spans="4:4" ht="12.75" x14ac:dyDescent="0.2">
      <c r="D697" s="8"/>
    </row>
    <row r="698" spans="4:4" ht="12.75" x14ac:dyDescent="0.2">
      <c r="D698" s="8"/>
    </row>
    <row r="699" spans="4:4" ht="12.75" x14ac:dyDescent="0.2">
      <c r="D699" s="8"/>
    </row>
    <row r="700" spans="4:4" ht="12.75" x14ac:dyDescent="0.2">
      <c r="D700" s="8"/>
    </row>
    <row r="701" spans="4:4" ht="12.75" x14ac:dyDescent="0.2">
      <c r="D701" s="8"/>
    </row>
    <row r="702" spans="4:4" ht="12.75" x14ac:dyDescent="0.2">
      <c r="D702" s="8"/>
    </row>
    <row r="703" spans="4:4" ht="12.75" x14ac:dyDescent="0.2">
      <c r="D703" s="8"/>
    </row>
    <row r="704" spans="4:4" ht="12.75" x14ac:dyDescent="0.2">
      <c r="D704" s="8"/>
    </row>
    <row r="705" spans="4:4" ht="12.75" x14ac:dyDescent="0.2">
      <c r="D705" s="8"/>
    </row>
    <row r="706" spans="4:4" ht="12.75" x14ac:dyDescent="0.2">
      <c r="D706" s="8"/>
    </row>
    <row r="707" spans="4:4" ht="12.75" x14ac:dyDescent="0.2">
      <c r="D707" s="8"/>
    </row>
    <row r="708" spans="4:4" ht="12.75" x14ac:dyDescent="0.2">
      <c r="D708" s="8"/>
    </row>
    <row r="709" spans="4:4" ht="12.75" x14ac:dyDescent="0.2">
      <c r="D709" s="8"/>
    </row>
    <row r="710" spans="4:4" ht="12.75" x14ac:dyDescent="0.2">
      <c r="D710" s="8"/>
    </row>
    <row r="711" spans="4:4" ht="12.75" x14ac:dyDescent="0.2">
      <c r="D711" s="8"/>
    </row>
    <row r="712" spans="4:4" ht="12.75" x14ac:dyDescent="0.2">
      <c r="D712" s="8"/>
    </row>
    <row r="713" spans="4:4" ht="12.75" x14ac:dyDescent="0.2">
      <c r="D713" s="8"/>
    </row>
    <row r="714" spans="4:4" ht="12.75" x14ac:dyDescent="0.2">
      <c r="D714" s="8"/>
    </row>
    <row r="715" spans="4:4" ht="12.75" x14ac:dyDescent="0.2">
      <c r="D715" s="8"/>
    </row>
    <row r="716" spans="4:4" ht="12.75" x14ac:dyDescent="0.2">
      <c r="D716" s="8"/>
    </row>
    <row r="717" spans="4:4" ht="12.75" x14ac:dyDescent="0.2">
      <c r="D717" s="8"/>
    </row>
    <row r="718" spans="4:4" ht="12.75" x14ac:dyDescent="0.2">
      <c r="D718" s="8"/>
    </row>
    <row r="719" spans="4:4" ht="12.75" x14ac:dyDescent="0.2">
      <c r="D719" s="8"/>
    </row>
    <row r="720" spans="4:4" ht="12.75" x14ac:dyDescent="0.2">
      <c r="D720" s="8"/>
    </row>
    <row r="721" spans="4:4" ht="12.75" x14ac:dyDescent="0.2">
      <c r="D721" s="8"/>
    </row>
    <row r="722" spans="4:4" ht="12.75" x14ac:dyDescent="0.2">
      <c r="D722" s="8"/>
    </row>
    <row r="723" spans="4:4" ht="12.75" x14ac:dyDescent="0.2">
      <c r="D723" s="8"/>
    </row>
    <row r="724" spans="4:4" ht="12.75" x14ac:dyDescent="0.2">
      <c r="D724" s="8"/>
    </row>
    <row r="725" spans="4:4" ht="12.75" x14ac:dyDescent="0.2">
      <c r="D725" s="8"/>
    </row>
    <row r="726" spans="4:4" ht="12.75" x14ac:dyDescent="0.2">
      <c r="D726" s="8"/>
    </row>
    <row r="727" spans="4:4" ht="12.75" x14ac:dyDescent="0.2">
      <c r="D727" s="8"/>
    </row>
    <row r="728" spans="4:4" ht="12.75" x14ac:dyDescent="0.2">
      <c r="D728" s="8"/>
    </row>
    <row r="729" spans="4:4" ht="12.75" x14ac:dyDescent="0.2">
      <c r="D729" s="8"/>
    </row>
    <row r="730" spans="4:4" ht="12.75" x14ac:dyDescent="0.2">
      <c r="D730" s="8"/>
    </row>
    <row r="731" spans="4:4" ht="12.75" x14ac:dyDescent="0.2">
      <c r="D731" s="8"/>
    </row>
    <row r="732" spans="4:4" ht="12.75" x14ac:dyDescent="0.2">
      <c r="D732" s="8"/>
    </row>
    <row r="733" spans="4:4" ht="12.75" x14ac:dyDescent="0.2">
      <c r="D733" s="8"/>
    </row>
    <row r="734" spans="4:4" ht="12.75" x14ac:dyDescent="0.2">
      <c r="D734" s="8"/>
    </row>
    <row r="735" spans="4:4" ht="12.75" x14ac:dyDescent="0.2">
      <c r="D735" s="8"/>
    </row>
    <row r="736" spans="4:4" ht="12.75" x14ac:dyDescent="0.2">
      <c r="D736" s="8"/>
    </row>
    <row r="737" spans="4:4" ht="12.75" x14ac:dyDescent="0.2">
      <c r="D737" s="8"/>
    </row>
    <row r="738" spans="4:4" ht="12.75" x14ac:dyDescent="0.2">
      <c r="D738" s="8"/>
    </row>
    <row r="739" spans="4:4" ht="12.75" x14ac:dyDescent="0.2">
      <c r="D739" s="8"/>
    </row>
    <row r="740" spans="4:4" ht="12.75" x14ac:dyDescent="0.2">
      <c r="D740" s="8"/>
    </row>
    <row r="741" spans="4:4" ht="12.75" x14ac:dyDescent="0.2">
      <c r="D741" s="8"/>
    </row>
    <row r="742" spans="4:4" ht="12.75" x14ac:dyDescent="0.2">
      <c r="D742" s="8"/>
    </row>
    <row r="743" spans="4:4" ht="12.75" x14ac:dyDescent="0.2">
      <c r="D743" s="8"/>
    </row>
    <row r="744" spans="4:4" ht="12.75" x14ac:dyDescent="0.2">
      <c r="D744" s="8"/>
    </row>
    <row r="745" spans="4:4" ht="12.75" x14ac:dyDescent="0.2">
      <c r="D745" s="8"/>
    </row>
    <row r="746" spans="4:4" ht="12.75" x14ac:dyDescent="0.2">
      <c r="D746" s="8"/>
    </row>
    <row r="747" spans="4:4" ht="12.75" x14ac:dyDescent="0.2">
      <c r="D747" s="8"/>
    </row>
    <row r="748" spans="4:4" ht="12.75" x14ac:dyDescent="0.2">
      <c r="D748" s="8"/>
    </row>
    <row r="749" spans="4:4" ht="12.75" x14ac:dyDescent="0.2">
      <c r="D749" s="8"/>
    </row>
    <row r="750" spans="4:4" ht="12.75" x14ac:dyDescent="0.2">
      <c r="D750" s="8"/>
    </row>
    <row r="751" spans="4:4" ht="12.75" x14ac:dyDescent="0.2">
      <c r="D751" s="8"/>
    </row>
    <row r="752" spans="4:4" ht="12.75" x14ac:dyDescent="0.2">
      <c r="D752" s="8"/>
    </row>
    <row r="753" spans="4:4" ht="12.75" x14ac:dyDescent="0.2">
      <c r="D753" s="8"/>
    </row>
    <row r="754" spans="4:4" ht="12.75" x14ac:dyDescent="0.2">
      <c r="D754" s="8"/>
    </row>
    <row r="755" spans="4:4" ht="12.75" x14ac:dyDescent="0.2">
      <c r="D755" s="8"/>
    </row>
    <row r="756" spans="4:4" ht="12.75" x14ac:dyDescent="0.2">
      <c r="D756" s="8"/>
    </row>
    <row r="757" spans="4:4" ht="12.75" x14ac:dyDescent="0.2">
      <c r="D757" s="8"/>
    </row>
    <row r="758" spans="4:4" ht="12.75" x14ac:dyDescent="0.2">
      <c r="D758" s="8"/>
    </row>
    <row r="759" spans="4:4" ht="12.75" x14ac:dyDescent="0.2">
      <c r="D759" s="8"/>
    </row>
    <row r="760" spans="4:4" ht="12.75" x14ac:dyDescent="0.2">
      <c r="D760" s="8"/>
    </row>
    <row r="761" spans="4:4" ht="12.75" x14ac:dyDescent="0.2">
      <c r="D761" s="8"/>
    </row>
    <row r="762" spans="4:4" ht="12.75" x14ac:dyDescent="0.2">
      <c r="D762" s="8"/>
    </row>
    <row r="763" spans="4:4" ht="12.75" x14ac:dyDescent="0.2">
      <c r="D763" s="8"/>
    </row>
    <row r="764" spans="4:4" ht="12.75" x14ac:dyDescent="0.2">
      <c r="D764" s="8"/>
    </row>
    <row r="765" spans="4:4" ht="12.75" x14ac:dyDescent="0.2">
      <c r="D765" s="8"/>
    </row>
    <row r="766" spans="4:4" ht="12.75" x14ac:dyDescent="0.2">
      <c r="D766" s="8"/>
    </row>
    <row r="767" spans="4:4" ht="12.75" x14ac:dyDescent="0.2">
      <c r="D767" s="8"/>
    </row>
    <row r="768" spans="4:4" ht="12.75" x14ac:dyDescent="0.2">
      <c r="D768" s="8"/>
    </row>
    <row r="769" spans="4:4" ht="12.75" x14ac:dyDescent="0.2">
      <c r="D769" s="8"/>
    </row>
    <row r="770" spans="4:4" ht="12.75" x14ac:dyDescent="0.2">
      <c r="D770" s="8"/>
    </row>
    <row r="771" spans="4:4" ht="12.75" x14ac:dyDescent="0.2">
      <c r="D771" s="8"/>
    </row>
    <row r="772" spans="4:4" ht="12.75" x14ac:dyDescent="0.2">
      <c r="D772" s="8"/>
    </row>
    <row r="773" spans="4:4" ht="12.75" x14ac:dyDescent="0.2">
      <c r="D773" s="8"/>
    </row>
    <row r="774" spans="4:4" ht="12.75" x14ac:dyDescent="0.2">
      <c r="D774" s="8"/>
    </row>
    <row r="775" spans="4:4" ht="12.75" x14ac:dyDescent="0.2">
      <c r="D775" s="8"/>
    </row>
    <row r="776" spans="4:4" ht="12.75" x14ac:dyDescent="0.2">
      <c r="D776" s="8"/>
    </row>
    <row r="777" spans="4:4" ht="12.75" x14ac:dyDescent="0.2">
      <c r="D777" s="8"/>
    </row>
    <row r="778" spans="4:4" ht="12.75" x14ac:dyDescent="0.2">
      <c r="D778" s="8"/>
    </row>
    <row r="779" spans="4:4" ht="12.75" x14ac:dyDescent="0.2">
      <c r="D779" s="8"/>
    </row>
    <row r="780" spans="4:4" ht="12.75" x14ac:dyDescent="0.2">
      <c r="D780" s="8"/>
    </row>
    <row r="781" spans="4:4" ht="12.75" x14ac:dyDescent="0.2">
      <c r="D781" s="8"/>
    </row>
    <row r="782" spans="4:4" ht="12.75" x14ac:dyDescent="0.2">
      <c r="D782" s="8"/>
    </row>
    <row r="783" spans="4:4" ht="12.75" x14ac:dyDescent="0.2">
      <c r="D783" s="8"/>
    </row>
    <row r="784" spans="4:4" ht="12.75" x14ac:dyDescent="0.2">
      <c r="D784" s="8"/>
    </row>
    <row r="785" spans="4:4" ht="12.75" x14ac:dyDescent="0.2">
      <c r="D785" s="8"/>
    </row>
    <row r="786" spans="4:4" ht="12.75" x14ac:dyDescent="0.2">
      <c r="D786" s="8"/>
    </row>
    <row r="787" spans="4:4" ht="12.75" x14ac:dyDescent="0.2">
      <c r="D787" s="8"/>
    </row>
    <row r="788" spans="4:4" ht="12.75" x14ac:dyDescent="0.2">
      <c r="D788" s="8"/>
    </row>
    <row r="789" spans="4:4" ht="12.75" x14ac:dyDescent="0.2">
      <c r="D789" s="8"/>
    </row>
    <row r="790" spans="4:4" ht="12.75" x14ac:dyDescent="0.2">
      <c r="D790" s="8"/>
    </row>
    <row r="791" spans="4:4" ht="12.75" x14ac:dyDescent="0.2">
      <c r="D791" s="8"/>
    </row>
    <row r="792" spans="4:4" ht="12.75" x14ac:dyDescent="0.2">
      <c r="D792" s="8"/>
    </row>
    <row r="793" spans="4:4" ht="12.75" x14ac:dyDescent="0.2">
      <c r="D793" s="8"/>
    </row>
    <row r="794" spans="4:4" ht="12.75" x14ac:dyDescent="0.2">
      <c r="D794" s="8"/>
    </row>
    <row r="795" spans="4:4" ht="12.75" x14ac:dyDescent="0.2">
      <c r="D795" s="8"/>
    </row>
    <row r="796" spans="4:4" ht="12.75" x14ac:dyDescent="0.2">
      <c r="D796" s="8"/>
    </row>
    <row r="797" spans="4:4" ht="12.75" x14ac:dyDescent="0.2">
      <c r="D797" s="8"/>
    </row>
    <row r="798" spans="4:4" ht="12.75" x14ac:dyDescent="0.2">
      <c r="D798" s="8"/>
    </row>
    <row r="799" spans="4:4" ht="12.75" x14ac:dyDescent="0.2">
      <c r="D799" s="8"/>
    </row>
    <row r="800" spans="4:4" ht="12.75" x14ac:dyDescent="0.2">
      <c r="D800" s="8"/>
    </row>
    <row r="801" spans="4:4" ht="12.75" x14ac:dyDescent="0.2">
      <c r="D801" s="8"/>
    </row>
    <row r="802" spans="4:4" ht="12.75" x14ac:dyDescent="0.2">
      <c r="D802" s="8"/>
    </row>
    <row r="803" spans="4:4" ht="12.75" x14ac:dyDescent="0.2">
      <c r="D803" s="8"/>
    </row>
    <row r="804" spans="4:4" ht="12.75" x14ac:dyDescent="0.2">
      <c r="D804" s="8"/>
    </row>
    <row r="805" spans="4:4" ht="12.75" x14ac:dyDescent="0.2">
      <c r="D805" s="8"/>
    </row>
    <row r="806" spans="4:4" ht="12.75" x14ac:dyDescent="0.2">
      <c r="D806" s="8"/>
    </row>
    <row r="807" spans="4:4" ht="12.75" x14ac:dyDescent="0.2">
      <c r="D807" s="8"/>
    </row>
    <row r="808" spans="4:4" ht="12.75" x14ac:dyDescent="0.2">
      <c r="D808" s="8"/>
    </row>
    <row r="809" spans="4:4" ht="12.75" x14ac:dyDescent="0.2">
      <c r="D809" s="8"/>
    </row>
    <row r="810" spans="4:4" ht="12.75" x14ac:dyDescent="0.2">
      <c r="D810" s="8"/>
    </row>
    <row r="811" spans="4:4" ht="12.75" x14ac:dyDescent="0.2">
      <c r="D811" s="8"/>
    </row>
    <row r="812" spans="4:4" ht="12.75" x14ac:dyDescent="0.2">
      <c r="D812" s="8"/>
    </row>
    <row r="813" spans="4:4" ht="12.75" x14ac:dyDescent="0.2">
      <c r="D813" s="8"/>
    </row>
    <row r="814" spans="4:4" ht="12.75" x14ac:dyDescent="0.2">
      <c r="D814" s="8"/>
    </row>
    <row r="815" spans="4:4" ht="12.75" x14ac:dyDescent="0.2">
      <c r="D815" s="8"/>
    </row>
    <row r="816" spans="4:4" ht="12.75" x14ac:dyDescent="0.2">
      <c r="D816" s="8"/>
    </row>
    <row r="817" spans="4:4" ht="12.75" x14ac:dyDescent="0.2">
      <c r="D817" s="8"/>
    </row>
    <row r="818" spans="4:4" ht="12.75" x14ac:dyDescent="0.2">
      <c r="D818" s="8"/>
    </row>
    <row r="819" spans="4:4" ht="12.75" x14ac:dyDescent="0.2">
      <c r="D819" s="8"/>
    </row>
    <row r="820" spans="4:4" ht="12.75" x14ac:dyDescent="0.2">
      <c r="D820" s="8"/>
    </row>
    <row r="821" spans="4:4" ht="12.75" x14ac:dyDescent="0.2">
      <c r="D821" s="8"/>
    </row>
    <row r="822" spans="4:4" ht="12.75" x14ac:dyDescent="0.2">
      <c r="D822" s="8"/>
    </row>
    <row r="823" spans="4:4" ht="12.75" x14ac:dyDescent="0.2">
      <c r="D823" s="8"/>
    </row>
    <row r="824" spans="4:4" ht="12.75" x14ac:dyDescent="0.2">
      <c r="D824" s="8"/>
    </row>
    <row r="825" spans="4:4" ht="12.75" x14ac:dyDescent="0.2">
      <c r="D825" s="8"/>
    </row>
    <row r="826" spans="4:4" ht="12.75" x14ac:dyDescent="0.2">
      <c r="D826" s="8"/>
    </row>
    <row r="827" spans="4:4" ht="12.75" x14ac:dyDescent="0.2">
      <c r="D827" s="8"/>
    </row>
    <row r="828" spans="4:4" ht="12.75" x14ac:dyDescent="0.2">
      <c r="D828" s="8"/>
    </row>
    <row r="829" spans="4:4" ht="12.75" x14ac:dyDescent="0.2">
      <c r="D829" s="8"/>
    </row>
    <row r="830" spans="4:4" ht="12.75" x14ac:dyDescent="0.2">
      <c r="D830" s="8"/>
    </row>
    <row r="831" spans="4:4" ht="12.75" x14ac:dyDescent="0.2">
      <c r="D831" s="8"/>
    </row>
    <row r="832" spans="4:4" ht="12.75" x14ac:dyDescent="0.2">
      <c r="D832" s="8"/>
    </row>
    <row r="833" spans="4:4" ht="12.75" x14ac:dyDescent="0.2">
      <c r="D833" s="8"/>
    </row>
    <row r="834" spans="4:4" ht="12.75" x14ac:dyDescent="0.2">
      <c r="D834" s="8"/>
    </row>
    <row r="835" spans="4:4" ht="12.75" x14ac:dyDescent="0.2">
      <c r="D835" s="8"/>
    </row>
    <row r="836" spans="4:4" ht="12.75" x14ac:dyDescent="0.2">
      <c r="D836" s="8"/>
    </row>
    <row r="837" spans="4:4" ht="12.75" x14ac:dyDescent="0.2">
      <c r="D837" s="8"/>
    </row>
    <row r="838" spans="4:4" ht="12.75" x14ac:dyDescent="0.2">
      <c r="D838" s="8"/>
    </row>
    <row r="839" spans="4:4" ht="12.75" x14ac:dyDescent="0.2">
      <c r="D839" s="8"/>
    </row>
    <row r="840" spans="4:4" ht="12.75" x14ac:dyDescent="0.2">
      <c r="D840" s="8"/>
    </row>
    <row r="841" spans="4:4" ht="12.75" x14ac:dyDescent="0.2">
      <c r="D841" s="8"/>
    </row>
    <row r="842" spans="4:4" ht="12.75" x14ac:dyDescent="0.2">
      <c r="D842" s="8"/>
    </row>
    <row r="843" spans="4:4" ht="12.75" x14ac:dyDescent="0.2">
      <c r="D843" s="8"/>
    </row>
    <row r="844" spans="4:4" ht="12.75" x14ac:dyDescent="0.2">
      <c r="D844" s="8"/>
    </row>
    <row r="845" spans="4:4" ht="12.75" x14ac:dyDescent="0.2">
      <c r="D845" s="8"/>
    </row>
    <row r="846" spans="4:4" ht="12.75" x14ac:dyDescent="0.2">
      <c r="D846" s="8"/>
    </row>
    <row r="847" spans="4:4" ht="12.75" x14ac:dyDescent="0.2">
      <c r="D847" s="8"/>
    </row>
    <row r="848" spans="4:4" ht="12.75" x14ac:dyDescent="0.2">
      <c r="D848" s="8"/>
    </row>
    <row r="849" spans="4:4" ht="12.75" x14ac:dyDescent="0.2">
      <c r="D849" s="8"/>
    </row>
    <row r="850" spans="4:4" ht="12.75" x14ac:dyDescent="0.2">
      <c r="D850" s="8"/>
    </row>
    <row r="851" spans="4:4" ht="12.75" x14ac:dyDescent="0.2">
      <c r="D851" s="8"/>
    </row>
    <row r="852" spans="4:4" ht="12.75" x14ac:dyDescent="0.2">
      <c r="D852" s="8"/>
    </row>
    <row r="853" spans="4:4" ht="12.75" x14ac:dyDescent="0.2">
      <c r="D853" s="8"/>
    </row>
    <row r="854" spans="4:4" ht="12.75" x14ac:dyDescent="0.2">
      <c r="D854" s="8"/>
    </row>
    <row r="855" spans="4:4" ht="12.75" x14ac:dyDescent="0.2">
      <c r="D855" s="8"/>
    </row>
    <row r="856" spans="4:4" ht="12.75" x14ac:dyDescent="0.2">
      <c r="D856" s="8"/>
    </row>
    <row r="857" spans="4:4" ht="12.75" x14ac:dyDescent="0.2">
      <c r="D857" s="8"/>
    </row>
    <row r="858" spans="4:4" ht="12.75" x14ac:dyDescent="0.2">
      <c r="D858" s="8"/>
    </row>
    <row r="859" spans="4:4" ht="12.75" x14ac:dyDescent="0.2">
      <c r="D859" s="8"/>
    </row>
    <row r="860" spans="4:4" ht="12.75" x14ac:dyDescent="0.2">
      <c r="D860" s="8"/>
    </row>
    <row r="861" spans="4:4" ht="12.75" x14ac:dyDescent="0.2">
      <c r="D861" s="8"/>
    </row>
    <row r="862" spans="4:4" ht="12.75" x14ac:dyDescent="0.2">
      <c r="D862" s="8"/>
    </row>
    <row r="863" spans="4:4" ht="12.75" x14ac:dyDescent="0.2">
      <c r="D863" s="8"/>
    </row>
    <row r="864" spans="4:4" ht="12.75" x14ac:dyDescent="0.2">
      <c r="D864" s="8"/>
    </row>
    <row r="865" spans="4:4" ht="12.75" x14ac:dyDescent="0.2">
      <c r="D865" s="8"/>
    </row>
    <row r="866" spans="4:4" ht="12.75" x14ac:dyDescent="0.2">
      <c r="D866" s="8"/>
    </row>
    <row r="867" spans="4:4" ht="12.75" x14ac:dyDescent="0.2">
      <c r="D867" s="8"/>
    </row>
    <row r="868" spans="4:4" ht="12.75" x14ac:dyDescent="0.2">
      <c r="D868" s="8"/>
    </row>
    <row r="869" spans="4:4" ht="12.75" x14ac:dyDescent="0.2">
      <c r="D869" s="8"/>
    </row>
    <row r="870" spans="4:4" ht="12.75" x14ac:dyDescent="0.2">
      <c r="D870" s="8"/>
    </row>
    <row r="871" spans="4:4" ht="12.75" x14ac:dyDescent="0.2">
      <c r="D871" s="8"/>
    </row>
    <row r="872" spans="4:4" ht="12.75" x14ac:dyDescent="0.2">
      <c r="D872" s="8"/>
    </row>
    <row r="873" spans="4:4" ht="12.75" x14ac:dyDescent="0.2">
      <c r="D873" s="8"/>
    </row>
    <row r="874" spans="4:4" ht="12.75" x14ac:dyDescent="0.2">
      <c r="D874" s="8"/>
    </row>
    <row r="875" spans="4:4" ht="12.75" x14ac:dyDescent="0.2">
      <c r="D875" s="8"/>
    </row>
    <row r="876" spans="4:4" ht="12.75" x14ac:dyDescent="0.2">
      <c r="D876" s="8"/>
    </row>
    <row r="877" spans="4:4" ht="12.75" x14ac:dyDescent="0.2">
      <c r="D877" s="8"/>
    </row>
    <row r="878" spans="4:4" ht="12.75" x14ac:dyDescent="0.2">
      <c r="D878" s="8"/>
    </row>
    <row r="879" spans="4:4" ht="12.75" x14ac:dyDescent="0.2">
      <c r="D879" s="8"/>
    </row>
    <row r="880" spans="4:4" ht="12.75" x14ac:dyDescent="0.2">
      <c r="D880" s="8"/>
    </row>
    <row r="881" spans="4:4" ht="12.75" x14ac:dyDescent="0.2">
      <c r="D881" s="8"/>
    </row>
    <row r="882" spans="4:4" ht="12.75" x14ac:dyDescent="0.2">
      <c r="D882" s="8"/>
    </row>
    <row r="883" spans="4:4" ht="12.75" x14ac:dyDescent="0.2">
      <c r="D883" s="8"/>
    </row>
    <row r="884" spans="4:4" ht="12.75" x14ac:dyDescent="0.2">
      <c r="D884" s="8"/>
    </row>
    <row r="885" spans="4:4" ht="12.75" x14ac:dyDescent="0.2">
      <c r="D885" s="8"/>
    </row>
    <row r="886" spans="4:4" ht="12.75" x14ac:dyDescent="0.2">
      <c r="D886" s="8"/>
    </row>
    <row r="887" spans="4:4" ht="12.75" x14ac:dyDescent="0.2">
      <c r="D887" s="8"/>
    </row>
    <row r="888" spans="4:4" ht="12.75" x14ac:dyDescent="0.2">
      <c r="D888" s="8"/>
    </row>
    <row r="889" spans="4:4" ht="12.75" x14ac:dyDescent="0.2">
      <c r="D889" s="8"/>
    </row>
    <row r="890" spans="4:4" ht="12.75" x14ac:dyDescent="0.2">
      <c r="D890" s="8"/>
    </row>
    <row r="891" spans="4:4" ht="12.75" x14ac:dyDescent="0.2">
      <c r="D891" s="8"/>
    </row>
    <row r="892" spans="4:4" ht="12.75" x14ac:dyDescent="0.2">
      <c r="D892" s="8"/>
    </row>
    <row r="893" spans="4:4" ht="12.75" x14ac:dyDescent="0.2">
      <c r="D893" s="8"/>
    </row>
    <row r="894" spans="4:4" ht="12.75" x14ac:dyDescent="0.2">
      <c r="D894" s="8"/>
    </row>
    <row r="895" spans="4:4" ht="12.75" x14ac:dyDescent="0.2">
      <c r="D895" s="8"/>
    </row>
    <row r="896" spans="4:4" ht="12.75" x14ac:dyDescent="0.2">
      <c r="D896" s="8"/>
    </row>
    <row r="897" spans="4:4" ht="12.75" x14ac:dyDescent="0.2">
      <c r="D897" s="8"/>
    </row>
    <row r="898" spans="4:4" ht="12.75" x14ac:dyDescent="0.2">
      <c r="D898" s="8"/>
    </row>
    <row r="899" spans="4:4" ht="12.75" x14ac:dyDescent="0.2">
      <c r="D899" s="8"/>
    </row>
    <row r="900" spans="4:4" ht="12.75" x14ac:dyDescent="0.2">
      <c r="D900" s="8"/>
    </row>
    <row r="901" spans="4:4" ht="12.75" x14ac:dyDescent="0.2">
      <c r="D901" s="8"/>
    </row>
    <row r="902" spans="4:4" ht="12.75" x14ac:dyDescent="0.2">
      <c r="D902" s="8"/>
    </row>
    <row r="903" spans="4:4" ht="12.75" x14ac:dyDescent="0.2">
      <c r="D903" s="8"/>
    </row>
    <row r="904" spans="4:4" ht="12.75" x14ac:dyDescent="0.2">
      <c r="D904" s="8"/>
    </row>
    <row r="905" spans="4:4" ht="12.75" x14ac:dyDescent="0.2">
      <c r="D905" s="8"/>
    </row>
    <row r="906" spans="4:4" ht="12.75" x14ac:dyDescent="0.2">
      <c r="D906" s="8"/>
    </row>
    <row r="907" spans="4:4" ht="12.75" x14ac:dyDescent="0.2">
      <c r="D907" s="8"/>
    </row>
    <row r="908" spans="4:4" ht="12.75" x14ac:dyDescent="0.2">
      <c r="D908" s="8"/>
    </row>
    <row r="909" spans="4:4" ht="12.75" x14ac:dyDescent="0.2">
      <c r="D909" s="8"/>
    </row>
    <row r="910" spans="4:4" ht="12.75" x14ac:dyDescent="0.2">
      <c r="D910" s="8"/>
    </row>
    <row r="911" spans="4:4" ht="12.75" x14ac:dyDescent="0.2">
      <c r="D911" s="8"/>
    </row>
    <row r="912" spans="4:4" ht="12.75" x14ac:dyDescent="0.2">
      <c r="D912" s="8"/>
    </row>
    <row r="913" spans="4:4" ht="12.75" x14ac:dyDescent="0.2">
      <c r="D913" s="8"/>
    </row>
    <row r="914" spans="4:4" ht="12.75" x14ac:dyDescent="0.2">
      <c r="D914" s="8"/>
    </row>
    <row r="915" spans="4:4" ht="12.75" x14ac:dyDescent="0.2">
      <c r="D915" s="8"/>
    </row>
    <row r="916" spans="4:4" ht="12.75" x14ac:dyDescent="0.2">
      <c r="D916" s="8"/>
    </row>
    <row r="917" spans="4:4" ht="12.75" x14ac:dyDescent="0.2">
      <c r="D917" s="8"/>
    </row>
    <row r="918" spans="4:4" ht="12.75" x14ac:dyDescent="0.2">
      <c r="D918" s="8"/>
    </row>
    <row r="919" spans="4:4" ht="12.75" x14ac:dyDescent="0.2">
      <c r="D919" s="8"/>
    </row>
    <row r="920" spans="4:4" ht="12.75" x14ac:dyDescent="0.2">
      <c r="D920" s="8"/>
    </row>
    <row r="921" spans="4:4" ht="12.75" x14ac:dyDescent="0.2">
      <c r="D921" s="8"/>
    </row>
    <row r="922" spans="4:4" ht="12.75" x14ac:dyDescent="0.2">
      <c r="D922" s="8"/>
    </row>
    <row r="923" spans="4:4" ht="12.75" x14ac:dyDescent="0.2">
      <c r="D923" s="8"/>
    </row>
    <row r="924" spans="4:4" ht="12.75" x14ac:dyDescent="0.2">
      <c r="D924" s="8"/>
    </row>
    <row r="925" spans="4:4" ht="12.75" x14ac:dyDescent="0.2">
      <c r="D925" s="8"/>
    </row>
    <row r="926" spans="4:4" ht="12.75" x14ac:dyDescent="0.2">
      <c r="D926" s="8"/>
    </row>
    <row r="927" spans="4:4" ht="12.75" x14ac:dyDescent="0.2">
      <c r="D927" s="8"/>
    </row>
    <row r="928" spans="4:4" ht="12.75" x14ac:dyDescent="0.2">
      <c r="D928" s="8"/>
    </row>
    <row r="929" spans="4:4" ht="12.75" x14ac:dyDescent="0.2">
      <c r="D929" s="8"/>
    </row>
    <row r="930" spans="4:4" ht="12.75" x14ac:dyDescent="0.2">
      <c r="D930" s="8"/>
    </row>
    <row r="931" spans="4:4" ht="12.75" x14ac:dyDescent="0.2">
      <c r="D931" s="8"/>
    </row>
    <row r="932" spans="4:4" ht="12.75" x14ac:dyDescent="0.2">
      <c r="D932" s="8"/>
    </row>
    <row r="933" spans="4:4" ht="12.75" x14ac:dyDescent="0.2">
      <c r="D933" s="8"/>
    </row>
    <row r="934" spans="4:4" ht="12.75" x14ac:dyDescent="0.2">
      <c r="D934" s="8"/>
    </row>
    <row r="935" spans="4:4" ht="12.75" x14ac:dyDescent="0.2">
      <c r="D935" s="8"/>
    </row>
    <row r="936" spans="4:4" ht="12.75" x14ac:dyDescent="0.2">
      <c r="D936" s="8"/>
    </row>
    <row r="937" spans="4:4" ht="12.75" x14ac:dyDescent="0.2">
      <c r="D937" s="8"/>
    </row>
    <row r="938" spans="4:4" ht="12.75" x14ac:dyDescent="0.2">
      <c r="D938" s="8"/>
    </row>
    <row r="939" spans="4:4" ht="12.75" x14ac:dyDescent="0.2">
      <c r="D939" s="8"/>
    </row>
    <row r="940" spans="4:4" ht="12.75" x14ac:dyDescent="0.2">
      <c r="D940" s="8"/>
    </row>
    <row r="941" spans="4:4" ht="12.75" x14ac:dyDescent="0.2">
      <c r="D941" s="8"/>
    </row>
    <row r="942" spans="4:4" ht="12.75" x14ac:dyDescent="0.2">
      <c r="D942" s="8"/>
    </row>
    <row r="943" spans="4:4" ht="12.75" x14ac:dyDescent="0.2">
      <c r="D943" s="8"/>
    </row>
    <row r="944" spans="4:4" ht="12.75" x14ac:dyDescent="0.2">
      <c r="D944" s="8"/>
    </row>
    <row r="945" spans="4:4" ht="12.75" x14ac:dyDescent="0.2">
      <c r="D945" s="8"/>
    </row>
    <row r="946" spans="4:4" ht="12.75" x14ac:dyDescent="0.2">
      <c r="D946" s="8"/>
    </row>
    <row r="947" spans="4:4" ht="12.75" x14ac:dyDescent="0.2">
      <c r="D947" s="8"/>
    </row>
    <row r="948" spans="4:4" ht="12.75" x14ac:dyDescent="0.2">
      <c r="D948" s="8"/>
    </row>
    <row r="949" spans="4:4" ht="12.75" x14ac:dyDescent="0.2">
      <c r="D949" s="8"/>
    </row>
    <row r="950" spans="4:4" ht="12.75" x14ac:dyDescent="0.2">
      <c r="D950" s="8"/>
    </row>
    <row r="951" spans="4:4" ht="12.75" x14ac:dyDescent="0.2">
      <c r="D951" s="8"/>
    </row>
    <row r="952" spans="4:4" ht="12.75" x14ac:dyDescent="0.2">
      <c r="D952" s="8"/>
    </row>
    <row r="953" spans="4:4" ht="12.75" x14ac:dyDescent="0.2">
      <c r="D953" s="8"/>
    </row>
    <row r="954" spans="4:4" ht="12.75" x14ac:dyDescent="0.2">
      <c r="D954" s="8"/>
    </row>
    <row r="955" spans="4:4" ht="12.75" x14ac:dyDescent="0.2">
      <c r="D955" s="8"/>
    </row>
    <row r="956" spans="4:4" ht="12.75" x14ac:dyDescent="0.2">
      <c r="D956" s="8"/>
    </row>
    <row r="957" spans="4:4" ht="12.75" x14ac:dyDescent="0.2">
      <c r="D957" s="8"/>
    </row>
    <row r="958" spans="4:4" ht="12.75" x14ac:dyDescent="0.2">
      <c r="D958" s="8"/>
    </row>
    <row r="959" spans="4:4" ht="12.75" x14ac:dyDescent="0.2">
      <c r="D959" s="8"/>
    </row>
    <row r="960" spans="4:4" ht="12.75" x14ac:dyDescent="0.2">
      <c r="D960" s="8"/>
    </row>
    <row r="961" spans="4:4" ht="12.75" x14ac:dyDescent="0.2">
      <c r="D961" s="8"/>
    </row>
    <row r="962" spans="4:4" ht="12.75" x14ac:dyDescent="0.2">
      <c r="D962" s="8"/>
    </row>
    <row r="963" spans="4:4" ht="12.75" x14ac:dyDescent="0.2">
      <c r="D963" s="8"/>
    </row>
    <row r="964" spans="4:4" ht="12.75" x14ac:dyDescent="0.2">
      <c r="D964" s="8"/>
    </row>
    <row r="965" spans="4:4" ht="12.75" x14ac:dyDescent="0.2">
      <c r="D965" s="8"/>
    </row>
    <row r="966" spans="4:4" ht="12.75" x14ac:dyDescent="0.2">
      <c r="D966" s="8"/>
    </row>
    <row r="967" spans="4:4" ht="12.75" x14ac:dyDescent="0.2">
      <c r="D967" s="8"/>
    </row>
    <row r="968" spans="4:4" ht="12.75" x14ac:dyDescent="0.2">
      <c r="D968" s="8"/>
    </row>
    <row r="969" spans="4:4" ht="12.75" x14ac:dyDescent="0.2">
      <c r="D969" s="8"/>
    </row>
    <row r="970" spans="4:4" ht="12.75" x14ac:dyDescent="0.2">
      <c r="D970" s="8"/>
    </row>
    <row r="971" spans="4:4" ht="12.75" x14ac:dyDescent="0.2">
      <c r="D971" s="8"/>
    </row>
    <row r="972" spans="4:4" ht="12.75" x14ac:dyDescent="0.2">
      <c r="D972" s="8"/>
    </row>
    <row r="973" spans="4:4" ht="12.75" x14ac:dyDescent="0.2">
      <c r="D973" s="8"/>
    </row>
    <row r="974" spans="4:4" ht="12.75" x14ac:dyDescent="0.2">
      <c r="D974" s="8"/>
    </row>
    <row r="975" spans="4:4" ht="12.75" x14ac:dyDescent="0.2">
      <c r="D975" s="8"/>
    </row>
    <row r="976" spans="4:4" ht="12.75" x14ac:dyDescent="0.2">
      <c r="D976" s="8"/>
    </row>
    <row r="977" spans="4:4" ht="12.75" x14ac:dyDescent="0.2">
      <c r="D977" s="8"/>
    </row>
    <row r="978" spans="4:4" ht="12.75" x14ac:dyDescent="0.2">
      <c r="D978" s="8"/>
    </row>
    <row r="979" spans="4:4" ht="12.75" x14ac:dyDescent="0.2">
      <c r="D979" s="8"/>
    </row>
    <row r="980" spans="4:4" ht="12.75" x14ac:dyDescent="0.2">
      <c r="D980" s="8"/>
    </row>
    <row r="981" spans="4:4" ht="12.75" x14ac:dyDescent="0.2">
      <c r="D981" s="8"/>
    </row>
    <row r="982" spans="4:4" ht="12.75" x14ac:dyDescent="0.2">
      <c r="D982" s="8"/>
    </row>
    <row r="983" spans="4:4" ht="12.75" x14ac:dyDescent="0.2">
      <c r="D983" s="8"/>
    </row>
    <row r="984" spans="4:4" ht="12.75" x14ac:dyDescent="0.2">
      <c r="D984" s="8"/>
    </row>
    <row r="985" spans="4:4" ht="12.75" x14ac:dyDescent="0.2">
      <c r="D985" s="8"/>
    </row>
    <row r="986" spans="4:4" ht="12.75" x14ac:dyDescent="0.2">
      <c r="D986" s="8"/>
    </row>
    <row r="987" spans="4:4" ht="12.75" x14ac:dyDescent="0.2">
      <c r="D987" s="8"/>
    </row>
    <row r="988" spans="4:4" ht="12.75" x14ac:dyDescent="0.2">
      <c r="D988" s="8"/>
    </row>
    <row r="989" spans="4:4" ht="12.75" x14ac:dyDescent="0.2">
      <c r="D989" s="8"/>
    </row>
    <row r="990" spans="4:4" ht="12.75" x14ac:dyDescent="0.2">
      <c r="D990" s="8"/>
    </row>
    <row r="991" spans="4:4" ht="12.75" x14ac:dyDescent="0.2">
      <c r="D991" s="8"/>
    </row>
    <row r="992" spans="4:4" ht="12.75" x14ac:dyDescent="0.2">
      <c r="D992" s="8"/>
    </row>
    <row r="993" spans="4:4" ht="12.75" x14ac:dyDescent="0.2">
      <c r="D993" s="8"/>
    </row>
    <row r="994" spans="4:4" ht="12.75" x14ac:dyDescent="0.2">
      <c r="D994" s="8"/>
    </row>
    <row r="995" spans="4:4" ht="12.75" x14ac:dyDescent="0.2">
      <c r="D995" s="8"/>
    </row>
    <row r="996" spans="4:4" ht="12.75" x14ac:dyDescent="0.2">
      <c r="D996" s="8"/>
    </row>
    <row r="997" spans="4:4" ht="12.75" x14ac:dyDescent="0.2">
      <c r="D997" s="8"/>
    </row>
    <row r="998" spans="4:4" ht="12.75" x14ac:dyDescent="0.2">
      <c r="D998" s="8"/>
    </row>
    <row r="999" spans="4:4" ht="12.75" x14ac:dyDescent="0.2">
      <c r="D999" s="8"/>
    </row>
    <row r="1000" spans="4:4" ht="12.75" x14ac:dyDescent="0.2">
      <c r="D1000" s="8"/>
    </row>
  </sheetData>
  <autoFilter ref="A1:R425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Q1000"/>
  <sheetViews>
    <sheetView tabSelected="1" workbookViewId="0">
      <selection sqref="A1:B1"/>
    </sheetView>
  </sheetViews>
  <sheetFormatPr defaultColWidth="12.5703125" defaultRowHeight="15.75" customHeight="1" x14ac:dyDescent="0.2"/>
  <cols>
    <col min="5" max="5" width="17.42578125" customWidth="1"/>
    <col min="6" max="6" width="14.5703125" customWidth="1"/>
    <col min="7" max="7" width="13.28515625" customWidth="1"/>
    <col min="8" max="8" width="15.42578125" customWidth="1"/>
    <col min="11" max="11" width="14" customWidth="1"/>
    <col min="12" max="12" width="14.7109375" customWidth="1"/>
    <col min="14" max="14" width="14.7109375" customWidth="1"/>
    <col min="25" max="25" width="20.42578125" customWidth="1"/>
    <col min="26" max="26" width="25.5703125" customWidth="1"/>
    <col min="33" max="33" width="15.42578125" customWidth="1"/>
    <col min="40" max="40" width="18.140625" customWidth="1"/>
  </cols>
  <sheetData>
    <row r="1" spans="1:43" ht="43.5" customHeight="1" x14ac:dyDescent="0.2">
      <c r="A1" s="28" t="s">
        <v>88</v>
      </c>
      <c r="B1" s="26"/>
      <c r="C1" s="29" t="s">
        <v>89</v>
      </c>
      <c r="D1" s="26"/>
      <c r="E1" s="28" t="s">
        <v>90</v>
      </c>
      <c r="F1" s="26"/>
      <c r="G1" s="28" t="s">
        <v>91</v>
      </c>
      <c r="H1" s="30"/>
      <c r="I1" s="26"/>
      <c r="J1" s="28" t="s">
        <v>92</v>
      </c>
      <c r="K1" s="30"/>
      <c r="L1" s="26"/>
      <c r="M1" s="28" t="s">
        <v>93</v>
      </c>
      <c r="N1" s="26"/>
      <c r="O1" s="27" t="s">
        <v>89</v>
      </c>
      <c r="P1" s="26"/>
      <c r="Q1" s="25" t="s">
        <v>94</v>
      </c>
      <c r="R1" s="26"/>
      <c r="S1" s="27" t="s">
        <v>89</v>
      </c>
      <c r="T1" s="26"/>
      <c r="U1" s="25" t="s">
        <v>95</v>
      </c>
      <c r="V1" s="26"/>
      <c r="W1" s="27" t="s">
        <v>89</v>
      </c>
      <c r="X1" s="26"/>
      <c r="Y1" s="9" t="s">
        <v>96</v>
      </c>
      <c r="Z1" s="25" t="s">
        <v>97</v>
      </c>
      <c r="AA1" s="26"/>
      <c r="AB1" s="25" t="s">
        <v>98</v>
      </c>
      <c r="AC1" s="26"/>
      <c r="AD1" s="27" t="s">
        <v>89</v>
      </c>
      <c r="AE1" s="26"/>
      <c r="AF1" s="25" t="s">
        <v>99</v>
      </c>
      <c r="AG1" s="26"/>
      <c r="AH1" s="10" t="str">
        <f t="array" aca="1" ref="AH1:AN1" ca="1">TRANSPOSE(Z2:Z8)</f>
        <v>Outros</v>
      </c>
      <c r="AI1" s="10" t="str">
        <f ca="1"/>
        <v>iPod</v>
      </c>
      <c r="AJ1" s="10" t="str">
        <f ca="1"/>
        <v>iPad</v>
      </c>
      <c r="AK1" s="10" t="str">
        <f ca="1"/>
        <v>Tablet Android</v>
      </c>
      <c r="AL1" s="10" t="str">
        <f ca="1"/>
        <v>Desktop</v>
      </c>
      <c r="AM1" s="10" t="str">
        <f ca="1"/>
        <v>iPhone</v>
      </c>
      <c r="AN1" s="10" t="str">
        <f ca="1"/>
        <v>Smartphone Android</v>
      </c>
      <c r="AO1" s="11" t="s">
        <v>100</v>
      </c>
      <c r="AP1" s="9" t="s">
        <v>101</v>
      </c>
      <c r="AQ1" s="11" t="s">
        <v>102</v>
      </c>
    </row>
    <row r="2" spans="1:43" ht="12.75" x14ac:dyDescent="0.2">
      <c r="A2" s="12" t="str">
        <f ca="1">IFERROR(__xludf.DUMMYFUNCTION("UNIQUE(Dados!A2:A1000)"),"Vídeo 1")</f>
        <v>Vídeo 1</v>
      </c>
      <c r="B2" s="12">
        <f ca="1">SUMIF(Dados!A2:A425,A2,Dados!E2:E425)</f>
        <v>411607</v>
      </c>
      <c r="C2" s="12" t="s">
        <v>28</v>
      </c>
      <c r="D2" s="12">
        <v>834064</v>
      </c>
      <c r="E2" s="12" t="str">
        <f ca="1">IFERROR(__xludf.DUMMYFUNCTION("UNIQUE(Dados!C2:C425)"),"Outros")</f>
        <v>Outros</v>
      </c>
      <c r="F2" s="12">
        <f ca="1">SUMIF(Dados!C2:C425,E2,Dados!E2:E425)</f>
        <v>2094</v>
      </c>
      <c r="G2" s="13" t="s">
        <v>103</v>
      </c>
      <c r="H2" s="13" t="s">
        <v>104</v>
      </c>
      <c r="I2" s="13" t="s">
        <v>105</v>
      </c>
      <c r="J2" s="13" t="s">
        <v>103</v>
      </c>
      <c r="K2" s="13" t="s">
        <v>104</v>
      </c>
      <c r="L2" s="13" t="s">
        <v>105</v>
      </c>
      <c r="M2" s="14">
        <f ca="1">IFERROR(__xludf.DUMMYFUNCTION("UNIQUE(Dados!D2:D425)"),42979)</f>
        <v>42979</v>
      </c>
      <c r="N2" s="12">
        <f ca="1">SUMIF(Dados!D2:D425,M2,Dados!F2:F425)/SUMIF(Dados!D2:D425,M2,Dados!K2:K425)</f>
        <v>4.3749316418243464E-2</v>
      </c>
      <c r="O2" s="14">
        <v>43007</v>
      </c>
      <c r="P2" s="12">
        <v>5.8246206713428658E-2</v>
      </c>
      <c r="Q2" s="15" t="str">
        <f t="shared" ref="Q2:Q31" ca="1" si="0">TEXT(M2,"dddd")</f>
        <v>sexta-feira</v>
      </c>
      <c r="R2" s="12">
        <f ca="1">SUMIF(Dados!D2:D425,M2,Dados!K2:K425)</f>
        <v>45715</v>
      </c>
      <c r="S2" s="15" t="str">
        <f ca="1">IFERROR(__xludf.DUMMYFUNCTION("UNIQUE(Q2:Q31)"),"sexta-feira")</f>
        <v>sexta-feira</v>
      </c>
      <c r="T2" s="12">
        <f t="shared" ref="T2:T8" ca="1" si="1">SUMIF(Q2:Q31,S2,R2:R31)/COUNTIF(Q2:Q31,S2)</f>
        <v>69191.399999999994</v>
      </c>
      <c r="U2" s="15" t="str">
        <f t="shared" ref="U2:U31" ca="1" si="2">TEXT(M2,"dddd")</f>
        <v>sexta-feira</v>
      </c>
      <c r="V2" s="12">
        <f ca="1">(SUMIFS(Dados!F2:F425,Dados!C2:C425,"iPhone",Dados!D2:D425,M2))/SUMIFS(Dados!K2:K425,Dados!C2:C425,"iPhone",Dados!D2:D425,M2)</f>
        <v>4.6444279513203214E-2</v>
      </c>
      <c r="W2" s="15" t="str">
        <f ca="1">IFERROR(__xludf.DUMMYFUNCTION("UNIQUE(U2:U31)"),"sexta-feira")</f>
        <v>sexta-feira</v>
      </c>
      <c r="X2" s="12">
        <f t="shared" ref="X2:X8" ca="1" si="3">SUMIF(U2:U31,W2,V2:V31)</f>
        <v>0.19469622852309315</v>
      </c>
      <c r="Y2" s="16">
        <f>AVERAGE(Dados!M2:M425)</f>
        <v>1.2368426799440999E-4</v>
      </c>
      <c r="Z2" s="12" t="str">
        <f ca="1">IFERROR(__xludf.DUMMYFUNCTION("UNIQUE(Dados!C2:C425)"),"Outros")</f>
        <v>Outros</v>
      </c>
      <c r="AA2" s="17">
        <f ca="1">AVERAGEIF(Dados!C2:C425,Z2,Dados!M2:M425)</f>
        <v>2.1797839506172841E-4</v>
      </c>
      <c r="AB2" s="12" t="str">
        <f ca="1">IFERROR(__xludf.DUMMYFUNCTION("UNIQUE(Dados!A2:A425)"),"Vídeo 1")</f>
        <v>Vídeo 1</v>
      </c>
      <c r="AC2" s="17">
        <f ca="1">SUMIF(Dados!A2:A425,AB2,Dados!M2:M425)</f>
        <v>8.4490740740740728E-4</v>
      </c>
      <c r="AD2" s="12" t="s">
        <v>28</v>
      </c>
      <c r="AE2" s="17">
        <v>2.2337962962962962E-3</v>
      </c>
      <c r="AF2" s="12" t="str">
        <f ca="1">IFERROR(__xludf.DUMMYFUNCTION("UNIQUE(Dados!B2:B425)"),"Osvaldo")</f>
        <v>Osvaldo</v>
      </c>
      <c r="AG2" s="12">
        <f ca="1">COUNTIF(Dados!B2:B425,AF2)</f>
        <v>161</v>
      </c>
      <c r="AH2" s="17">
        <f ca="1">SUMIFS(Dados!$M$2:$M$425,Dados!$B$2:$B$425,$AF2,Dados!$C$2:$C$425,AH$1)</f>
        <v>5.2083333333333339E-3</v>
      </c>
      <c r="AI2" s="17">
        <f ca="1">SUMIFS(Dados!$M$2:$M$425,Dados!$B$2:$B$425,$AF2,Dados!$C$2:$C$425,AI$1)</f>
        <v>2.9050925925925937E-3</v>
      </c>
      <c r="AJ2" s="17">
        <f ca="1">SUMIFS(Dados!$M$2:$M$425,Dados!$B$2:$B$425,$AF2,Dados!$C$2:$C$425,AJ$1)</f>
        <v>2.615740740740741E-3</v>
      </c>
      <c r="AK2" s="17">
        <f ca="1">SUMIFS(Dados!$M$2:$M$425,Dados!$B$2:$B$425,$AF2,Dados!$C$2:$C$425,AK$1)</f>
        <v>2.6620370370370365E-3</v>
      </c>
      <c r="AL2" s="17">
        <f ca="1">SUMIFS(Dados!$M$2:$M$425,Dados!$B$2:$B$425,$AF2,Dados!$C$2:$C$425,AL$1)</f>
        <v>2.3263888888888887E-3</v>
      </c>
      <c r="AM2" s="17">
        <f ca="1">SUMIFS(Dados!$M$2:$M$425,Dados!$B$2:$B$425,$AF2,Dados!$C$2:$C$425,AM$1)</f>
        <v>2.3495370370370367E-3</v>
      </c>
      <c r="AN2" s="17">
        <f ca="1">SUMIFS(Dados!$M$2:$M$425,Dados!$B$2:$B$425,$AF2,Dados!$C$2:$C$425,AN$1)</f>
        <v>2.4305555555555547E-3</v>
      </c>
      <c r="AO2" s="17">
        <f t="shared" ref="AO2:AO4" ca="1" si="4">SUM(AH2:AN2)</f>
        <v>2.0497685185185181E-2</v>
      </c>
      <c r="AP2" s="18">
        <f t="shared" ref="AP2:AP4" ca="1" si="5">AG2/(SUM($AG$2:$AG$4))</f>
        <v>0.37971698113207547</v>
      </c>
      <c r="AQ2" s="18">
        <f t="shared" ref="AQ2:AQ4" ca="1" si="6">AO2/(SUM($AO$2:$AO$4))</f>
        <v>0.39086294416243644</v>
      </c>
    </row>
    <row r="3" spans="1:43" ht="12.75" x14ac:dyDescent="0.2">
      <c r="A3" s="12" t="str">
        <f ca="1">IFERROR(__xludf.DUMMYFUNCTION("""COMPUTED_VALUE"""),"Vídeo 10")</f>
        <v>Vídeo 10</v>
      </c>
      <c r="B3" s="12">
        <f ca="1">SUMIF(Dados!A3:A426,A3,Dados!E3:E426)</f>
        <v>320995</v>
      </c>
      <c r="C3" s="12" t="s">
        <v>30</v>
      </c>
      <c r="D3" s="12">
        <v>818344</v>
      </c>
      <c r="E3" s="12" t="str">
        <f ca="1">IFERROR(__xludf.DUMMYFUNCTION("""COMPUTED_VALUE"""),"iPod")</f>
        <v>iPod</v>
      </c>
      <c r="F3" s="12">
        <f ca="1">SUMIF(Dados!C3:C426,E3,Dados!E3:E426)</f>
        <v>558</v>
      </c>
      <c r="G3" s="19">
        <f>SUM(Dados!F2:F1000)</f>
        <v>59999.999999708001</v>
      </c>
      <c r="H3" s="12">
        <f>SUM(Dados!K2:K425)</f>
        <v>2063556</v>
      </c>
      <c r="I3" s="20">
        <f>G3/H3</f>
        <v>2.9076022167417798E-2</v>
      </c>
      <c r="J3" s="19">
        <f>SUMIF(Dados!C2:C425,"Desktop",Dados!F2:F1000)</f>
        <v>5071.7006146379999</v>
      </c>
      <c r="K3" s="12">
        <f>SUMIF(Dados!C2:C425,"Desktop",Dados!K2:K1000)</f>
        <v>148248</v>
      </c>
      <c r="L3" s="20">
        <f>J3/K3</f>
        <v>3.4210920988060549E-2</v>
      </c>
      <c r="M3" s="14">
        <f ca="1">IFERROR(__xludf.DUMMYFUNCTION("""COMPUTED_VALUE"""),42983)</f>
        <v>42983</v>
      </c>
      <c r="N3" s="12">
        <f ca="1">SUMIF(Dados!D3:D426,M3,Dados!F3:F426)/SUMIF(Dados!D3:D426,M3,Dados!K3:K426)</f>
        <v>3.3718852209495227E-2</v>
      </c>
      <c r="O3" s="14">
        <v>43003</v>
      </c>
      <c r="P3" s="12">
        <v>5.0291691811707909E-2</v>
      </c>
      <c r="Q3" s="15" t="str">
        <f t="shared" ca="1" si="0"/>
        <v>terça-feira</v>
      </c>
      <c r="R3" s="12">
        <f ca="1">SUMIF(Dados!D3:D426,M3,Dados!K3:K426)</f>
        <v>59314</v>
      </c>
      <c r="S3" s="15" t="str">
        <f ca="1">IFERROR(__xludf.DUMMYFUNCTION("""COMPUTED_VALUE"""),"terça-feira")</f>
        <v>terça-feira</v>
      </c>
      <c r="T3" s="12">
        <f t="shared" ca="1" si="1"/>
        <v>60816.5</v>
      </c>
      <c r="U3" s="15" t="str">
        <f t="shared" ca="1" si="2"/>
        <v>terça-feira</v>
      </c>
      <c r="V3" s="12">
        <f ca="1">(SUMIFS(Dados!F3:F426,Dados!C3:C426,"iPhone",Dados!D3:D426,M3))/SUMIFS(Dados!K3:K426,Dados!C3:C426,"iPhone",Dados!D3:D426,M3)</f>
        <v>3.1180624715447153E-2</v>
      </c>
      <c r="W3" s="15" t="str">
        <f ca="1">IFERROR(__xludf.DUMMYFUNCTION("""COMPUTED_VALUE"""),"terça-feira")</f>
        <v>terça-feira</v>
      </c>
      <c r="X3" s="12">
        <f t="shared" ca="1" si="3"/>
        <v>0.16984440489040345</v>
      </c>
      <c r="Y3" s="12"/>
      <c r="Z3" s="12" t="str">
        <f ca="1">IFERROR(__xludf.DUMMYFUNCTION("""COMPUTED_VALUE"""),"iPod")</f>
        <v>iPod</v>
      </c>
      <c r="AA3" s="17">
        <f ca="1">AVERAGEIF(Dados!C3:C426,Z3,Dados!M3:M426)</f>
        <v>1.3406635802469137E-4</v>
      </c>
      <c r="AB3" s="12" t="str">
        <f ca="1">IFERROR(__xludf.DUMMYFUNCTION("""COMPUTED_VALUE"""),"Vídeo 10")</f>
        <v>Vídeo 10</v>
      </c>
      <c r="AC3" s="17">
        <f ca="1">SUMIF(Dados!A3:A426,AB3,Dados!M3:M426)</f>
        <v>9.2592592592592596E-4</v>
      </c>
      <c r="AD3" s="12" t="s">
        <v>38</v>
      </c>
      <c r="AE3" s="17">
        <v>2.0601851851851853E-3</v>
      </c>
      <c r="AF3" s="12" t="str">
        <f ca="1">IFERROR(__xludf.DUMMYFUNCTION("""COMPUTED_VALUE"""),"Luiz")</f>
        <v>Luiz</v>
      </c>
      <c r="AG3" s="12">
        <f ca="1">COUNTIF(Dados!B3:B426,AF3)</f>
        <v>137</v>
      </c>
      <c r="AH3" s="17">
        <f ca="1">SUMIFS(Dados!$M$2:$M$425,Dados!$B$2:$B$425,$AF3,Dados!$C$2:$C$425,$AH$1)</f>
        <v>3.402777777777778E-3</v>
      </c>
      <c r="AI3" s="17">
        <f ca="1">SUMIFS(Dados!$M$2:$M$425,Dados!$B$2:$B$425,$AF3,Dados!$C$2:$C$425,AI$1)</f>
        <v>2.708333333333333E-3</v>
      </c>
      <c r="AJ3" s="17">
        <f ca="1">SUMIFS(Dados!$M$2:$M$425,Dados!$B$2:$B$425,$AF3,Dados!$C$2:$C$425,AJ$1)</f>
        <v>2.3842592592592591E-3</v>
      </c>
      <c r="AK3" s="17">
        <f ca="1">SUMIFS(Dados!$M$2:$M$425,Dados!$B$2:$B$425,$AF3,Dados!$C$2:$C$425,AK$1)</f>
        <v>2.0138888888888888E-3</v>
      </c>
      <c r="AL3" s="17">
        <f ca="1">SUMIFS(Dados!$M$2:$M$425,Dados!$B$2:$B$425,$AF3,Dados!$C$2:$C$425,AL$1)</f>
        <v>1.8055555555555559E-3</v>
      </c>
      <c r="AM3" s="17">
        <f ca="1">SUMIFS(Dados!$M$2:$M$425,Dados!$B$2:$B$425,$AF3,Dados!$C$2:$C$425,AM$1)</f>
        <v>1.8055555555555557E-3</v>
      </c>
      <c r="AN3" s="17">
        <f ca="1">SUMIFS(Dados!$M$2:$M$425,Dados!$B$2:$B$425,$AF3,Dados!$C$2:$C$425,AN$1)</f>
        <v>1.8981481481481484E-3</v>
      </c>
      <c r="AO3" s="17">
        <f t="shared" ca="1" si="4"/>
        <v>1.6018518518518519E-2</v>
      </c>
      <c r="AP3" s="18">
        <f t="shared" ca="1" si="5"/>
        <v>0.32311320754716982</v>
      </c>
      <c r="AQ3" s="18">
        <f t="shared" ca="1" si="6"/>
        <v>0.30545133524608253</v>
      </c>
    </row>
    <row r="4" spans="1:43" ht="12.75" x14ac:dyDescent="0.2">
      <c r="A4" s="12" t="str">
        <f ca="1">IFERROR(__xludf.DUMMYFUNCTION("""COMPUTED_VALUE"""),"Vídeo 11")</f>
        <v>Vídeo 11</v>
      </c>
      <c r="B4" s="12">
        <f ca="1">SUMIF(Dados!A4:A427,A4,Dados!E4:E427)</f>
        <v>834064</v>
      </c>
      <c r="C4" s="12" t="s">
        <v>58</v>
      </c>
      <c r="D4" s="12">
        <v>655831</v>
      </c>
      <c r="E4" s="12" t="str">
        <f ca="1">IFERROR(__xludf.DUMMYFUNCTION("""COMPUTED_VALUE"""),"iPad")</f>
        <v>iPad</v>
      </c>
      <c r="F4" s="12">
        <f ca="1">SUMIF(Dados!C4:C427,E4,Dados!E4:E427)</f>
        <v>151644</v>
      </c>
      <c r="G4" s="12"/>
      <c r="H4" s="12"/>
      <c r="I4" s="12"/>
      <c r="J4" s="12"/>
      <c r="K4" s="12"/>
      <c r="L4" s="12"/>
      <c r="M4" s="14">
        <f ca="1">IFERROR(__xludf.DUMMYFUNCTION("""COMPUTED_VALUE"""),42984)</f>
        <v>42984</v>
      </c>
      <c r="N4" s="12">
        <f ca="1">SUMIF(Dados!D4:D427,M4,Dados!F4:F427)/SUMIF(Dados!D4:D427,M4,Dados!K4:K427)</f>
        <v>9.3947436408671359E-3</v>
      </c>
      <c r="O4" s="14">
        <v>42991</v>
      </c>
      <c r="P4" s="12">
        <v>5.0165546302999894E-2</v>
      </c>
      <c r="Q4" s="15" t="str">
        <f t="shared" ca="1" si="0"/>
        <v>quarta-feira</v>
      </c>
      <c r="R4" s="12">
        <f ca="1">SUMIF(Dados!D4:D427,M4,Dados!K4:K427)</f>
        <v>212885</v>
      </c>
      <c r="S4" s="15" t="str">
        <f ca="1">IFERROR(__xludf.DUMMYFUNCTION("""COMPUTED_VALUE"""),"quarta-feira")</f>
        <v>quarta-feira</v>
      </c>
      <c r="T4" s="12">
        <f t="shared" ca="1" si="1"/>
        <v>103179</v>
      </c>
      <c r="U4" s="15" t="str">
        <f t="shared" ca="1" si="2"/>
        <v>quarta-feira</v>
      </c>
      <c r="V4" s="12">
        <f ca="1">(SUMIFS(Dados!F4:F427,Dados!C4:C427,"iPhone",Dados!D4:D427,M4))/SUMIFS(Dados!K4:K427,Dados!C4:C427,"iPhone",Dados!D4:D427,M4)</f>
        <v>1.0898964023298412E-2</v>
      </c>
      <c r="W4" s="15" t="str">
        <f ca="1">IFERROR(__xludf.DUMMYFUNCTION("""COMPUTED_VALUE"""),"quarta-feira")</f>
        <v>quarta-feira</v>
      </c>
      <c r="X4" s="12">
        <f t="shared" ca="1" si="3"/>
        <v>0.1468725691985833</v>
      </c>
      <c r="Y4" s="12"/>
      <c r="Z4" s="12" t="str">
        <f ca="1">IFERROR(__xludf.DUMMYFUNCTION("""COMPUTED_VALUE"""),"iPad")</f>
        <v>iPad</v>
      </c>
      <c r="AA4" s="17">
        <f ca="1">AVERAGEIF(Dados!C4:C427,Z4,Dados!M4:M427)</f>
        <v>1.1403309046751672E-4</v>
      </c>
      <c r="AB4" s="12" t="str">
        <f ca="1">IFERROR(__xludf.DUMMYFUNCTION("""COMPUTED_VALUE"""),"Vídeo 11")</f>
        <v>Vídeo 11</v>
      </c>
      <c r="AC4" s="17">
        <f ca="1">SUMIF(Dados!A4:A427,AB4,Dados!M4:M427)</f>
        <v>2.2337962962962962E-3</v>
      </c>
      <c r="AD4" s="12" t="s">
        <v>30</v>
      </c>
      <c r="AE4" s="17">
        <v>1.8055555555555559E-3</v>
      </c>
      <c r="AF4" s="12" t="str">
        <f ca="1">IFERROR(__xludf.DUMMYFUNCTION("""COMPUTED_VALUE"""),"Marcos")</f>
        <v>Marcos</v>
      </c>
      <c r="AG4" s="12">
        <f ca="1">COUNTIF(Dados!B4:B427,AF4)</f>
        <v>126</v>
      </c>
      <c r="AH4" s="17">
        <f ca="1">SUMIFS(Dados!$M$2:$M$425,Dados!$B$2:$B$425,$AF4,Dados!$C$2:$C$425,$AH$1)</f>
        <v>4.4675925925925924E-3</v>
      </c>
      <c r="AI4" s="17">
        <f ca="1">SUMIFS(Dados!$M$2:$M$425,Dados!$B$2:$B$425,$AF4,Dados!$C$2:$C$425,AI$1)</f>
        <v>2.4305555555555556E-3</v>
      </c>
      <c r="AJ4" s="17">
        <f ca="1">SUMIFS(Dados!$M$2:$M$425,Dados!$B$2:$B$425,$AF4,Dados!$C$2:$C$425,AJ$1)</f>
        <v>1.9560185185185184E-3</v>
      </c>
      <c r="AK4" s="17">
        <f ca="1">SUMIFS(Dados!$M$2:$M$425,Dados!$B$2:$B$425,$AF4,Dados!$C$2:$C$425,AK$1)</f>
        <v>1.9097222222222224E-3</v>
      </c>
      <c r="AL4" s="17">
        <f ca="1">SUMIFS(Dados!$M$2:$M$425,Dados!$B$2:$B$425,$AF4,Dados!$C$2:$C$425,AL$1)</f>
        <v>1.6550925925925926E-3</v>
      </c>
      <c r="AM4" s="17">
        <f ca="1">SUMIFS(Dados!$M$2:$M$425,Dados!$B$2:$B$425,$AF4,Dados!$C$2:$C$425,AM$1)</f>
        <v>1.724537037037037E-3</v>
      </c>
      <c r="AN4" s="17">
        <f ca="1">SUMIFS(Dados!$M$2:$M$425,Dados!$B$2:$B$425,$AF4,Dados!$C$2:$C$425,AN$1)</f>
        <v>1.782407407407407E-3</v>
      </c>
      <c r="AO4" s="17">
        <f t="shared" ca="1" si="4"/>
        <v>1.5925925925925927E-2</v>
      </c>
      <c r="AP4" s="18">
        <f t="shared" ca="1" si="5"/>
        <v>0.29716981132075471</v>
      </c>
      <c r="AQ4" s="18">
        <f t="shared" ca="1" si="6"/>
        <v>0.30368572059148091</v>
      </c>
    </row>
    <row r="5" spans="1:43" ht="12.75" x14ac:dyDescent="0.2">
      <c r="A5" s="12" t="str">
        <f ca="1">IFERROR(__xludf.DUMMYFUNCTION("""COMPUTED_VALUE"""),"Vídeo 12")</f>
        <v>Vídeo 12</v>
      </c>
      <c r="B5" s="12">
        <f ca="1">SUMIF(Dados!A5:A428,A5,Dados!E5:E428)</f>
        <v>818344</v>
      </c>
      <c r="C5" s="12" t="s">
        <v>62</v>
      </c>
      <c r="D5" s="12">
        <v>611676</v>
      </c>
      <c r="E5" s="12" t="str">
        <f ca="1">IFERROR(__xludf.DUMMYFUNCTION("""COMPUTED_VALUE"""),"Tablet Android")</f>
        <v>Tablet Android</v>
      </c>
      <c r="F5" s="12">
        <f ca="1">SUMIF(Dados!C5:C428,E5,Dados!E5:E428)</f>
        <v>140970</v>
      </c>
      <c r="G5" s="12"/>
      <c r="H5" s="12"/>
      <c r="I5" s="12"/>
      <c r="J5" s="12"/>
      <c r="K5" s="12"/>
      <c r="L5" s="12"/>
      <c r="M5" s="14">
        <f ca="1">IFERROR(__xludf.DUMMYFUNCTION("""COMPUTED_VALUE"""),42985)</f>
        <v>42985</v>
      </c>
      <c r="N5" s="12">
        <f ca="1">SUMIF(Dados!D5:D428,M5,Dados!F5:F428)/SUMIF(Dados!D5:D428,M5,Dados!K5:K428)</f>
        <v>4.6040515653614181E-2</v>
      </c>
      <c r="O5" s="14">
        <v>42992</v>
      </c>
      <c r="P5" s="12">
        <v>5.0065084610769001E-2</v>
      </c>
      <c r="Q5" s="15" t="str">
        <f t="shared" ca="1" si="0"/>
        <v>quinta-feira</v>
      </c>
      <c r="R5" s="12">
        <f ca="1">SUMIF(Dados!D5:D428,M5,Dados!K5:K428)</f>
        <v>43440</v>
      </c>
      <c r="S5" s="15" t="str">
        <f ca="1">IFERROR(__xludf.DUMMYFUNCTION("""COMPUTED_VALUE"""),"quinta-feira")</f>
        <v>quinta-feira</v>
      </c>
      <c r="T5" s="12">
        <f t="shared" ca="1" si="1"/>
        <v>66134</v>
      </c>
      <c r="U5" s="15" t="str">
        <f t="shared" ca="1" si="2"/>
        <v>quinta-feira</v>
      </c>
      <c r="V5" s="12">
        <f ca="1">(SUMIFS(Dados!F5:F428,Dados!C5:C428,"iPhone",Dados!D5:D428,M5))/SUMIFS(Dados!K5:K428,Dados!C5:C428,"iPhone",Dados!D5:D428,M5)</f>
        <v>6.2897792184429327E-2</v>
      </c>
      <c r="W5" s="15" t="str">
        <f ca="1">IFERROR(__xludf.DUMMYFUNCTION("""COMPUTED_VALUE"""),"quinta-feira")</f>
        <v>quinta-feira</v>
      </c>
      <c r="X5" s="12">
        <f t="shared" ca="1" si="3"/>
        <v>0.18920603449489884</v>
      </c>
      <c r="Y5" s="17"/>
      <c r="Z5" s="12" t="str">
        <f ca="1">IFERROR(__xludf.DUMMYFUNCTION("""COMPUTED_VALUE"""),"Tablet Android")</f>
        <v>Tablet Android</v>
      </c>
      <c r="AA5" s="17">
        <f ca="1">AVERAGEIF(Dados!C5:C428,Z5,Dados!M5:M428)</f>
        <v>1.0976080246913577E-4</v>
      </c>
      <c r="AB5" s="12" t="str">
        <f ca="1">IFERROR(__xludf.DUMMYFUNCTION("""COMPUTED_VALUE"""),"Vídeo 12")</f>
        <v>Vídeo 12</v>
      </c>
      <c r="AC5" s="17">
        <f ca="1">SUMIF(Dados!A5:A428,AB5,Dados!M5:M428)</f>
        <v>1.8055555555555559E-3</v>
      </c>
      <c r="AD5" s="12" t="s">
        <v>79</v>
      </c>
      <c r="AE5" s="17">
        <v>1.6666666666666663E-3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ht="12.75" x14ac:dyDescent="0.2">
      <c r="A6" s="12" t="str">
        <f ca="1">IFERROR(__xludf.DUMMYFUNCTION("""COMPUTED_VALUE"""),"Vídeo 13")</f>
        <v>Vídeo 13</v>
      </c>
      <c r="B6" s="12">
        <f ca="1">SUMIF(Dados!A6:A429,A6,Dados!E6:E429)</f>
        <v>374379</v>
      </c>
      <c r="C6" s="12" t="s">
        <v>79</v>
      </c>
      <c r="D6" s="12">
        <v>604424</v>
      </c>
      <c r="E6" s="12" t="str">
        <f ca="1">IFERROR(__xludf.DUMMYFUNCTION("""COMPUTED_VALUE"""),"Desktop")</f>
        <v>Desktop</v>
      </c>
      <c r="F6" s="12">
        <f ca="1">SUMIF(Dados!C6:C429,E6,Dados!E6:E429)</f>
        <v>2068582</v>
      </c>
      <c r="G6" s="12"/>
      <c r="H6" s="12"/>
      <c r="I6" s="12"/>
      <c r="J6" s="12"/>
      <c r="K6" s="12"/>
      <c r="L6" s="12"/>
      <c r="M6" s="14">
        <f ca="1">IFERROR(__xludf.DUMMYFUNCTION("""COMPUTED_VALUE"""),42986)</f>
        <v>42986</v>
      </c>
      <c r="N6" s="12">
        <f ca="1">SUMIF(Dados!D6:D429,M6,Dados!F6:F429)/SUMIF(Dados!D6:D429,M6,Dados!K6:K429)</f>
        <v>3.0817115826376366E-2</v>
      </c>
      <c r="O6" s="14">
        <v>42985</v>
      </c>
      <c r="P6" s="12">
        <v>4.6040515653614181E-2</v>
      </c>
      <c r="Q6" s="15" t="str">
        <f t="shared" ca="1" si="0"/>
        <v>sexta-feira</v>
      </c>
      <c r="R6" s="12">
        <f ca="1">SUMIF(Dados!D6:D429,M6,Dados!K6:K429)</f>
        <v>64899</v>
      </c>
      <c r="S6" s="15" t="str">
        <f ca="1">IFERROR(__xludf.DUMMYFUNCTION("""COMPUTED_VALUE"""),"sábado")</f>
        <v>sábado</v>
      </c>
      <c r="T6" s="12">
        <f t="shared" ca="1" si="1"/>
        <v>55529.4</v>
      </c>
      <c r="U6" s="15" t="str">
        <f t="shared" ca="1" si="2"/>
        <v>sexta-feira</v>
      </c>
      <c r="V6" s="12">
        <f ca="1">(SUMIFS(Dados!F6:F429,Dados!C6:C429,"iPhone",Dados!D6:D429,M6))/SUMIFS(Dados!K6:K429,Dados!C6:C429,"iPhone",Dados!D6:D429,M6)</f>
        <v>3.89968666565534E-2</v>
      </c>
      <c r="W6" s="15" t="str">
        <f ca="1">IFERROR(__xludf.DUMMYFUNCTION("""COMPUTED_VALUE"""),"sábado")</f>
        <v>sábado</v>
      </c>
      <c r="X6" s="12">
        <f t="shared" ca="1" si="3"/>
        <v>0.23879950447956663</v>
      </c>
      <c r="Y6" s="12"/>
      <c r="Z6" s="12" t="str">
        <f ca="1">IFERROR(__xludf.DUMMYFUNCTION("""COMPUTED_VALUE"""),"Desktop")</f>
        <v>Desktop</v>
      </c>
      <c r="AA6" s="17">
        <f ca="1">AVERAGEIF(Dados!C6:C429,Z6,Dados!M6:M429)</f>
        <v>9.4869459623557966E-5</v>
      </c>
      <c r="AB6" s="12" t="str">
        <f ca="1">IFERROR(__xludf.DUMMYFUNCTION("""COMPUTED_VALUE"""),"Vídeo 13")</f>
        <v>Vídeo 13</v>
      </c>
      <c r="AC6" s="17">
        <f ca="1">SUMIF(Dados!A6:A429,AB6,Dados!M6:M429)</f>
        <v>8.5648148148148139E-4</v>
      </c>
      <c r="AD6" s="12" t="s">
        <v>51</v>
      </c>
      <c r="AE6" s="17">
        <v>1.6203703703703705E-3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 ht="12.75" x14ac:dyDescent="0.2">
      <c r="A7" s="12" t="str">
        <f ca="1">IFERROR(__xludf.DUMMYFUNCTION("""COMPUTED_VALUE"""),"Vídeo 14")</f>
        <v>Vídeo 14</v>
      </c>
      <c r="B7" s="12">
        <f ca="1">SUMIF(Dados!A7:A430,A7,Dados!E7:E430)</f>
        <v>384354</v>
      </c>
      <c r="C7" s="12" t="s">
        <v>70</v>
      </c>
      <c r="D7" s="12">
        <v>598206</v>
      </c>
      <c r="E7" s="12" t="str">
        <f ca="1">IFERROR(__xludf.DUMMYFUNCTION("""COMPUTED_VALUE"""),"iPhone")</f>
        <v>iPhone</v>
      </c>
      <c r="F7" s="12">
        <f ca="1">SUMIF(Dados!C7:C430,E7,Dados!E7:E430)</f>
        <v>4156839</v>
      </c>
      <c r="G7" s="12"/>
      <c r="H7" s="12"/>
      <c r="I7" s="12"/>
      <c r="J7" s="12"/>
      <c r="K7" s="12"/>
      <c r="L7" s="12"/>
      <c r="M7" s="14">
        <f ca="1">IFERROR(__xludf.DUMMYFUNCTION("""COMPUTED_VALUE"""),42987)</f>
        <v>42987</v>
      </c>
      <c r="N7" s="12">
        <f ca="1">SUMIF(Dados!D7:D430,M7,Dados!F7:F430)/SUMIF(Dados!D7:D430,M7,Dados!K7:K430)</f>
        <v>4.29876410532187E-2</v>
      </c>
      <c r="O7" s="14">
        <v>42981</v>
      </c>
      <c r="P7" s="12">
        <v>4.5996044341175657E-2</v>
      </c>
      <c r="Q7" s="15" t="str">
        <f t="shared" ca="1" si="0"/>
        <v>sábado</v>
      </c>
      <c r="R7" s="12">
        <f ca="1">SUMIF(Dados!D7:D430,M7,Dados!K7:K430)</f>
        <v>46525</v>
      </c>
      <c r="S7" s="15" t="str">
        <f ca="1">IFERROR(__xludf.DUMMYFUNCTION("""COMPUTED_VALUE"""),"domingo")</f>
        <v>domingo</v>
      </c>
      <c r="T7" s="12">
        <f t="shared" ca="1" si="1"/>
        <v>67899</v>
      </c>
      <c r="U7" s="15" t="str">
        <f t="shared" ca="1" si="2"/>
        <v>sábado</v>
      </c>
      <c r="V7" s="12">
        <f ca="1">(SUMIFS(Dados!F7:F430,Dados!C7:C430,"iPhone",Dados!D7:D430,M7))/SUMIFS(Dados!K7:K430,Dados!C7:C430,"iPhone",Dados!D7:D430,M7)</f>
        <v>5.7020760167130917E-2</v>
      </c>
      <c r="W7" s="15" t="str">
        <f ca="1">IFERROR(__xludf.DUMMYFUNCTION("""COMPUTED_VALUE"""),"domingo")</f>
        <v>domingo</v>
      </c>
      <c r="X7" s="12">
        <f t="shared" ca="1" si="3"/>
        <v>0.14734235187986691</v>
      </c>
      <c r="Y7" s="12"/>
      <c r="Z7" s="12" t="str">
        <f ca="1">IFERROR(__xludf.DUMMYFUNCTION("""COMPUTED_VALUE"""),"iPhone")</f>
        <v>iPhone</v>
      </c>
      <c r="AA7" s="17">
        <f ca="1">AVERAGEIF(Dados!C7:C430,Z7,Dados!M7:M430)</f>
        <v>9.6387370977534889E-5</v>
      </c>
      <c r="AB7" s="12" t="str">
        <f ca="1">IFERROR(__xludf.DUMMYFUNCTION("""COMPUTED_VALUE"""),"Vídeo 14")</f>
        <v>Vídeo 14</v>
      </c>
      <c r="AC7" s="17">
        <f ca="1">SUMIF(Dados!A7:A430,AB7,Dados!M7:M430)</f>
        <v>1.0648148148148149E-3</v>
      </c>
      <c r="AD7" s="12" t="s">
        <v>43</v>
      </c>
      <c r="AE7" s="17">
        <v>1.3310185185185185E-3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 ht="12.75" x14ac:dyDescent="0.2">
      <c r="A8" s="12" t="str">
        <f ca="1">IFERROR(__xludf.DUMMYFUNCTION("""COMPUTED_VALUE"""),"Vídeo 15")</f>
        <v>Vídeo 15</v>
      </c>
      <c r="B8" s="12">
        <f ca="1">SUMIF(Dados!A8:A431,A8,Dados!E8:E431)</f>
        <v>389669</v>
      </c>
      <c r="C8" s="12" t="s">
        <v>51</v>
      </c>
      <c r="D8" s="12">
        <v>590916</v>
      </c>
      <c r="E8" s="12" t="str">
        <f ca="1">IFERROR(__xludf.DUMMYFUNCTION("""COMPUTED_VALUE"""),"Smartphone Android")</f>
        <v>Smartphone Android</v>
      </c>
      <c r="F8" s="12">
        <f ca="1">SUMIF(Dados!C8:C431,E8,Dados!E8:E431)</f>
        <v>18492106</v>
      </c>
      <c r="G8" s="12"/>
      <c r="H8" s="12"/>
      <c r="I8" s="12"/>
      <c r="J8" s="12"/>
      <c r="K8" s="12"/>
      <c r="L8" s="12"/>
      <c r="M8" s="14">
        <f ca="1">IFERROR(__xludf.DUMMYFUNCTION("""COMPUTED_VALUE"""),42988)</f>
        <v>42988</v>
      </c>
      <c r="N8" s="12">
        <f ca="1">SUMIF(Dados!D8:D431,M8,Dados!F8:F431)/SUMIF(Dados!D8:D431,M8,Dados!K8:K431)</f>
        <v>2.6900160056127182E-2</v>
      </c>
      <c r="O8" s="14">
        <v>42979</v>
      </c>
      <c r="P8" s="12">
        <v>4.3749316418243464E-2</v>
      </c>
      <c r="Q8" s="15" t="str">
        <f t="shared" ca="1" si="0"/>
        <v>domingo</v>
      </c>
      <c r="R8" s="12">
        <f ca="1">SUMIF(Dados!D8:D431,M8,Dados!K8:K431)</f>
        <v>74349</v>
      </c>
      <c r="S8" s="15" t="str">
        <f ca="1">IFERROR(__xludf.DUMMYFUNCTION("""COMPUTED_VALUE"""),"segunda-feira")</f>
        <v>segunda-feira</v>
      </c>
      <c r="T8" s="12">
        <f t="shared" ca="1" si="1"/>
        <v>61959.5</v>
      </c>
      <c r="U8" s="15" t="str">
        <f t="shared" ca="1" si="2"/>
        <v>domingo</v>
      </c>
      <c r="V8" s="12">
        <f ca="1">(SUMIFS(Dados!F8:F431,Dados!C8:C431,"iPhone",Dados!D8:D431,M8))/SUMIFS(Dados!K8:K431,Dados!C8:C431,"iPhone",Dados!D8:D431,M8)</f>
        <v>2.6235918068819159E-2</v>
      </c>
      <c r="W8" s="15" t="str">
        <f ca="1">IFERROR(__xludf.DUMMYFUNCTION("""COMPUTED_VALUE"""),"segunda-feira")</f>
        <v>segunda-feira</v>
      </c>
      <c r="X8" s="12">
        <f t="shared" ca="1" si="3"/>
        <v>0.15165860369150466</v>
      </c>
      <c r="Y8" s="12"/>
      <c r="Z8" s="12" t="str">
        <f ca="1">IFERROR(__xludf.DUMMYFUNCTION("""COMPUTED_VALUE"""),"Smartphone Android")</f>
        <v>Smartphone Android</v>
      </c>
      <c r="AA8" s="17">
        <f ca="1">AVERAGEIF(Dados!C8:C431,Z8,Dados!M8:M431)</f>
        <v>1.0018214936247723E-4</v>
      </c>
      <c r="AB8" s="12" t="str">
        <f ca="1">IFERROR(__xludf.DUMMYFUNCTION("""COMPUTED_VALUE"""),"Vídeo 15")</f>
        <v>Vídeo 15</v>
      </c>
      <c r="AC8" s="17">
        <f ca="1">SUMIF(Dados!A8:A431,AB8,Dados!M8:M431)</f>
        <v>8.2175925925925938E-4</v>
      </c>
      <c r="AD8" s="12" t="s">
        <v>63</v>
      </c>
      <c r="AE8" s="17">
        <v>1.284722222222222E-3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ht="12.75" x14ac:dyDescent="0.2">
      <c r="A9" s="12" t="str">
        <f ca="1">IFERROR(__xludf.DUMMYFUNCTION("""COMPUTED_VALUE"""),"Vídeo 16")</f>
        <v>Vídeo 16</v>
      </c>
      <c r="B9" s="12">
        <f ca="1">SUMIF(Dados!A9:A432,A9,Dados!E9:E432)</f>
        <v>443237</v>
      </c>
      <c r="C9" s="12" t="s">
        <v>43</v>
      </c>
      <c r="D9" s="12">
        <v>576622</v>
      </c>
      <c r="E9" s="12"/>
      <c r="F9" s="12"/>
      <c r="G9" s="12"/>
      <c r="H9" s="12"/>
      <c r="I9" s="12"/>
      <c r="J9" s="12"/>
      <c r="K9" s="12"/>
      <c r="L9" s="12"/>
      <c r="M9" s="14">
        <f ca="1">IFERROR(__xludf.DUMMYFUNCTION("""COMPUTED_VALUE"""),42989)</f>
        <v>42989</v>
      </c>
      <c r="N9" s="12">
        <f ca="1">SUMIF(Dados!D9:D432,M9,Dados!F9:F432)/SUMIF(Dados!D9:D432,M9,Dados!K9:K432)</f>
        <v>4.0286030817705709E-2</v>
      </c>
      <c r="O9" s="14">
        <v>42987</v>
      </c>
      <c r="P9" s="12">
        <v>4.29876410532187E-2</v>
      </c>
      <c r="Q9" s="15" t="str">
        <f t="shared" ca="1" si="0"/>
        <v>segunda-feira</v>
      </c>
      <c r="R9" s="12">
        <f ca="1">SUMIF(Dados!D9:D432,M9,Dados!K9:K432)</f>
        <v>49645</v>
      </c>
      <c r="S9" s="12"/>
      <c r="T9" s="12"/>
      <c r="U9" s="15" t="str">
        <f t="shared" ca="1" si="2"/>
        <v>segunda-feira</v>
      </c>
      <c r="V9" s="12">
        <f ca="1">(SUMIFS(Dados!F9:F432,Dados!C9:C432,"iPhone",Dados!D9:D432,M9))/SUMIFS(Dados!K9:K432,Dados!C9:C432,"iPhone",Dados!D9:D432,M9)</f>
        <v>4.4729233351184894E-2</v>
      </c>
      <c r="W9" s="12"/>
      <c r="X9" s="12"/>
      <c r="Y9" s="12"/>
      <c r="Z9" s="12"/>
      <c r="AA9" s="12"/>
      <c r="AB9" s="12" t="str">
        <f ca="1">IFERROR(__xludf.DUMMYFUNCTION("""COMPUTED_VALUE"""),"Vídeo 16")</f>
        <v>Vídeo 16</v>
      </c>
      <c r="AC9" s="17">
        <f ca="1">SUMIF(Dados!A9:A432,AB9,Dados!M9:M432)</f>
        <v>7.4074074074074081E-4</v>
      </c>
      <c r="AD9" s="12" t="s">
        <v>62</v>
      </c>
      <c r="AE9" s="17">
        <v>1.273148148148148E-3</v>
      </c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ht="12.75" x14ac:dyDescent="0.2">
      <c r="A10" s="12" t="str">
        <f ca="1">IFERROR(__xludf.DUMMYFUNCTION("""COMPUTED_VALUE"""),"Vídeo 17")</f>
        <v>Vídeo 17</v>
      </c>
      <c r="B10" s="12">
        <f ca="1">SUMIF(Dados!A10:A433,A10,Dados!E10:E433)</f>
        <v>294721</v>
      </c>
      <c r="C10" s="12" t="s">
        <v>61</v>
      </c>
      <c r="D10" s="12">
        <v>562076</v>
      </c>
      <c r="E10" s="12"/>
      <c r="F10" s="12"/>
      <c r="G10" s="12"/>
      <c r="H10" s="12"/>
      <c r="I10" s="12"/>
      <c r="J10" s="12"/>
      <c r="K10" s="12"/>
      <c r="L10" s="12"/>
      <c r="M10" s="14">
        <f ca="1">IFERROR(__xludf.DUMMYFUNCTION("""COMPUTED_VALUE"""),42990)</f>
        <v>42990</v>
      </c>
      <c r="N10" s="12">
        <f ca="1">SUMIF(Dados!D10:D433,M10,Dados!F10:F433)/SUMIF(Dados!D10:D433,M10,Dados!K10:K433)</f>
        <v>2.9003161344543057E-2</v>
      </c>
      <c r="O10" s="14">
        <v>43001</v>
      </c>
      <c r="P10" s="12">
        <v>4.0952556462436271E-2</v>
      </c>
      <c r="Q10" s="15" t="str">
        <f t="shared" ca="1" si="0"/>
        <v>terça-feira</v>
      </c>
      <c r="R10" s="12">
        <f ca="1">SUMIF(Dados!D10:D433,M10,Dados!K10:K433)</f>
        <v>68958</v>
      </c>
      <c r="S10" s="12"/>
      <c r="T10" s="12"/>
      <c r="U10" s="15" t="str">
        <f t="shared" ca="1" si="2"/>
        <v>terça-feira</v>
      </c>
      <c r="V10" s="12">
        <f ca="1">(SUMIFS(Dados!F10:F433,Dados!C10:C433,"iPhone",Dados!D10:D433,M10))/SUMIFS(Dados!K10:K433,Dados!C10:C433,"iPhone",Dados!D10:D433,M10)</f>
        <v>3.9733446057747993E-2</v>
      </c>
      <c r="W10" s="12"/>
      <c r="X10" s="12"/>
      <c r="Y10" s="12"/>
      <c r="Z10" s="12"/>
      <c r="AA10" s="12"/>
      <c r="AB10" s="12" t="str">
        <f ca="1">IFERROR(__xludf.DUMMYFUNCTION("""COMPUTED_VALUE"""),"Vídeo 17")</f>
        <v>Vídeo 17</v>
      </c>
      <c r="AC10" s="17">
        <f ca="1">SUMIF(Dados!A10:A433,AB10,Dados!M10:M433)</f>
        <v>6.5972222222222224E-4</v>
      </c>
      <c r="AD10" s="12" t="s">
        <v>72</v>
      </c>
      <c r="AE10" s="17">
        <v>1.2615740740740738E-3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ht="17.25" x14ac:dyDescent="0.4">
      <c r="A11" s="12" t="str">
        <f ca="1">IFERROR(__xludf.DUMMYFUNCTION("""COMPUTED_VALUE"""),"Vídeo 18")</f>
        <v>Vídeo 18</v>
      </c>
      <c r="B11" s="12">
        <f ca="1">SUMIF(Dados!A11:A434,A11,Dados!E11:E434)</f>
        <v>350949</v>
      </c>
      <c r="C11" s="12" t="s">
        <v>41</v>
      </c>
      <c r="D11" s="12">
        <v>508393</v>
      </c>
      <c r="E11" s="12"/>
      <c r="F11" s="12"/>
      <c r="G11" s="12"/>
      <c r="H11" s="12"/>
      <c r="I11" s="12"/>
      <c r="J11" s="12"/>
      <c r="K11" s="12"/>
      <c r="L11" s="12"/>
      <c r="M11" s="14">
        <f ca="1">IFERROR(__xludf.DUMMYFUNCTION("""COMPUTED_VALUE"""),42991)</f>
        <v>42991</v>
      </c>
      <c r="N11" s="12">
        <f ca="1">SUMIF(Dados!D11:D434,M11,Dados!F11:F434)/SUMIF(Dados!D11:D434,M11,Dados!K11:K434)</f>
        <v>5.0165546302999894E-2</v>
      </c>
      <c r="O11" s="14">
        <v>42989</v>
      </c>
      <c r="P11" s="12">
        <v>4.0286030817705709E-2</v>
      </c>
      <c r="Q11" s="15" t="str">
        <f t="shared" ca="1" si="0"/>
        <v>quarta-feira</v>
      </c>
      <c r="R11" s="12">
        <f ca="1">SUMIF(Dados!D11:D434,M11,Dados!K11:K434)</f>
        <v>39868</v>
      </c>
      <c r="S11" s="12"/>
      <c r="T11" s="21"/>
      <c r="U11" s="15" t="str">
        <f t="shared" ca="1" si="2"/>
        <v>quarta-feira</v>
      </c>
      <c r="V11" s="12">
        <f ca="1">(SUMIFS(Dados!F11:F434,Dados!C11:C434,"iPhone",Dados!D11:D434,M11))/SUMIFS(Dados!K11:K434,Dados!C11:C434,"iPhone",Dados!D11:D434,M11)</f>
        <v>6.1190967074976448E-2</v>
      </c>
      <c r="W11" s="12"/>
      <c r="X11" s="12"/>
      <c r="Y11" s="12"/>
      <c r="Z11" s="12"/>
      <c r="AA11" s="12"/>
      <c r="AB11" s="12" t="str">
        <f ca="1">IFERROR(__xludf.DUMMYFUNCTION("""COMPUTED_VALUE"""),"Vídeo 18")</f>
        <v>Vídeo 18</v>
      </c>
      <c r="AC11" s="17">
        <f ca="1">SUMIF(Dados!A11:A434,AB11,Dados!M11:M434)</f>
        <v>6.5972222222222213E-4</v>
      </c>
      <c r="AD11" s="12" t="s">
        <v>70</v>
      </c>
      <c r="AE11" s="17">
        <v>1.2152777777777778E-3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ht="12.75" x14ac:dyDescent="0.2">
      <c r="A12" s="12" t="str">
        <f ca="1">IFERROR(__xludf.DUMMYFUNCTION("""COMPUTED_VALUE"""),"Vídeo 19")</f>
        <v>Vídeo 19</v>
      </c>
      <c r="B12" s="12">
        <f ca="1">SUMIF(Dados!A12:A435,A12,Dados!E12:E435)</f>
        <v>393221</v>
      </c>
      <c r="C12" s="12" t="s">
        <v>85</v>
      </c>
      <c r="D12" s="12">
        <v>499023</v>
      </c>
      <c r="E12" s="12"/>
      <c r="F12" s="12"/>
      <c r="G12" s="12"/>
      <c r="H12" s="12"/>
      <c r="I12" s="12"/>
      <c r="J12" s="12"/>
      <c r="K12" s="12"/>
      <c r="L12" s="12"/>
      <c r="M12" s="14">
        <f ca="1">IFERROR(__xludf.DUMMYFUNCTION("""COMPUTED_VALUE"""),42992)</f>
        <v>42992</v>
      </c>
      <c r="N12" s="12">
        <f ca="1">SUMIF(Dados!D12:D435,M12,Dados!F12:F435)/SUMIF(Dados!D12:D435,M12,Dados!K12:K435)</f>
        <v>5.0065084610769001E-2</v>
      </c>
      <c r="O12" s="14">
        <v>43005</v>
      </c>
      <c r="P12" s="12">
        <v>3.9900249376538653E-2</v>
      </c>
      <c r="Q12" s="15" t="str">
        <f t="shared" ca="1" si="0"/>
        <v>quinta-feira</v>
      </c>
      <c r="R12" s="12">
        <f ca="1">SUMIF(Dados!D12:D435,M12,Dados!K12:K435)</f>
        <v>39948</v>
      </c>
      <c r="S12" s="12"/>
      <c r="T12" s="12"/>
      <c r="U12" s="15" t="str">
        <f t="shared" ca="1" si="2"/>
        <v>quinta-feira</v>
      </c>
      <c r="V12" s="12">
        <f ca="1">(SUMIFS(Dados!F12:F435,Dados!C12:C435,"iPhone",Dados!D12:D435,M12))/SUMIFS(Dados!K12:K435,Dados!C12:C435,"iPhone",Dados!D12:D435,M12)</f>
        <v>6.2059867761148441E-2</v>
      </c>
      <c r="W12" s="12"/>
      <c r="X12" s="12"/>
      <c r="Y12" s="12"/>
      <c r="Z12" s="12"/>
      <c r="AA12" s="12"/>
      <c r="AB12" s="12" t="str">
        <f ca="1">IFERROR(__xludf.DUMMYFUNCTION("""COMPUTED_VALUE"""),"Vídeo 19")</f>
        <v>Vídeo 19</v>
      </c>
      <c r="AC12" s="17">
        <f ca="1">SUMIF(Dados!A12:A435,AB12,Dados!M12:M435)</f>
        <v>2.0601851851851853E-3</v>
      </c>
      <c r="AD12" s="12" t="s">
        <v>61</v>
      </c>
      <c r="AE12" s="17">
        <v>1.1805555555555556E-3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ht="12.75" x14ac:dyDescent="0.2">
      <c r="A13" s="12" t="str">
        <f ca="1">IFERROR(__xludf.DUMMYFUNCTION("""COMPUTED_VALUE"""),"Vídeo 2")</f>
        <v>Vídeo 2</v>
      </c>
      <c r="B13" s="12">
        <f ca="1">SUMIF(Dados!A13:A436,A13,Dados!E13:E436)</f>
        <v>359973</v>
      </c>
      <c r="C13" s="12" t="s">
        <v>56</v>
      </c>
      <c r="D13" s="12">
        <v>493103</v>
      </c>
      <c r="E13" s="12"/>
      <c r="F13" s="12"/>
      <c r="G13" s="12"/>
      <c r="H13" s="12"/>
      <c r="I13" s="12"/>
      <c r="J13" s="12"/>
      <c r="K13" s="12"/>
      <c r="L13" s="12"/>
      <c r="M13" s="14">
        <f ca="1">IFERROR(__xludf.DUMMYFUNCTION("""COMPUTED_VALUE"""),42993)</f>
        <v>42993</v>
      </c>
      <c r="N13" s="12">
        <f ca="1">SUMIF(Dados!D13:D436,M13,Dados!F13:F436)/SUMIF(Dados!D13:D436,M13,Dados!K13:K436)</f>
        <v>1.7001887210007314E-2</v>
      </c>
      <c r="O13" s="14">
        <v>43008</v>
      </c>
      <c r="P13" s="12">
        <v>3.7531902117662511E-2</v>
      </c>
      <c r="Q13" s="15" t="str">
        <f t="shared" ca="1" si="0"/>
        <v>sexta-feira</v>
      </c>
      <c r="R13" s="12">
        <f ca="1">SUMIF(Dados!D13:D436,M13,Dados!K13:K436)</f>
        <v>117634</v>
      </c>
      <c r="S13" s="12"/>
      <c r="T13" s="12"/>
      <c r="U13" s="15" t="str">
        <f t="shared" ca="1" si="2"/>
        <v>sexta-feira</v>
      </c>
      <c r="V13" s="12">
        <f ca="1">(SUMIFS(Dados!F13:F436,Dados!C13:C436,"iPhone",Dados!D13:D436,M13))/SUMIFS(Dados!K13:K436,Dados!C13:C436,"iPhone",Dados!D13:D436,M13)</f>
        <v>2.2635862977912324E-2</v>
      </c>
      <c r="W13" s="12"/>
      <c r="X13" s="12"/>
      <c r="Y13" s="12"/>
      <c r="Z13" s="12"/>
      <c r="AA13" s="12"/>
      <c r="AB13" s="12" t="str">
        <f ca="1">IFERROR(__xludf.DUMMYFUNCTION("""COMPUTED_VALUE"""),"Vídeo 2")</f>
        <v>Vídeo 2</v>
      </c>
      <c r="AC13" s="17">
        <f ca="1">SUMIF(Dados!A13:A436,AB13,Dados!M13:M436)</f>
        <v>4.861111111111111E-4</v>
      </c>
      <c r="AD13" s="12" t="s">
        <v>33</v>
      </c>
      <c r="AE13" s="17">
        <v>1.0648148148148149E-3</v>
      </c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ht="12.75" x14ac:dyDescent="0.2">
      <c r="A14" s="12" t="str">
        <f ca="1">IFERROR(__xludf.DUMMYFUNCTION("""COMPUTED_VALUE"""),"Vídeo 20")</f>
        <v>Vídeo 20</v>
      </c>
      <c r="B14" s="12">
        <f ca="1">SUMIF(Dados!A14:A437,A14,Dados!E14:E437)</f>
        <v>448219</v>
      </c>
      <c r="C14" s="12" t="s">
        <v>71</v>
      </c>
      <c r="D14" s="12">
        <v>487545</v>
      </c>
      <c r="E14" s="12"/>
      <c r="F14" s="12"/>
      <c r="G14" s="12"/>
      <c r="H14" s="12"/>
      <c r="I14" s="12"/>
      <c r="J14" s="12"/>
      <c r="K14" s="12"/>
      <c r="L14" s="12"/>
      <c r="M14" s="14">
        <f ca="1">IFERROR(__xludf.DUMMYFUNCTION("""COMPUTED_VALUE"""),42980)</f>
        <v>42980</v>
      </c>
      <c r="N14" s="12">
        <f ca="1">SUMIF(Dados!D14:D437,M14,Dados!F14:F437)/SUMIF(Dados!D14:D437,M14,Dados!K14:K437)</f>
        <v>2.735154946378655E-2</v>
      </c>
      <c r="O14" s="14">
        <v>43004</v>
      </c>
      <c r="P14" s="12">
        <v>3.6593844915468215E-2</v>
      </c>
      <c r="Q14" s="15" t="str">
        <f t="shared" ca="1" si="0"/>
        <v>sábado</v>
      </c>
      <c r="R14" s="12">
        <f ca="1">SUMIF(Dados!D14:D437,M14,Dados!K14:K437)</f>
        <v>73122</v>
      </c>
      <c r="S14" s="12"/>
      <c r="T14" s="12"/>
      <c r="U14" s="15" t="str">
        <f t="shared" ca="1" si="2"/>
        <v>sábado</v>
      </c>
      <c r="V14" s="12">
        <f ca="1">(SUMIFS(Dados!F14:F437,Dados!C14:C437,"iPhone",Dados!D14:D437,M14))/SUMIFS(Dados!K14:K437,Dados!C14:C437,"iPhone",Dados!D14:D437,M14)</f>
        <v>3.0020902869545611E-2</v>
      </c>
      <c r="W14" s="12"/>
      <c r="X14" s="12"/>
      <c r="Y14" s="12"/>
      <c r="Z14" s="12"/>
      <c r="AA14" s="12"/>
      <c r="AB14" s="12" t="str">
        <f ca="1">IFERROR(__xludf.DUMMYFUNCTION("""COMPUTED_VALUE"""),"Vídeo 20")</f>
        <v>Vídeo 20</v>
      </c>
      <c r="AC14" s="17">
        <f ca="1">SUMIF(Dados!A14:A437,AB14,Dados!M14:M437)</f>
        <v>1.0300925925925924E-3</v>
      </c>
      <c r="AD14" s="12" t="s">
        <v>54</v>
      </c>
      <c r="AE14" s="17">
        <v>1.0416666666666669E-3</v>
      </c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ht="12.75" x14ac:dyDescent="0.2">
      <c r="A15" s="12" t="str">
        <f ca="1">IFERROR(__xludf.DUMMYFUNCTION("""COMPUTED_VALUE"""),"Vídeo 21")</f>
        <v>Vídeo 21</v>
      </c>
      <c r="B15" s="12">
        <f ca="1">SUMIF(Dados!A15:A438,A15,Dados!E15:E438)</f>
        <v>508393</v>
      </c>
      <c r="C15" s="12" t="s">
        <v>59</v>
      </c>
      <c r="D15" s="12">
        <v>477397</v>
      </c>
      <c r="E15" s="12"/>
      <c r="F15" s="12"/>
      <c r="G15" s="12"/>
      <c r="H15" s="12"/>
      <c r="I15" s="12"/>
      <c r="J15" s="12"/>
      <c r="K15" s="12"/>
      <c r="L15" s="12"/>
      <c r="M15" s="14">
        <f ca="1">IFERROR(__xludf.DUMMYFUNCTION("""COMPUTED_VALUE"""),42994)</f>
        <v>42994</v>
      </c>
      <c r="N15" s="12">
        <f ca="1">SUMIF(Dados!D15:D438,M15,Dados!F15:F438)/SUMIF(Dados!D15:D438,M15,Dados!K15:K438)</f>
        <v>3.5794183444724827E-2</v>
      </c>
      <c r="O15" s="14">
        <v>42995</v>
      </c>
      <c r="P15" s="12">
        <v>3.6334568707379548E-2</v>
      </c>
      <c r="Q15" s="15" t="str">
        <f t="shared" ca="1" si="0"/>
        <v>sábado</v>
      </c>
      <c r="R15" s="12">
        <f ca="1">SUMIF(Dados!D15:D438,M15,Dados!K15:K438)</f>
        <v>55875</v>
      </c>
      <c r="S15" s="12"/>
      <c r="T15" s="12"/>
      <c r="U15" s="15" t="str">
        <f t="shared" ca="1" si="2"/>
        <v>sábado</v>
      </c>
      <c r="V15" s="12">
        <f ca="1">(SUMIFS(Dados!F15:F438,Dados!C15:C438,"iPhone",Dados!D15:D438,M15))/SUMIFS(Dados!K15:K438,Dados!C15:C438,"iPhone",Dados!D15:D438,M15)</f>
        <v>3.9457909567336989E-2</v>
      </c>
      <c r="W15" s="12"/>
      <c r="X15" s="12"/>
      <c r="Y15" s="12"/>
      <c r="Z15" s="12"/>
      <c r="AA15" s="12"/>
      <c r="AB15" s="12" t="str">
        <f ca="1">IFERROR(__xludf.DUMMYFUNCTION("""COMPUTED_VALUE"""),"Vídeo 21")</f>
        <v>Vídeo 21</v>
      </c>
      <c r="AC15" s="17">
        <f ca="1">SUMIF(Dados!A15:A438,AB15,Dados!M15:M438)</f>
        <v>7.6388888888888882E-4</v>
      </c>
      <c r="AD15" s="12" t="s">
        <v>40</v>
      </c>
      <c r="AE15" s="17">
        <v>1.0300925925925924E-3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 ht="12.75" x14ac:dyDescent="0.2">
      <c r="A16" s="12" t="str">
        <f ca="1">IFERROR(__xludf.DUMMYFUNCTION("""COMPUTED_VALUE"""),"Vídeo 22")</f>
        <v>Vídeo 22</v>
      </c>
      <c r="B16" s="12">
        <f ca="1">SUMIF(Dados!A16:A439,A16,Dados!E16:E439)</f>
        <v>329830</v>
      </c>
      <c r="C16" s="12" t="s">
        <v>69</v>
      </c>
      <c r="D16" s="12">
        <v>476392</v>
      </c>
      <c r="E16" s="12"/>
      <c r="F16" s="12"/>
      <c r="G16" s="12"/>
      <c r="H16" s="12"/>
      <c r="I16" s="12"/>
      <c r="J16" s="12"/>
      <c r="K16" s="12"/>
      <c r="L16" s="12"/>
      <c r="M16" s="14">
        <f ca="1">IFERROR(__xludf.DUMMYFUNCTION("""COMPUTED_VALUE"""),42995)</f>
        <v>42995</v>
      </c>
      <c r="N16" s="12">
        <f ca="1">SUMIF(Dados!D16:D439,M16,Dados!F16:F439)/SUMIF(Dados!D16:D439,M16,Dados!K16:K439)</f>
        <v>3.6334568707379548E-2</v>
      </c>
      <c r="O16" s="14">
        <v>42994</v>
      </c>
      <c r="P16" s="12">
        <v>3.5794183444724827E-2</v>
      </c>
      <c r="Q16" s="15" t="str">
        <f t="shared" ca="1" si="0"/>
        <v>domingo</v>
      </c>
      <c r="R16" s="12">
        <f ca="1">SUMIF(Dados!D16:D439,M16,Dados!K16:K439)</f>
        <v>55044</v>
      </c>
      <c r="S16" s="12"/>
      <c r="T16" s="12"/>
      <c r="U16" s="15" t="str">
        <f t="shared" ca="1" si="2"/>
        <v>domingo</v>
      </c>
      <c r="V16" s="12">
        <f ca="1">(SUMIFS(Dados!F16:F439,Dados!C16:C439,"iPhone",Dados!D16:D439,M16))/SUMIFS(Dados!K16:K439,Dados!C16:C439,"iPhone",Dados!D16:D439,M16)</f>
        <v>4.2781431433275022E-2</v>
      </c>
      <c r="W16" s="12"/>
      <c r="X16" s="12"/>
      <c r="Y16" s="12"/>
      <c r="Z16" s="12"/>
      <c r="AA16" s="12"/>
      <c r="AB16" s="12" t="str">
        <f ca="1">IFERROR(__xludf.DUMMYFUNCTION("""COMPUTED_VALUE"""),"Vídeo 22")</f>
        <v>Vídeo 22</v>
      </c>
      <c r="AC16" s="17">
        <f ca="1">SUMIF(Dados!A16:A439,AB16,Dados!M16:M439)</f>
        <v>6.018518518518519E-4</v>
      </c>
      <c r="AD16" s="12" t="s">
        <v>56</v>
      </c>
      <c r="AE16" s="17">
        <v>1.0069444444444444E-3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1:43" ht="12.75" x14ac:dyDescent="0.2">
      <c r="A17" s="12" t="str">
        <f ca="1">IFERROR(__xludf.DUMMYFUNCTION("""COMPUTED_VALUE"""),"Vídeo 23")</f>
        <v>Vídeo 23</v>
      </c>
      <c r="B17" s="12">
        <f ca="1">SUMIF(Dados!A17:A440,A17,Dados!E17:E440)</f>
        <v>576622</v>
      </c>
      <c r="C17" s="12" t="s">
        <v>48</v>
      </c>
      <c r="D17" s="12">
        <v>454641</v>
      </c>
      <c r="E17" s="12"/>
      <c r="F17" s="12"/>
      <c r="G17" s="12"/>
      <c r="H17" s="12"/>
      <c r="I17" s="12"/>
      <c r="J17" s="12"/>
      <c r="K17" s="12"/>
      <c r="L17" s="12"/>
      <c r="M17" s="14">
        <f ca="1">IFERROR(__xludf.DUMMYFUNCTION("""COMPUTED_VALUE"""),42996)</f>
        <v>42996</v>
      </c>
      <c r="N17" s="12">
        <f ca="1">SUMIF(Dados!D17:D440,M17,Dados!F17:F440)/SUMIF(Dados!D17:D440,M17,Dados!K17:K440)</f>
        <v>2.381122461061504E-2</v>
      </c>
      <c r="O17" s="14">
        <v>42983</v>
      </c>
      <c r="P17" s="12">
        <v>3.3718852209495227E-2</v>
      </c>
      <c r="Q17" s="15" t="str">
        <f t="shared" ca="1" si="0"/>
        <v>segunda-feira</v>
      </c>
      <c r="R17" s="12">
        <f ca="1">SUMIF(Dados!D17:D440,M17,Dados!K17:K440)</f>
        <v>83994</v>
      </c>
      <c r="S17" s="12"/>
      <c r="T17" s="12"/>
      <c r="U17" s="15" t="str">
        <f t="shared" ca="1" si="2"/>
        <v>segunda-feira</v>
      </c>
      <c r="V17" s="12">
        <f ca="1">(SUMIFS(Dados!F17:F440,Dados!C17:C440,"iPhone",Dados!D17:D440,M17))/SUMIFS(Dados!K17:K440,Dados!C17:C440,"iPhone",Dados!D17:D440,M17)</f>
        <v>2.7889501521152632E-2</v>
      </c>
      <c r="W17" s="12"/>
      <c r="X17" s="12"/>
      <c r="Y17" s="12"/>
      <c r="Z17" s="12"/>
      <c r="AA17" s="12"/>
      <c r="AB17" s="12" t="str">
        <f ca="1">IFERROR(__xludf.DUMMYFUNCTION("""COMPUTED_VALUE"""),"Vídeo 23")</f>
        <v>Vídeo 23</v>
      </c>
      <c r="AC17" s="17">
        <f ca="1">SUMIF(Dados!A17:A440,AB17,Dados!M17:M440)</f>
        <v>1.3310185185185185E-3</v>
      </c>
      <c r="AD17" s="12" t="s">
        <v>27</v>
      </c>
      <c r="AE17" s="17">
        <v>9.2592592592592596E-4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 ht="12.75" x14ac:dyDescent="0.2">
      <c r="A18" s="12" t="str">
        <f ca="1">IFERROR(__xludf.DUMMYFUNCTION("""COMPUTED_VALUE"""),"Vídeo 24")</f>
        <v>Vídeo 24</v>
      </c>
      <c r="B18" s="12">
        <f ca="1">SUMIF(Dados!A18:A441,A18,Dados!E18:E441)</f>
        <v>313219</v>
      </c>
      <c r="C18" s="12" t="s">
        <v>57</v>
      </c>
      <c r="D18" s="12">
        <v>453216</v>
      </c>
      <c r="E18" s="12"/>
      <c r="F18" s="12"/>
      <c r="G18" s="12"/>
      <c r="H18" s="12"/>
      <c r="I18" s="12"/>
      <c r="J18" s="12"/>
      <c r="K18" s="12"/>
      <c r="L18" s="12"/>
      <c r="M18" s="14">
        <f ca="1">IFERROR(__xludf.DUMMYFUNCTION("""COMPUTED_VALUE"""),42997)</f>
        <v>42997</v>
      </c>
      <c r="N18" s="12">
        <f ca="1">SUMIF(Dados!D18:D441,M18,Dados!F18:F441)/SUMIF(Dados!D18:D441,M18,Dados!K18:K441)</f>
        <v>3.3145508784305604E-2</v>
      </c>
      <c r="O18" s="14">
        <v>42997</v>
      </c>
      <c r="P18" s="12">
        <v>3.3145508784305604E-2</v>
      </c>
      <c r="Q18" s="15" t="str">
        <f t="shared" ca="1" si="0"/>
        <v>terça-feira</v>
      </c>
      <c r="R18" s="12">
        <f ca="1">SUMIF(Dados!D18:D441,M18,Dados!K18:K441)</f>
        <v>60340</v>
      </c>
      <c r="S18" s="12"/>
      <c r="T18" s="12"/>
      <c r="U18" s="15" t="str">
        <f t="shared" ca="1" si="2"/>
        <v>terça-feira</v>
      </c>
      <c r="V18" s="12">
        <f ca="1">(SUMIFS(Dados!F18:F441,Dados!C18:C441,"iPhone",Dados!D18:D441,M18))/SUMIFS(Dados!K18:K441,Dados!C18:C441,"iPhone",Dados!D18:D441,M18)</f>
        <v>4.8397662310520367E-2</v>
      </c>
      <c r="W18" s="12"/>
      <c r="X18" s="12"/>
      <c r="Y18" s="12"/>
      <c r="Z18" s="12"/>
      <c r="AA18" s="12"/>
      <c r="AB18" s="12" t="str">
        <f ca="1">IFERROR(__xludf.DUMMYFUNCTION("""COMPUTED_VALUE"""),"Vídeo 24")</f>
        <v>Vídeo 24</v>
      </c>
      <c r="AC18" s="17">
        <f ca="1">SUMIF(Dados!A18:A441,AB18,Dados!M18:M441)</f>
        <v>5.0925925925925921E-4</v>
      </c>
      <c r="AD18" s="12" t="s">
        <v>52</v>
      </c>
      <c r="AE18" s="17">
        <v>9.2592592592592596E-4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 ht="12.75" x14ac:dyDescent="0.2">
      <c r="A19" s="12" t="str">
        <f ca="1">IFERROR(__xludf.DUMMYFUNCTION("""COMPUTED_VALUE"""),"Vídeo 25")</f>
        <v>Vídeo 25</v>
      </c>
      <c r="B19" s="12">
        <f ca="1">SUMIF(Dados!A19:A442,A19,Dados!E19:E442)</f>
        <v>350286</v>
      </c>
      <c r="C19" s="12" t="s">
        <v>66</v>
      </c>
      <c r="D19" s="12">
        <v>448413</v>
      </c>
      <c r="E19" s="12"/>
      <c r="F19" s="12"/>
      <c r="G19" s="12"/>
      <c r="H19" s="12"/>
      <c r="I19" s="12"/>
      <c r="J19" s="12"/>
      <c r="K19" s="12"/>
      <c r="L19" s="12"/>
      <c r="M19" s="14">
        <f ca="1">IFERROR(__xludf.DUMMYFUNCTION("""COMPUTED_VALUE"""),42998)</f>
        <v>42998</v>
      </c>
      <c r="N19" s="12">
        <f ca="1">SUMIF(Dados!D19:D442,M19,Dados!F19:F442)/SUMIF(Dados!D19:D442,M19,Dados!K19:K442)</f>
        <v>1.8208634534787597E-2</v>
      </c>
      <c r="O19" s="14">
        <v>42999</v>
      </c>
      <c r="P19" s="12">
        <v>3.1721862707016879E-2</v>
      </c>
      <c r="Q19" s="15" t="str">
        <f t="shared" ca="1" si="0"/>
        <v>quarta-feira</v>
      </c>
      <c r="R19" s="12">
        <f ca="1">SUMIF(Dados!D19:D442,M19,Dados!K19:K442)</f>
        <v>109838</v>
      </c>
      <c r="S19" s="12"/>
      <c r="T19" s="12"/>
      <c r="U19" s="15" t="str">
        <f t="shared" ca="1" si="2"/>
        <v>quarta-feira</v>
      </c>
      <c r="V19" s="12">
        <f ca="1">(SUMIFS(Dados!F19:F442,Dados!C19:C442,"iPhone",Dados!D19:D442,M19))/SUMIFS(Dados!K19:K442,Dados!C19:C442,"iPhone",Dados!D19:D442,M19)</f>
        <v>2.3339070647868412E-2</v>
      </c>
      <c r="W19" s="12"/>
      <c r="X19" s="12"/>
      <c r="Y19" s="12"/>
      <c r="Z19" s="12"/>
      <c r="AA19" s="12"/>
      <c r="AB19" s="12" t="str">
        <f ca="1">IFERROR(__xludf.DUMMYFUNCTION("""COMPUTED_VALUE"""),"Vídeo 25")</f>
        <v>Vídeo 25</v>
      </c>
      <c r="AC19" s="17">
        <f ca="1">SUMIF(Dados!A19:A442,AB19,Dados!M19:M442)</f>
        <v>5.6712962962962967E-4</v>
      </c>
      <c r="AD19" s="12" t="s">
        <v>83</v>
      </c>
      <c r="AE19" s="17">
        <v>8.9120370370370362E-4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 ht="12.75" x14ac:dyDescent="0.2">
      <c r="A20" s="12" t="str">
        <f ca="1">IFERROR(__xludf.DUMMYFUNCTION("""COMPUTED_VALUE"""),"Vídeo 26")</f>
        <v>Vídeo 26</v>
      </c>
      <c r="B20" s="12">
        <f ca="1">SUMIF(Dados!A20:A443,A20,Dados!E20:E443)</f>
        <v>355561</v>
      </c>
      <c r="C20" s="12" t="s">
        <v>40</v>
      </c>
      <c r="D20" s="12">
        <v>448219</v>
      </c>
      <c r="E20" s="12"/>
      <c r="F20" s="12"/>
      <c r="G20" s="12"/>
      <c r="H20" s="12"/>
      <c r="I20" s="12"/>
      <c r="J20" s="12"/>
      <c r="K20" s="12"/>
      <c r="L20" s="12"/>
      <c r="M20" s="14">
        <f ca="1">IFERROR(__xludf.DUMMYFUNCTION("""COMPUTED_VALUE"""),42999)</f>
        <v>42999</v>
      </c>
      <c r="N20" s="12">
        <f ca="1">SUMIF(Dados!D20:D443,M20,Dados!F20:F443)/SUMIF(Dados!D20:D443,M20,Dados!K20:K443)</f>
        <v>3.1721862707016879E-2</v>
      </c>
      <c r="O20" s="14">
        <v>42986</v>
      </c>
      <c r="P20" s="12">
        <v>3.0817115826376366E-2</v>
      </c>
      <c r="Q20" s="15" t="str">
        <f t="shared" ca="1" si="0"/>
        <v>quinta-feira</v>
      </c>
      <c r="R20" s="12">
        <f ca="1">SUMIF(Dados!D20:D443,M20,Dados!K20:K443)</f>
        <v>63048</v>
      </c>
      <c r="S20" s="12"/>
      <c r="T20" s="12"/>
      <c r="U20" s="15" t="str">
        <f t="shared" ca="1" si="2"/>
        <v>quinta-feira</v>
      </c>
      <c r="V20" s="12">
        <f ca="1">(SUMIFS(Dados!F20:F443,Dados!C20:C443,"iPhone",Dados!D20:D443,M20))/SUMIFS(Dados!K20:K443,Dados!C20:C443,"iPhone",Dados!D20:D443,M20)</f>
        <v>3.8684040020151134E-2</v>
      </c>
      <c r="W20" s="12"/>
      <c r="X20" s="12"/>
      <c r="Y20" s="12"/>
      <c r="Z20" s="12"/>
      <c r="AA20" s="12"/>
      <c r="AB20" s="12" t="str">
        <f ca="1">IFERROR(__xludf.DUMMYFUNCTION("""COMPUTED_VALUE"""),"Vídeo 26")</f>
        <v>Vídeo 26</v>
      </c>
      <c r="AC20" s="17">
        <f ca="1">SUMIF(Dados!A20:A443,AB20,Dados!M20:M443)</f>
        <v>5.7870370370370367E-4</v>
      </c>
      <c r="AD20" s="12" t="s">
        <v>73</v>
      </c>
      <c r="AE20" s="17">
        <v>8.9120370370370352E-4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 ht="12.75" x14ac:dyDescent="0.2">
      <c r="A21" s="12" t="str">
        <f ca="1">IFERROR(__xludf.DUMMYFUNCTION("""COMPUTED_VALUE"""),"Vídeo 27")</f>
        <v>Vídeo 27</v>
      </c>
      <c r="B21" s="12">
        <f ca="1">SUMIF(Dados!A21:A444,A21,Dados!E21:E444)</f>
        <v>301934</v>
      </c>
      <c r="C21" s="12" t="s">
        <v>35</v>
      </c>
      <c r="D21" s="12">
        <v>443237</v>
      </c>
      <c r="E21" s="12"/>
      <c r="F21" s="12"/>
      <c r="G21" s="12"/>
      <c r="H21" s="12"/>
      <c r="I21" s="12"/>
      <c r="J21" s="12"/>
      <c r="K21" s="12"/>
      <c r="L21" s="12"/>
      <c r="M21" s="14">
        <f ca="1">IFERROR(__xludf.DUMMYFUNCTION("""COMPUTED_VALUE"""),43000)</f>
        <v>43000</v>
      </c>
      <c r="N21" s="12">
        <f ca="1">SUMIF(Dados!D21:D444,M21,Dados!F21:F444)/SUMIF(Dados!D21:D444,M21,Dados!K21:K444)</f>
        <v>2.3988869164059876E-2</v>
      </c>
      <c r="O21" s="14">
        <v>42990</v>
      </c>
      <c r="P21" s="12">
        <v>2.9003161344543057E-2</v>
      </c>
      <c r="Q21" s="15" t="str">
        <f t="shared" ca="1" si="0"/>
        <v>sexta-feira</v>
      </c>
      <c r="R21" s="12">
        <f ca="1">SUMIF(Dados!D21:D444,M21,Dados!K21:K444)</f>
        <v>83372</v>
      </c>
      <c r="S21" s="12"/>
      <c r="T21" s="12"/>
      <c r="U21" s="15" t="str">
        <f t="shared" ca="1" si="2"/>
        <v>sexta-feira</v>
      </c>
      <c r="V21" s="12">
        <f ca="1">(SUMIFS(Dados!F21:F444,Dados!C21:C444,"iPhone",Dados!D21:D444,M21))/SUMIFS(Dados!K21:K444,Dados!C21:C444,"iPhone",Dados!D21:D444,M21)</f>
        <v>2.3572289636027147E-2</v>
      </c>
      <c r="W21" s="12"/>
      <c r="X21" s="12"/>
      <c r="Y21" s="12"/>
      <c r="Z21" s="12"/>
      <c r="AA21" s="12"/>
      <c r="AB21" s="12" t="str">
        <f ca="1">IFERROR(__xludf.DUMMYFUNCTION("""COMPUTED_VALUE"""),"Vídeo 27")</f>
        <v>Vídeo 27</v>
      </c>
      <c r="AC21" s="17">
        <f ca="1">SUMIF(Dados!A21:A444,AB21,Dados!M21:M444)</f>
        <v>6.134259259259259E-4</v>
      </c>
      <c r="AD21" s="12" t="s">
        <v>31</v>
      </c>
      <c r="AE21" s="17">
        <v>8.5648148148148139E-4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43" ht="12.75" x14ac:dyDescent="0.2">
      <c r="A22" s="12" t="str">
        <f ca="1">IFERROR(__xludf.DUMMYFUNCTION("""COMPUTED_VALUE"""),"Vídeo 28")</f>
        <v>Vídeo 28</v>
      </c>
      <c r="B22" s="12">
        <f ca="1">SUMIF(Dados!A22:A445,A22,Dados!E22:E445)</f>
        <v>454641</v>
      </c>
      <c r="C22" s="12" t="s">
        <v>53</v>
      </c>
      <c r="D22" s="12">
        <v>438347</v>
      </c>
      <c r="E22" s="12"/>
      <c r="F22" s="12"/>
      <c r="G22" s="12"/>
      <c r="H22" s="12"/>
      <c r="I22" s="12"/>
      <c r="J22" s="12"/>
      <c r="K22" s="12"/>
      <c r="L22" s="12"/>
      <c r="M22" s="14">
        <f ca="1">IFERROR(__xludf.DUMMYFUNCTION("""COMPUTED_VALUE"""),43001)</f>
        <v>43001</v>
      </c>
      <c r="N22" s="12">
        <f ca="1">SUMIF(Dados!D22:D445,M22,Dados!F22:F445)/SUMIF(Dados!D22:D445,M22,Dados!K22:K445)</f>
        <v>4.0952556462436271E-2</v>
      </c>
      <c r="O22" s="14">
        <v>42980</v>
      </c>
      <c r="P22" s="12">
        <v>2.735154946378655E-2</v>
      </c>
      <c r="Q22" s="15" t="str">
        <f t="shared" ca="1" si="0"/>
        <v>sábado</v>
      </c>
      <c r="R22" s="12">
        <f ca="1">SUMIF(Dados!D22:D445,M22,Dados!K22:K445)</f>
        <v>48837</v>
      </c>
      <c r="S22" s="12"/>
      <c r="T22" s="12"/>
      <c r="U22" s="15" t="str">
        <f t="shared" ca="1" si="2"/>
        <v>sábado</v>
      </c>
      <c r="V22" s="12">
        <f ca="1">(SUMIFS(Dados!F22:F445,Dados!C22:C445,"iPhone",Dados!D22:D445,M22))/SUMIFS(Dados!K22:K445,Dados!C22:C445,"iPhone",Dados!D22:D445,M22)</f>
        <v>6.1100193466539804E-2</v>
      </c>
      <c r="W22" s="12"/>
      <c r="X22" s="12"/>
      <c r="Y22" s="12"/>
      <c r="Z22" s="12"/>
      <c r="AA22" s="12"/>
      <c r="AB22" s="12" t="str">
        <f ca="1">IFERROR(__xludf.DUMMYFUNCTION("""COMPUTED_VALUE"""),"Vídeo 28")</f>
        <v>Vídeo 28</v>
      </c>
      <c r="AC22" s="17">
        <f ca="1">SUMIF(Dados!A22:A445,AB22,Dados!M22:M445)</f>
        <v>6.9444444444444436E-4</v>
      </c>
      <c r="AD22" s="12" t="s">
        <v>18</v>
      </c>
      <c r="AE22" s="17">
        <v>8.4490740740740728E-4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1:43" ht="12.75" x14ac:dyDescent="0.2">
      <c r="A23" s="12" t="str">
        <f ca="1">IFERROR(__xludf.DUMMYFUNCTION("""COMPUTED_VALUE"""),"Vídeo 29")</f>
        <v>Vídeo 29</v>
      </c>
      <c r="B23" s="12">
        <f ca="1">SUMIF(Dados!A23:A446,A23,Dados!E23:E446)</f>
        <v>313404</v>
      </c>
      <c r="C23" s="12" t="s">
        <v>60</v>
      </c>
      <c r="D23" s="12">
        <v>436051</v>
      </c>
      <c r="E23" s="12"/>
      <c r="F23" s="12"/>
      <c r="G23" s="12"/>
      <c r="H23" s="12"/>
      <c r="I23" s="12"/>
      <c r="J23" s="12"/>
      <c r="K23" s="12"/>
      <c r="L23" s="12"/>
      <c r="M23" s="14">
        <f ca="1">IFERROR(__xludf.DUMMYFUNCTION("""COMPUTED_VALUE"""),43002)</f>
        <v>43002</v>
      </c>
      <c r="N23" s="12">
        <f ca="1">SUMIF(Dados!D23:D446,M23,Dados!F23:F446)/SUMIF(Dados!D23:D446,M23,Dados!K23:K446)</f>
        <v>2.0259114069286172E-2</v>
      </c>
      <c r="O23" s="14">
        <v>42988</v>
      </c>
      <c r="P23" s="12">
        <v>2.6900160056127182E-2</v>
      </c>
      <c r="Q23" s="15" t="str">
        <f t="shared" ca="1" si="0"/>
        <v>domingo</v>
      </c>
      <c r="R23" s="12">
        <f ca="1">SUMIF(Dados!D23:D446,M23,Dados!K23:K446)</f>
        <v>98721</v>
      </c>
      <c r="S23" s="12"/>
      <c r="T23" s="12"/>
      <c r="U23" s="15" t="str">
        <f t="shared" ca="1" si="2"/>
        <v>domingo</v>
      </c>
      <c r="V23" s="12">
        <f ca="1">(SUMIFS(Dados!F23:F446,Dados!C23:C446,"iPhone",Dados!D23:D446,M23))/SUMIFS(Dados!K23:K446,Dados!C23:C446,"iPhone",Dados!D23:D446,M23)</f>
        <v>2.4060566983783786E-2</v>
      </c>
      <c r="W23" s="12"/>
      <c r="X23" s="12"/>
      <c r="Y23" s="12"/>
      <c r="Z23" s="12"/>
      <c r="AA23" s="12"/>
      <c r="AB23" s="12" t="str">
        <f ca="1">IFERROR(__xludf.DUMMYFUNCTION("""COMPUTED_VALUE"""),"Vídeo 29")</f>
        <v>Vídeo 29</v>
      </c>
      <c r="AC23" s="17">
        <f ca="1">SUMIF(Dados!A23:A446,AB23,Dados!M23:M446)</f>
        <v>6.7129629629629625E-4</v>
      </c>
      <c r="AD23" s="12" t="s">
        <v>65</v>
      </c>
      <c r="AE23" s="17">
        <v>8.4490740740740728E-4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 ht="12.75" x14ac:dyDescent="0.2">
      <c r="A24" s="12" t="str">
        <f ca="1">IFERROR(__xludf.DUMMYFUNCTION("""COMPUTED_VALUE"""),"Vídeo 3")</f>
        <v>Vídeo 3</v>
      </c>
      <c r="B24" s="12">
        <f ca="1">SUMIF(Dados!A24:A447,A24,Dados!E24:E447)</f>
        <v>293261</v>
      </c>
      <c r="C24" s="12" t="s">
        <v>67</v>
      </c>
      <c r="D24" s="12">
        <v>432596</v>
      </c>
      <c r="E24" s="12"/>
      <c r="F24" s="12"/>
      <c r="G24" s="12"/>
      <c r="H24" s="12"/>
      <c r="I24" s="12"/>
      <c r="J24" s="12"/>
      <c r="K24" s="12"/>
      <c r="L24" s="12"/>
      <c r="M24" s="14">
        <f ca="1">IFERROR(__xludf.DUMMYFUNCTION("""COMPUTED_VALUE"""),43003)</f>
        <v>43003</v>
      </c>
      <c r="N24" s="12">
        <f ca="1">SUMIF(Dados!D24:D447,M24,Dados!F24:F447)/SUMIF(Dados!D24:D447,M24,Dados!K24:K447)</f>
        <v>5.0291691811707909E-2</v>
      </c>
      <c r="O24" s="14">
        <v>42982</v>
      </c>
      <c r="P24" s="12">
        <v>2.6870524376912844E-2</v>
      </c>
      <c r="Q24" s="15" t="str">
        <f t="shared" ca="1" si="0"/>
        <v>segunda-feira</v>
      </c>
      <c r="R24" s="12">
        <f ca="1">SUMIF(Dados!D24:D447,M24,Dados!K24:K447)</f>
        <v>39768</v>
      </c>
      <c r="S24" s="12"/>
      <c r="T24" s="12"/>
      <c r="U24" s="15" t="str">
        <f t="shared" ca="1" si="2"/>
        <v>segunda-feira</v>
      </c>
      <c r="V24" s="12">
        <f ca="1">(SUMIFS(Dados!F24:F447,Dados!C24:C447,"iPhone",Dados!D24:D447,M24))/SUMIFS(Dados!K24:K447,Dados!C24:C447,"iPhone",Dados!D24:D447,M24)</f>
        <v>5.2410946882756604E-2</v>
      </c>
      <c r="W24" s="12"/>
      <c r="X24" s="12"/>
      <c r="Y24" s="12"/>
      <c r="Z24" s="12"/>
      <c r="AA24" s="12"/>
      <c r="AB24" s="12" t="str">
        <f ca="1">IFERROR(__xludf.DUMMYFUNCTION("""COMPUTED_VALUE"""),"Vídeo 3")</f>
        <v>Vídeo 3</v>
      </c>
      <c r="AC24" s="17">
        <f ca="1">SUMIF(Dados!A24:A447,AB24,Dados!M24:M447)</f>
        <v>7.8703703703703705E-4</v>
      </c>
      <c r="AD24" s="12" t="s">
        <v>87</v>
      </c>
      <c r="AE24" s="17">
        <v>8.3333333333333328E-4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1:43" ht="12.75" x14ac:dyDescent="0.2">
      <c r="A25" s="12" t="str">
        <f ca="1">IFERROR(__xludf.DUMMYFUNCTION("""COMPUTED_VALUE"""),"Vídeo 30")</f>
        <v>Vídeo 30</v>
      </c>
      <c r="B25" s="12">
        <f ca="1">SUMIF(Dados!A25:A448,A25,Dados!E25:E448)</f>
        <v>590916</v>
      </c>
      <c r="C25" s="12" t="s">
        <v>77</v>
      </c>
      <c r="D25" s="12">
        <v>413963</v>
      </c>
      <c r="E25" s="12"/>
      <c r="F25" s="12"/>
      <c r="G25" s="12"/>
      <c r="H25" s="12"/>
      <c r="I25" s="12"/>
      <c r="J25" s="12"/>
      <c r="K25" s="12"/>
      <c r="L25" s="12"/>
      <c r="M25" s="14">
        <f ca="1">IFERROR(__xludf.DUMMYFUNCTION("""COMPUTED_VALUE"""),42981)</f>
        <v>42981</v>
      </c>
      <c r="N25" s="12">
        <f ca="1">SUMIF(Dados!D25:D448,M25,Dados!F25:F448)/SUMIF(Dados!D25:D448,M25,Dados!K25:K448)</f>
        <v>4.5996044341175657E-2</v>
      </c>
      <c r="O25" s="14">
        <v>43000</v>
      </c>
      <c r="P25" s="12">
        <v>2.3988869164059876E-2</v>
      </c>
      <c r="Q25" s="15" t="str">
        <f t="shared" ca="1" si="0"/>
        <v>domingo</v>
      </c>
      <c r="R25" s="12">
        <f ca="1">SUMIF(Dados!D25:D448,M25,Dados!K25:K448)</f>
        <v>43482</v>
      </c>
      <c r="S25" s="12"/>
      <c r="T25" s="12"/>
      <c r="U25" s="15" t="str">
        <f t="shared" ca="1" si="2"/>
        <v>domingo</v>
      </c>
      <c r="V25" s="12">
        <f ca="1">(SUMIFS(Dados!F25:F448,Dados!C25:C448,"iPhone",Dados!D25:D448,M25))/SUMIFS(Dados!K25:K448,Dados!C25:C448,"iPhone",Dados!D25:D448,M25)</f>
        <v>5.4264435393988959E-2</v>
      </c>
      <c r="W25" s="12"/>
      <c r="X25" s="12"/>
      <c r="Y25" s="12"/>
      <c r="Z25" s="12"/>
      <c r="AA25" s="12"/>
      <c r="AB25" s="12" t="str">
        <f ca="1">IFERROR(__xludf.DUMMYFUNCTION("""COMPUTED_VALUE"""),"Vídeo 30")</f>
        <v>Vídeo 30</v>
      </c>
      <c r="AC25" s="17">
        <f ca="1">SUMIF(Dados!A25:A448,AB25,Dados!M25:M448)</f>
        <v>1.6203703703703705E-3</v>
      </c>
      <c r="AD25" s="12" t="s">
        <v>34</v>
      </c>
      <c r="AE25" s="17">
        <v>8.2175925925925938E-4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1:43" ht="12.75" x14ac:dyDescent="0.2">
      <c r="A26" s="12" t="str">
        <f ca="1">IFERROR(__xludf.DUMMYFUNCTION("""COMPUTED_VALUE"""),"Vídeo 31")</f>
        <v>Vídeo 31</v>
      </c>
      <c r="B26" s="12">
        <f ca="1">SUMIF(Dados!A26:A449,A26,Dados!E26:E449)</f>
        <v>365362</v>
      </c>
      <c r="C26" s="12" t="s">
        <v>18</v>
      </c>
      <c r="D26" s="12">
        <v>411607</v>
      </c>
      <c r="E26" s="12"/>
      <c r="F26" s="12"/>
      <c r="G26" s="12"/>
      <c r="H26" s="12"/>
      <c r="I26" s="12"/>
      <c r="J26" s="12"/>
      <c r="K26" s="12"/>
      <c r="L26" s="12"/>
      <c r="M26" s="14">
        <f ca="1">IFERROR(__xludf.DUMMYFUNCTION("""COMPUTED_VALUE"""),43004)</f>
        <v>43004</v>
      </c>
      <c r="N26" s="12">
        <f ca="1">SUMIF(Dados!D26:D449,M26,Dados!F26:F449)/SUMIF(Dados!D26:D449,M26,Dados!K26:K449)</f>
        <v>3.6593844915468215E-2</v>
      </c>
      <c r="O26" s="14">
        <v>42996</v>
      </c>
      <c r="P26" s="12">
        <v>2.381122461061504E-2</v>
      </c>
      <c r="Q26" s="15" t="str">
        <f t="shared" ca="1" si="0"/>
        <v>terça-feira</v>
      </c>
      <c r="R26" s="12">
        <f ca="1">SUMIF(Dados!D26:D449,M26,Dados!K26:K449)</f>
        <v>54654</v>
      </c>
      <c r="S26" s="12"/>
      <c r="T26" s="12"/>
      <c r="U26" s="15" t="str">
        <f t="shared" ca="1" si="2"/>
        <v>terça-feira</v>
      </c>
      <c r="V26" s="12">
        <f ca="1">(SUMIFS(Dados!F26:F449,Dados!C26:C449,"iPhone",Dados!D26:D449,M26))/SUMIFS(Dados!K26:K449,Dados!C26:C449,"iPhone",Dados!D26:D449,M26)</f>
        <v>5.053267180668794E-2</v>
      </c>
      <c r="W26" s="12"/>
      <c r="X26" s="12"/>
      <c r="Y26" s="12"/>
      <c r="Z26" s="12"/>
      <c r="AA26" s="12"/>
      <c r="AB26" s="12" t="str">
        <f ca="1">IFERROR(__xludf.DUMMYFUNCTION("""COMPUTED_VALUE"""),"Vídeo 31")</f>
        <v>Vídeo 31</v>
      </c>
      <c r="AC26" s="17">
        <f ca="1">SUMIF(Dados!A26:A449,AB26,Dados!M26:M449)</f>
        <v>9.2592592592592596E-4</v>
      </c>
      <c r="AD26" s="12" t="s">
        <v>58</v>
      </c>
      <c r="AE26" s="17">
        <v>8.2175925925925927E-4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1:43" ht="12.75" x14ac:dyDescent="0.2">
      <c r="A27" s="12" t="str">
        <f ca="1">IFERROR(__xludf.DUMMYFUNCTION("""COMPUTED_VALUE"""),"Vídeo 32")</f>
        <v>Vídeo 32</v>
      </c>
      <c r="B27" s="12">
        <f ca="1">SUMIF(Dados!A27:A450,A27,Dados!E27:E450)</f>
        <v>438347</v>
      </c>
      <c r="C27" s="12" t="s">
        <v>38</v>
      </c>
      <c r="D27" s="12">
        <v>393221</v>
      </c>
      <c r="E27" s="12"/>
      <c r="F27" s="12"/>
      <c r="G27" s="12"/>
      <c r="H27" s="12"/>
      <c r="I27" s="12"/>
      <c r="J27" s="12"/>
      <c r="K27" s="12"/>
      <c r="L27" s="12"/>
      <c r="M27" s="14">
        <f ca="1">IFERROR(__xludf.DUMMYFUNCTION("""COMPUTED_VALUE"""),43005)</f>
        <v>43005</v>
      </c>
      <c r="N27" s="12">
        <f ca="1">SUMIF(Dados!D27:D450,M27,Dados!F27:F450)/SUMIF(Dados!D27:D450,M27,Dados!K27:K450)</f>
        <v>3.9900249376538653E-2</v>
      </c>
      <c r="O27" s="14">
        <v>43002</v>
      </c>
      <c r="P27" s="12">
        <v>2.0259114069286172E-2</v>
      </c>
      <c r="Q27" s="15" t="str">
        <f t="shared" ca="1" si="0"/>
        <v>quarta-feira</v>
      </c>
      <c r="R27" s="12">
        <f ca="1">SUMIF(Dados!D27:D450,M27,Dados!K27:K450)</f>
        <v>50125</v>
      </c>
      <c r="S27" s="12"/>
      <c r="T27" s="12"/>
      <c r="U27" s="15" t="str">
        <f t="shared" ca="1" si="2"/>
        <v>quarta-feira</v>
      </c>
      <c r="V27" s="12">
        <f ca="1">(SUMIFS(Dados!F27:F450,Dados!C27:C450,"iPhone",Dados!D27:D450,M27))/SUMIFS(Dados!K27:K450,Dados!C27:C450,"iPhone",Dados!D27:D450,M27)</f>
        <v>5.1443567452440032E-2</v>
      </c>
      <c r="W27" s="12"/>
      <c r="X27" s="12"/>
      <c r="Y27" s="12"/>
      <c r="Z27" s="12"/>
      <c r="AA27" s="12"/>
      <c r="AB27" s="12" t="str">
        <f ca="1">IFERROR(__xludf.DUMMYFUNCTION("""COMPUTED_VALUE"""),"Vídeo 32")</f>
        <v>Vídeo 32</v>
      </c>
      <c r="AC27" s="17">
        <f ca="1">SUMIF(Dados!A27:A450,AB27,Dados!M27:M450)</f>
        <v>6.134259259259259E-4</v>
      </c>
      <c r="AD27" s="12" t="s">
        <v>69</v>
      </c>
      <c r="AE27" s="17">
        <v>8.2175925925925927E-4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1:43" ht="12.75" x14ac:dyDescent="0.2">
      <c r="A28" s="12" t="str">
        <f ca="1">IFERROR(__xludf.DUMMYFUNCTION("""COMPUTED_VALUE"""),"Vídeo 33")</f>
        <v>Vídeo 33</v>
      </c>
      <c r="B28" s="12">
        <f ca="1">SUMIF(Dados!A28:A451,A28,Dados!E28:E451)</f>
        <v>369880</v>
      </c>
      <c r="C28" s="12" t="s">
        <v>34</v>
      </c>
      <c r="D28" s="12">
        <v>389669</v>
      </c>
      <c r="E28" s="12"/>
      <c r="F28" s="12"/>
      <c r="G28" s="12"/>
      <c r="H28" s="12"/>
      <c r="I28" s="12"/>
      <c r="J28" s="12"/>
      <c r="K28" s="12"/>
      <c r="L28" s="12"/>
      <c r="M28" s="14">
        <f ca="1">IFERROR(__xludf.DUMMYFUNCTION("""COMPUTED_VALUE"""),43006)</f>
        <v>43006</v>
      </c>
      <c r="N28" s="12">
        <f ca="1">SUMIF(Dados!D28:D451,M28,Dados!F28:F451)/SUMIF(Dados!D28:D451,M28,Dados!K28:K451)</f>
        <v>1.6934801016562234E-2</v>
      </c>
      <c r="O28" s="14">
        <v>42998</v>
      </c>
      <c r="P28" s="12">
        <v>1.8208634534787597E-2</v>
      </c>
      <c r="Q28" s="15" t="str">
        <f t="shared" ca="1" si="0"/>
        <v>quinta-feira</v>
      </c>
      <c r="R28" s="12">
        <f ca="1">SUMIF(Dados!D28:D451,M28,Dados!K28:K451)</f>
        <v>118100</v>
      </c>
      <c r="S28" s="12"/>
      <c r="T28" s="12"/>
      <c r="U28" s="15" t="str">
        <f t="shared" ca="1" si="2"/>
        <v>quinta-feira</v>
      </c>
      <c r="V28" s="12">
        <f ca="1">(SUMIFS(Dados!F28:F451,Dados!C28:C451,"iPhone",Dados!D28:D451,M28))/SUMIFS(Dados!K28:K451,Dados!C28:C451,"iPhone",Dados!D28:D451,M28)</f>
        <v>2.5564334529169931E-2</v>
      </c>
      <c r="W28" s="12"/>
      <c r="X28" s="12"/>
      <c r="Y28" s="12"/>
      <c r="Z28" s="12"/>
      <c r="AA28" s="12"/>
      <c r="AB28" s="12" t="str">
        <f ca="1">IFERROR(__xludf.DUMMYFUNCTION("""COMPUTED_VALUE"""),"Vídeo 33")</f>
        <v>Vídeo 33</v>
      </c>
      <c r="AC28" s="17">
        <f ca="1">SUMIF(Dados!A28:A451,AB28,Dados!M28:M451)</f>
        <v>1.0416666666666669E-3</v>
      </c>
      <c r="AD28" s="12" t="s">
        <v>57</v>
      </c>
      <c r="AE28" s="17">
        <v>8.1018518518518516E-4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ht="12.75" x14ac:dyDescent="0.2">
      <c r="A29" s="12" t="str">
        <f ca="1">IFERROR(__xludf.DUMMYFUNCTION("""COMPUTED_VALUE"""),"Vídeo 34")</f>
        <v>Vídeo 34</v>
      </c>
      <c r="B29" s="12">
        <f ca="1">SUMIF(Dados!A29:A452,A29,Dados!E29:E452)</f>
        <v>354966</v>
      </c>
      <c r="C29" s="12" t="s">
        <v>33</v>
      </c>
      <c r="D29" s="12">
        <v>384354</v>
      </c>
      <c r="E29" s="12"/>
      <c r="F29" s="12"/>
      <c r="G29" s="12"/>
      <c r="H29" s="12"/>
      <c r="I29" s="12"/>
      <c r="J29" s="12"/>
      <c r="K29" s="12"/>
      <c r="L29" s="12"/>
      <c r="M29" s="14">
        <f ca="1">IFERROR(__xludf.DUMMYFUNCTION("""COMPUTED_VALUE"""),43007)</f>
        <v>43007</v>
      </c>
      <c r="N29" s="12">
        <f ca="1">SUMIF(Dados!D29:D452,M29,Dados!F29:F452)/SUMIF(Dados!D29:D452,M29,Dados!K29:K452)</f>
        <v>5.8246206713428658E-2</v>
      </c>
      <c r="O29" s="14">
        <v>42993</v>
      </c>
      <c r="P29" s="12">
        <v>1.7001887210007314E-2</v>
      </c>
      <c r="Q29" s="15" t="str">
        <f t="shared" ca="1" si="0"/>
        <v>sexta-feira</v>
      </c>
      <c r="R29" s="12">
        <f ca="1">SUMIF(Dados!D29:D452,M29,Dados!K29:K452)</f>
        <v>34337</v>
      </c>
      <c r="S29" s="12"/>
      <c r="T29" s="12"/>
      <c r="U29" s="15" t="str">
        <f t="shared" ca="1" si="2"/>
        <v>sexta-feira</v>
      </c>
      <c r="V29" s="12">
        <f ca="1">(SUMIFS(Dados!F29:F452,Dados!C29:C452,"iPhone",Dados!D29:D452,M29))/SUMIFS(Dados!K29:K452,Dados!C29:C452,"iPhone",Dados!D29:D452,M29)</f>
        <v>6.3046929739397031E-2</v>
      </c>
      <c r="W29" s="12"/>
      <c r="X29" s="12"/>
      <c r="Y29" s="12"/>
      <c r="Z29" s="12"/>
      <c r="AA29" s="12"/>
      <c r="AB29" s="12" t="str">
        <f ca="1">IFERROR(__xludf.DUMMYFUNCTION("""COMPUTED_VALUE"""),"Vídeo 34")</f>
        <v>Vídeo 34</v>
      </c>
      <c r="AC29" s="17">
        <f ca="1">SUMIF(Dados!A29:A452,AB29,Dados!M29:M452)</f>
        <v>4.2824074074074075E-4</v>
      </c>
      <c r="AD29" s="12" t="s">
        <v>50</v>
      </c>
      <c r="AE29" s="17">
        <v>7.8703703703703705E-4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1:43" ht="12.75" x14ac:dyDescent="0.2">
      <c r="A30" s="12" t="str">
        <f ca="1">IFERROR(__xludf.DUMMYFUNCTION("""COMPUTED_VALUE"""),"Vídeo 35")</f>
        <v>Vídeo 35</v>
      </c>
      <c r="B30" s="12">
        <f ca="1">SUMIF(Dados!A30:A453,A30,Dados!E30:E453)</f>
        <v>493103</v>
      </c>
      <c r="C30" s="12" t="s">
        <v>84</v>
      </c>
      <c r="D30" s="12">
        <v>382013</v>
      </c>
      <c r="E30" s="12"/>
      <c r="F30" s="12"/>
      <c r="G30" s="12"/>
      <c r="H30" s="12"/>
      <c r="I30" s="12"/>
      <c r="J30" s="12"/>
      <c r="K30" s="12"/>
      <c r="L30" s="12"/>
      <c r="M30" s="14">
        <f ca="1">IFERROR(__xludf.DUMMYFUNCTION("""COMPUTED_VALUE"""),43008)</f>
        <v>43008</v>
      </c>
      <c r="N30" s="12">
        <f ca="1">SUMIF(Dados!D30:D453,M30,Dados!F30:F453)/SUMIF(Dados!D30:D453,M30,Dados!K30:K453)</f>
        <v>3.7531902117662511E-2</v>
      </c>
      <c r="O30" s="14">
        <v>43006</v>
      </c>
      <c r="P30" s="12">
        <v>1.6934801016562234E-2</v>
      </c>
      <c r="Q30" s="15" t="str">
        <f t="shared" ca="1" si="0"/>
        <v>sábado</v>
      </c>
      <c r="R30" s="12">
        <f ca="1">SUMIF(Dados!D30:D453,M30,Dados!K30:K453)</f>
        <v>53288</v>
      </c>
      <c r="S30" s="12"/>
      <c r="T30" s="12"/>
      <c r="U30" s="15" t="str">
        <f t="shared" ca="1" si="2"/>
        <v>sábado</v>
      </c>
      <c r="V30" s="12">
        <f ca="1">(SUMIFS(Dados!F30:F453,Dados!C30:C453,"iPhone",Dados!D30:D453,M30))/SUMIFS(Dados!K30:K453,Dados!C30:C453,"iPhone",Dados!D30:D453,M30)</f>
        <v>5.1199738409013311E-2</v>
      </c>
      <c r="W30" s="12"/>
      <c r="X30" s="12"/>
      <c r="Y30" s="12"/>
      <c r="Z30" s="12"/>
      <c r="AA30" s="12"/>
      <c r="AB30" s="12" t="str">
        <f ca="1">IFERROR(__xludf.DUMMYFUNCTION("""COMPUTED_VALUE"""),"Vídeo 35")</f>
        <v>Vídeo 35</v>
      </c>
      <c r="AC30" s="17">
        <f ca="1">SUMIF(Dados!A30:A453,AB30,Dados!M30:M453)</f>
        <v>1.0069444444444444E-3</v>
      </c>
      <c r="AD30" s="12" t="s">
        <v>76</v>
      </c>
      <c r="AE30" s="17">
        <v>7.7546296296296282E-4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ht="12.75" x14ac:dyDescent="0.2">
      <c r="A31" s="12" t="str">
        <f ca="1">IFERROR(__xludf.DUMMYFUNCTION("""COMPUTED_VALUE"""),"Vídeo 36")</f>
        <v>Vídeo 36</v>
      </c>
      <c r="B31" s="12">
        <f ca="1">SUMIF(Dados!A31:A454,A31,Dados!E31:E454)</f>
        <v>453216</v>
      </c>
      <c r="C31" s="12" t="s">
        <v>31</v>
      </c>
      <c r="D31" s="12">
        <v>374379</v>
      </c>
      <c r="E31" s="12"/>
      <c r="F31" s="12"/>
      <c r="G31" s="12"/>
      <c r="H31" s="12"/>
      <c r="I31" s="12"/>
      <c r="J31" s="12"/>
      <c r="K31" s="12"/>
      <c r="L31" s="12"/>
      <c r="M31" s="14">
        <f ca="1">IFERROR(__xludf.DUMMYFUNCTION("""COMPUTED_VALUE"""),42982)</f>
        <v>42982</v>
      </c>
      <c r="N31" s="12">
        <f ca="1">SUMIF(Dados!D31:D454,M31,Dados!F31:F454)/SUMIF(Dados!D31:D454,M31,Dados!K31:K454)</f>
        <v>2.6870524376912844E-2</v>
      </c>
      <c r="O31" s="14">
        <v>42984</v>
      </c>
      <c r="P31" s="12">
        <v>9.3947436408671359E-3</v>
      </c>
      <c r="Q31" s="15" t="str">
        <f t="shared" ca="1" si="0"/>
        <v>segunda-feira</v>
      </c>
      <c r="R31" s="12">
        <f ca="1">SUMIF(Dados!D31:D454,M31,Dados!K31:K454)</f>
        <v>74431</v>
      </c>
      <c r="S31" s="12"/>
      <c r="T31" s="12"/>
      <c r="U31" s="15" t="str">
        <f t="shared" ca="1" si="2"/>
        <v>segunda-feira</v>
      </c>
      <c r="V31" s="12">
        <f ca="1">(SUMIFS(Dados!F31:F454,Dados!C31:C454,"iPhone",Dados!D31:D454,M31))/SUMIFS(Dados!K31:K454,Dados!C31:C454,"iPhone",Dados!D31:D454,M31)</f>
        <v>2.6628921936410525E-2</v>
      </c>
      <c r="W31" s="12"/>
      <c r="X31" s="12"/>
      <c r="Y31" s="12"/>
      <c r="Z31" s="12"/>
      <c r="AA31" s="12"/>
      <c r="AB31" s="12" t="str">
        <f ca="1">IFERROR(__xludf.DUMMYFUNCTION("""COMPUTED_VALUE"""),"Vídeo 36")</f>
        <v>Vídeo 36</v>
      </c>
      <c r="AC31" s="17">
        <f ca="1">SUMIF(Dados!A31:A454,AB31,Dados!M31:M454)</f>
        <v>8.1018518518518516E-4</v>
      </c>
      <c r="AD31" s="12" t="s">
        <v>41</v>
      </c>
      <c r="AE31" s="17">
        <v>7.6388888888888882E-4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 ht="12.75" x14ac:dyDescent="0.2">
      <c r="A32" s="12" t="str">
        <f ca="1">IFERROR(__xludf.DUMMYFUNCTION("""COMPUTED_VALUE"""),"Vídeo 37")</f>
        <v>Vídeo 37</v>
      </c>
      <c r="B32" s="12">
        <f ca="1">SUMIF(Dados!A32:A455,A32,Dados!E32:E455)</f>
        <v>655831</v>
      </c>
      <c r="C32" s="12" t="s">
        <v>63</v>
      </c>
      <c r="D32" s="12">
        <v>374064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4"/>
      <c r="P32" s="12"/>
      <c r="Q32" s="15"/>
      <c r="R32" s="12"/>
      <c r="S32" s="22"/>
      <c r="T32" s="12"/>
      <c r="U32" s="12"/>
      <c r="V32" s="12"/>
      <c r="W32" s="12"/>
      <c r="X32" s="12"/>
      <c r="Y32" s="12"/>
      <c r="Z32" s="12"/>
      <c r="AA32" s="12"/>
      <c r="AB32" s="12" t="str">
        <f ca="1">IFERROR(__xludf.DUMMYFUNCTION("""COMPUTED_VALUE"""),"Vídeo 37")</f>
        <v>Vídeo 37</v>
      </c>
      <c r="AC32" s="17">
        <f ca="1">SUMIF(Dados!A32:A455,AB32,Dados!M32:M455)</f>
        <v>8.2175925925925927E-4</v>
      </c>
      <c r="AD32" s="12" t="s">
        <v>68</v>
      </c>
      <c r="AE32" s="17">
        <v>7.6388888888888882E-4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1:43" ht="12.75" x14ac:dyDescent="0.2">
      <c r="A33" s="12" t="str">
        <f ca="1">IFERROR(__xludf.DUMMYFUNCTION("""COMPUTED_VALUE"""),"Vídeo 38")</f>
        <v>Vídeo 38</v>
      </c>
      <c r="B33" s="12">
        <f ca="1">SUMIF(Dados!A33:A456,A33,Dados!E33:E456)</f>
        <v>477397</v>
      </c>
      <c r="C33" s="12" t="s">
        <v>54</v>
      </c>
      <c r="D33" s="12">
        <v>369880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4"/>
      <c r="P33" s="12"/>
      <c r="Q33" s="15"/>
      <c r="R33" s="12"/>
      <c r="S33" s="22"/>
      <c r="T33" s="12"/>
      <c r="U33" s="12"/>
      <c r="V33" s="12"/>
      <c r="W33" s="12"/>
      <c r="X33" s="12"/>
      <c r="Y33" s="12"/>
      <c r="Z33" s="12"/>
      <c r="AA33" s="12"/>
      <c r="AB33" s="12" t="str">
        <f ca="1">IFERROR(__xludf.DUMMYFUNCTION("""COMPUTED_VALUE"""),"Vídeo 38")</f>
        <v>Vídeo 38</v>
      </c>
      <c r="AC33" s="17">
        <f ca="1">SUMIF(Dados!A33:A456,AB33,Dados!M33:M456)</f>
        <v>6.4814814814814824E-4</v>
      </c>
      <c r="AD33" s="12" t="s">
        <v>35</v>
      </c>
      <c r="AE33" s="17">
        <v>7.4074074074074081E-4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1:43" ht="12.75" x14ac:dyDescent="0.2">
      <c r="A34" s="12" t="str">
        <f ca="1">IFERROR(__xludf.DUMMYFUNCTION("""COMPUTED_VALUE"""),"Vídeo 39")</f>
        <v>Vídeo 39</v>
      </c>
      <c r="B34" s="12">
        <f ca="1">SUMIF(Dados!A34:A457,A34,Dados!E34:E457)</f>
        <v>436051</v>
      </c>
      <c r="C34" s="12" t="s">
        <v>83</v>
      </c>
      <c r="D34" s="12">
        <v>367944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4"/>
      <c r="P34" s="12"/>
      <c r="Q34" s="15"/>
      <c r="R34" s="12"/>
      <c r="S34" s="22"/>
      <c r="T34" s="12"/>
      <c r="U34" s="12"/>
      <c r="V34" s="12"/>
      <c r="W34" s="12"/>
      <c r="X34" s="12"/>
      <c r="Y34" s="12"/>
      <c r="Z34" s="12"/>
      <c r="AA34" s="12"/>
      <c r="AB34" s="12" t="str">
        <f ca="1">IFERROR(__xludf.DUMMYFUNCTION("""COMPUTED_VALUE"""),"Vídeo 39")</f>
        <v>Vídeo 39</v>
      </c>
      <c r="AC34" s="17">
        <f ca="1">SUMIF(Dados!A34:A457,AB34,Dados!M34:M457)</f>
        <v>7.4074074074074081E-4</v>
      </c>
      <c r="AD34" s="12" t="s">
        <v>60</v>
      </c>
      <c r="AE34" s="17">
        <v>7.4074074074074081E-4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1:43" ht="12.75" x14ac:dyDescent="0.2">
      <c r="A35" s="12" t="str">
        <f ca="1">IFERROR(__xludf.DUMMYFUNCTION("""COMPUTED_VALUE"""),"Vídeo 4")</f>
        <v>Vídeo 4</v>
      </c>
      <c r="B35" s="12">
        <f ca="1">SUMIF(Dados!A35:A458,A35,Dados!E35:E458)</f>
        <v>562076</v>
      </c>
      <c r="C35" s="12" t="s">
        <v>52</v>
      </c>
      <c r="D35" s="12">
        <v>365362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4"/>
      <c r="P35" s="12"/>
      <c r="Q35" s="15"/>
      <c r="R35" s="12"/>
      <c r="S35" s="22"/>
      <c r="T35" s="12"/>
      <c r="U35" s="12"/>
      <c r="V35" s="12"/>
      <c r="W35" s="12"/>
      <c r="X35" s="12"/>
      <c r="Y35" s="12"/>
      <c r="Z35" s="12"/>
      <c r="AA35" s="12"/>
      <c r="AB35" s="12" t="str">
        <f ca="1">IFERROR(__xludf.DUMMYFUNCTION("""COMPUTED_VALUE"""),"Vídeo 4")</f>
        <v>Vídeo 4</v>
      </c>
      <c r="AC35" s="17">
        <f ca="1">SUMIF(Dados!A35:A458,AB35,Dados!M35:M458)</f>
        <v>1.1805555555555556E-3</v>
      </c>
      <c r="AD35" s="12" t="s">
        <v>78</v>
      </c>
      <c r="AE35" s="17">
        <v>7.291666666666667E-4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1:43" ht="12.75" x14ac:dyDescent="0.2">
      <c r="A36" s="12" t="str">
        <f ca="1">IFERROR(__xludf.DUMMYFUNCTION("""COMPUTED_VALUE"""),"Vídeo 40")</f>
        <v>Vídeo 40</v>
      </c>
      <c r="B36" s="12">
        <f ca="1">SUMIF(Dados!A36:A459,A36,Dados!E36:E459)</f>
        <v>611676</v>
      </c>
      <c r="C36" s="12" t="s">
        <v>39</v>
      </c>
      <c r="D36" s="12">
        <v>359973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4"/>
      <c r="P36" s="12"/>
      <c r="Q36" s="15"/>
      <c r="R36" s="12"/>
      <c r="S36" s="22"/>
      <c r="T36" s="12"/>
      <c r="U36" s="12"/>
      <c r="V36" s="12"/>
      <c r="W36" s="12"/>
      <c r="X36" s="12"/>
      <c r="Y36" s="12"/>
      <c r="Z36" s="12"/>
      <c r="AA36" s="12"/>
      <c r="AB36" s="12" t="str">
        <f ca="1">IFERROR(__xludf.DUMMYFUNCTION("""COMPUTED_VALUE"""),"Vídeo 40")</f>
        <v>Vídeo 40</v>
      </c>
      <c r="AC36" s="17">
        <f ca="1">SUMIF(Dados!A36:A459,AB36,Dados!M36:M459)</f>
        <v>1.273148148148148E-3</v>
      </c>
      <c r="AD36" s="12" t="s">
        <v>64</v>
      </c>
      <c r="AE36" s="17">
        <v>7.0601851851851858E-4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1:43" ht="12.75" x14ac:dyDescent="0.2">
      <c r="A37" s="12" t="str">
        <f ca="1">IFERROR(__xludf.DUMMYFUNCTION("""COMPUTED_VALUE"""),"Vídeo 41")</f>
        <v>Vídeo 41</v>
      </c>
      <c r="B37" s="12">
        <f ca="1">SUMIF(Dados!A37:A460,A37,Dados!E37:E460)</f>
        <v>374064</v>
      </c>
      <c r="C37" s="12" t="s">
        <v>74</v>
      </c>
      <c r="D37" s="12">
        <v>357865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4"/>
      <c r="P37" s="12"/>
      <c r="Q37" s="15"/>
      <c r="R37" s="12"/>
      <c r="S37" s="22"/>
      <c r="T37" s="12"/>
      <c r="U37" s="12"/>
      <c r="V37" s="12"/>
      <c r="W37" s="12"/>
      <c r="X37" s="12"/>
      <c r="Y37" s="12"/>
      <c r="Z37" s="12"/>
      <c r="AA37" s="12"/>
      <c r="AB37" s="12" t="str">
        <f ca="1">IFERROR(__xludf.DUMMYFUNCTION("""COMPUTED_VALUE"""),"Vídeo 41")</f>
        <v>Vídeo 41</v>
      </c>
      <c r="AC37" s="17">
        <f ca="1">SUMIF(Dados!A37:A460,AB37,Dados!M37:M460)</f>
        <v>1.284722222222222E-3</v>
      </c>
      <c r="AD37" s="12" t="s">
        <v>48</v>
      </c>
      <c r="AE37" s="17">
        <v>6.9444444444444436E-4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</row>
    <row r="38" spans="1:43" ht="12.75" x14ac:dyDescent="0.2">
      <c r="A38" s="12" t="str">
        <f ca="1">IFERROR(__xludf.DUMMYFUNCTION("""COMPUTED_VALUE"""),"Vídeo 42")</f>
        <v>Vídeo 42</v>
      </c>
      <c r="B38" s="12">
        <f ca="1">SUMIF(Dados!A38:A461,A38,Dados!E38:E461)</f>
        <v>357153</v>
      </c>
      <c r="C38" s="12" t="s">
        <v>64</v>
      </c>
      <c r="D38" s="12">
        <v>357153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4"/>
      <c r="P38" s="12"/>
      <c r="Q38" s="15"/>
      <c r="R38" s="12"/>
      <c r="S38" s="22"/>
      <c r="T38" s="12"/>
      <c r="U38" s="12"/>
      <c r="V38" s="12"/>
      <c r="W38" s="12"/>
      <c r="X38" s="12"/>
      <c r="Y38" s="12"/>
      <c r="Z38" s="12"/>
      <c r="AA38" s="12"/>
      <c r="AB38" s="12" t="str">
        <f ca="1">IFERROR(__xludf.DUMMYFUNCTION("""COMPUTED_VALUE"""),"Vídeo 42")</f>
        <v>Vídeo 42</v>
      </c>
      <c r="AC38" s="17">
        <f ca="1">SUMIF(Dados!A38:A461,AB38,Dados!M38:M461)</f>
        <v>7.0601851851851858E-4</v>
      </c>
      <c r="AD38" s="12" t="s">
        <v>49</v>
      </c>
      <c r="AE38" s="17">
        <v>6.7129629629629625E-4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1:43" ht="12.75" x14ac:dyDescent="0.2">
      <c r="A39" s="12" t="str">
        <f ca="1">IFERROR(__xludf.DUMMYFUNCTION("""COMPUTED_VALUE"""),"Vídeo 43")</f>
        <v>Vídeo 43</v>
      </c>
      <c r="B39" s="12">
        <f ca="1">SUMIF(Dados!A39:A462,A39,Dados!E39:E462)</f>
        <v>323398</v>
      </c>
      <c r="C39" s="12" t="s">
        <v>78</v>
      </c>
      <c r="D39" s="12">
        <v>356006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4"/>
      <c r="P39" s="12"/>
      <c r="Q39" s="15"/>
      <c r="R39" s="12"/>
      <c r="S39" s="22"/>
      <c r="T39" s="12"/>
      <c r="U39" s="12"/>
      <c r="V39" s="12"/>
      <c r="W39" s="12"/>
      <c r="X39" s="12"/>
      <c r="Y39" s="12"/>
      <c r="Z39" s="12"/>
      <c r="AA39" s="12"/>
      <c r="AB39" s="12" t="str">
        <f ca="1">IFERROR(__xludf.DUMMYFUNCTION("""COMPUTED_VALUE"""),"Vídeo 43")</f>
        <v>Vídeo 43</v>
      </c>
      <c r="AC39" s="17">
        <f ca="1">SUMIF(Dados!A39:A462,AB39,Dados!M39:M462)</f>
        <v>8.4490740740740728E-4</v>
      </c>
      <c r="AD39" s="12" t="s">
        <v>66</v>
      </c>
      <c r="AE39" s="17">
        <v>6.7129629629629614E-4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1:43" ht="12.75" x14ac:dyDescent="0.2">
      <c r="A40" s="12" t="str">
        <f ca="1">IFERROR(__xludf.DUMMYFUNCTION("""COMPUTED_VALUE"""),"Vídeo 44")</f>
        <v>Vídeo 44</v>
      </c>
      <c r="B40" s="12">
        <f ca="1">SUMIF(Dados!A40:A463,A40,Dados!E40:E463)</f>
        <v>448413</v>
      </c>
      <c r="C40" s="12" t="s">
        <v>46</v>
      </c>
      <c r="D40" s="12">
        <v>355561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4"/>
      <c r="P40" s="12"/>
      <c r="Q40" s="15"/>
      <c r="R40" s="12"/>
      <c r="S40" s="22"/>
      <c r="T40" s="12"/>
      <c r="U40" s="12"/>
      <c r="V40" s="12"/>
      <c r="W40" s="12"/>
      <c r="X40" s="12"/>
      <c r="Y40" s="12"/>
      <c r="Z40" s="12"/>
      <c r="AA40" s="12"/>
      <c r="AB40" s="12" t="str">
        <f ca="1">IFERROR(__xludf.DUMMYFUNCTION("""COMPUTED_VALUE"""),"Vídeo 44")</f>
        <v>Vídeo 44</v>
      </c>
      <c r="AC40" s="17">
        <f ca="1">SUMIF(Dados!A40:A463,AB40,Dados!M40:M463)</f>
        <v>6.7129629629629614E-4</v>
      </c>
      <c r="AD40" s="12" t="s">
        <v>36</v>
      </c>
      <c r="AE40" s="17">
        <v>6.5972222222222224E-4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ht="12.75" x14ac:dyDescent="0.2">
      <c r="A41" s="12" t="str">
        <f ca="1">IFERROR(__xludf.DUMMYFUNCTION("""COMPUTED_VALUE"""),"Vídeo 45")</f>
        <v>Vídeo 45</v>
      </c>
      <c r="B41" s="12">
        <f ca="1">SUMIF(Dados!A41:A464,A41,Dados!E41:E464)</f>
        <v>432596</v>
      </c>
      <c r="C41" s="12" t="s">
        <v>55</v>
      </c>
      <c r="D41" s="12">
        <v>354966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4"/>
      <c r="P41" s="12"/>
      <c r="Q41" s="15"/>
      <c r="R41" s="12"/>
      <c r="S41" s="22"/>
      <c r="T41" s="12"/>
      <c r="U41" s="12"/>
      <c r="V41" s="12"/>
      <c r="W41" s="12"/>
      <c r="X41" s="12"/>
      <c r="Y41" s="12"/>
      <c r="Z41" s="12"/>
      <c r="AA41" s="12"/>
      <c r="AB41" s="12" t="str">
        <f ca="1">IFERROR(__xludf.DUMMYFUNCTION("""COMPUTED_VALUE"""),"Vídeo 45")</f>
        <v>Vídeo 45</v>
      </c>
      <c r="AC41" s="17">
        <f ca="1">SUMIF(Dados!A41:A464,AB41,Dados!M41:M464)</f>
        <v>6.134259259259259E-4</v>
      </c>
      <c r="AD41" s="12" t="s">
        <v>37</v>
      </c>
      <c r="AE41" s="17">
        <v>6.5972222222222213E-4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1:43" ht="12.75" x14ac:dyDescent="0.2">
      <c r="A42" s="12" t="str">
        <f ca="1">IFERROR(__xludf.DUMMYFUNCTION("""COMPUTED_VALUE"""),"Vídeo 46")</f>
        <v>Vídeo 46</v>
      </c>
      <c r="B42" s="12">
        <f ca="1">SUMIF(Dados!A42:A465,A42,Dados!E42:E465)</f>
        <v>316002</v>
      </c>
      <c r="C42" s="12" t="s">
        <v>86</v>
      </c>
      <c r="D42" s="12">
        <v>354927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4"/>
      <c r="P42" s="12"/>
      <c r="Q42" s="15"/>
      <c r="R42" s="12"/>
      <c r="S42" s="22"/>
      <c r="T42" s="12"/>
      <c r="U42" s="12"/>
      <c r="V42" s="12"/>
      <c r="W42" s="12"/>
      <c r="X42" s="12"/>
      <c r="Y42" s="12"/>
      <c r="Z42" s="12"/>
      <c r="AA42" s="12"/>
      <c r="AB42" s="12" t="str">
        <f ca="1">IFERROR(__xludf.DUMMYFUNCTION("""COMPUTED_VALUE"""),"Vídeo 46")</f>
        <v>Vídeo 46</v>
      </c>
      <c r="AC42" s="17">
        <f ca="1">SUMIF(Dados!A42:A465,AB42,Dados!M42:M465)</f>
        <v>7.6388888888888882E-4</v>
      </c>
      <c r="AD42" s="12" t="s">
        <v>59</v>
      </c>
      <c r="AE42" s="17">
        <v>6.4814814814814824E-4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ht="12.75" x14ac:dyDescent="0.2">
      <c r="A43" s="12" t="str">
        <f ca="1">IFERROR(__xludf.DUMMYFUNCTION("""COMPUTED_VALUE"""),"Vídeo 47")</f>
        <v>Vídeo 47</v>
      </c>
      <c r="B43" s="12">
        <f ca="1">SUMIF(Dados!A43:A466,A43,Dados!E43:E466)</f>
        <v>476392</v>
      </c>
      <c r="C43" s="12" t="s">
        <v>37</v>
      </c>
      <c r="D43" s="12">
        <v>350949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4"/>
      <c r="P43" s="12"/>
      <c r="Q43" s="15"/>
      <c r="R43" s="12"/>
      <c r="S43" s="22"/>
      <c r="T43" s="12"/>
      <c r="U43" s="12"/>
      <c r="V43" s="12"/>
      <c r="W43" s="12"/>
      <c r="X43" s="12"/>
      <c r="Y43" s="12"/>
      <c r="Z43" s="12"/>
      <c r="AA43" s="12"/>
      <c r="AB43" s="12" t="str">
        <f ca="1">IFERROR(__xludf.DUMMYFUNCTION("""COMPUTED_VALUE"""),"Vídeo 47")</f>
        <v>Vídeo 47</v>
      </c>
      <c r="AC43" s="17">
        <f ca="1">SUMIF(Dados!A43:A466,AB43,Dados!M43:M466)</f>
        <v>8.2175925925925927E-4</v>
      </c>
      <c r="AD43" s="12" t="s">
        <v>84</v>
      </c>
      <c r="AE43" s="17">
        <v>6.4814814814814813E-4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1:43" ht="12.75" x14ac:dyDescent="0.2">
      <c r="A44" s="12" t="str">
        <f ca="1">IFERROR(__xludf.DUMMYFUNCTION("""COMPUTED_VALUE"""),"Vídeo 48")</f>
        <v>Vídeo 48</v>
      </c>
      <c r="B44" s="12">
        <f ca="1">SUMIF(Dados!A44:A467,A44,Dados!E44:E467)</f>
        <v>598206</v>
      </c>
      <c r="C44" s="12" t="s">
        <v>45</v>
      </c>
      <c r="D44" s="12">
        <v>350286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4"/>
      <c r="P44" s="12"/>
      <c r="Q44" s="15"/>
      <c r="R44" s="12"/>
      <c r="S44" s="22"/>
      <c r="T44" s="12"/>
      <c r="U44" s="12"/>
      <c r="V44" s="12"/>
      <c r="W44" s="12"/>
      <c r="X44" s="12"/>
      <c r="Y44" s="12"/>
      <c r="Z44" s="12"/>
      <c r="AA44" s="12"/>
      <c r="AB44" s="12" t="str">
        <f ca="1">IFERROR(__xludf.DUMMYFUNCTION("""COMPUTED_VALUE"""),"Vídeo 48")</f>
        <v>Vídeo 48</v>
      </c>
      <c r="AC44" s="17">
        <f ca="1">SUMIF(Dados!A44:A467,AB44,Dados!M44:M467)</f>
        <v>1.2152777777777778E-3</v>
      </c>
      <c r="AD44" s="12" t="s">
        <v>75</v>
      </c>
      <c r="AE44" s="17">
        <v>6.4814814814814802E-4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ht="12.75" x14ac:dyDescent="0.2">
      <c r="A45" s="12" t="str">
        <f ca="1">IFERROR(__xludf.DUMMYFUNCTION("""COMPUTED_VALUE"""),"Vídeo 49")</f>
        <v>Vídeo 49</v>
      </c>
      <c r="B45" s="12">
        <f ca="1">SUMIF(Dados!A45:A468,A45,Dados!E45:E468)</f>
        <v>487545</v>
      </c>
      <c r="C45" s="12" t="s">
        <v>76</v>
      </c>
      <c r="D45" s="12">
        <v>347529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4"/>
      <c r="P45" s="12"/>
      <c r="Q45" s="15"/>
      <c r="R45" s="12"/>
      <c r="S45" s="22"/>
      <c r="T45" s="12"/>
      <c r="U45" s="12"/>
      <c r="V45" s="12"/>
      <c r="W45" s="12"/>
      <c r="X45" s="12"/>
      <c r="Y45" s="12"/>
      <c r="Z45" s="12"/>
      <c r="AA45" s="12"/>
      <c r="AB45" s="12" t="str">
        <f ca="1">IFERROR(__xludf.DUMMYFUNCTION("""COMPUTED_VALUE"""),"Vídeo 49")</f>
        <v>Vídeo 49</v>
      </c>
      <c r="AC45" s="17">
        <f ca="1">SUMIF(Dados!A45:A468,AB45,Dados!M45:M468)</f>
        <v>6.3657407407407413E-4</v>
      </c>
      <c r="AD45" s="12" t="s">
        <v>71</v>
      </c>
      <c r="AE45" s="17">
        <v>6.3657407407407413E-4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1:43" ht="12.75" x14ac:dyDescent="0.2">
      <c r="A46" s="12" t="str">
        <f ca="1">IFERROR(__xludf.DUMMYFUNCTION("""COMPUTED_VALUE"""),"Vídeo 5")</f>
        <v>Vídeo 5</v>
      </c>
      <c r="B46" s="12">
        <f ca="1">SUMIF(Dados!A46:A469,A46,Dados!E46:E469)</f>
        <v>317041</v>
      </c>
      <c r="C46" s="12" t="s">
        <v>81</v>
      </c>
      <c r="D46" s="12">
        <v>332281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4"/>
      <c r="P46" s="12"/>
      <c r="Q46" s="15"/>
      <c r="R46" s="12"/>
      <c r="S46" s="22"/>
      <c r="T46" s="12"/>
      <c r="U46" s="12"/>
      <c r="V46" s="12"/>
      <c r="W46" s="12"/>
      <c r="X46" s="12"/>
      <c r="Y46" s="12"/>
      <c r="Z46" s="12"/>
      <c r="AA46" s="12"/>
      <c r="AB46" s="12" t="str">
        <f ca="1">IFERROR(__xludf.DUMMYFUNCTION("""COMPUTED_VALUE"""),"Vídeo 5")</f>
        <v>Vídeo 5</v>
      </c>
      <c r="AC46" s="17">
        <f ca="1">SUMIF(Dados!A46:A469,AB46,Dados!M46:M469)</f>
        <v>1.2615740740740738E-3</v>
      </c>
      <c r="AD46" s="12" t="s">
        <v>77</v>
      </c>
      <c r="AE46" s="17">
        <v>6.2500000000000001E-4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1:43" ht="12.75" x14ac:dyDescent="0.2">
      <c r="A47" s="12" t="str">
        <f ca="1">IFERROR(__xludf.DUMMYFUNCTION("""COMPUTED_VALUE"""),"Vídeo 50")</f>
        <v>Vídeo 50</v>
      </c>
      <c r="B47" s="12">
        <f ca="1">SUMIF(Dados!A47:A470,A47,Dados!E47:E470)</f>
        <v>268659</v>
      </c>
      <c r="C47" s="12" t="s">
        <v>42</v>
      </c>
      <c r="D47" s="12">
        <v>329830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4"/>
      <c r="P47" s="12"/>
      <c r="Q47" s="15"/>
      <c r="R47" s="12"/>
      <c r="S47" s="22"/>
      <c r="T47" s="12"/>
      <c r="U47" s="12"/>
      <c r="V47" s="12"/>
      <c r="W47" s="12"/>
      <c r="X47" s="12"/>
      <c r="Y47" s="12"/>
      <c r="Z47" s="12"/>
      <c r="AA47" s="12"/>
      <c r="AB47" s="12" t="str">
        <f ca="1">IFERROR(__xludf.DUMMYFUNCTION("""COMPUTED_VALUE"""),"Vídeo 50")</f>
        <v>Vídeo 50</v>
      </c>
      <c r="AC47" s="17">
        <f ca="1">SUMIF(Dados!A47:A470,AB47,Dados!M47:M470)</f>
        <v>8.9120370370370352E-4</v>
      </c>
      <c r="AD47" s="12" t="s">
        <v>86</v>
      </c>
      <c r="AE47" s="17">
        <v>6.2500000000000001E-4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</row>
    <row r="48" spans="1:43" ht="12.75" x14ac:dyDescent="0.2">
      <c r="A48" s="12" t="str">
        <f ca="1">IFERROR(__xludf.DUMMYFUNCTION("""COMPUTED_VALUE"""),"Vídeo 51")</f>
        <v>Vídeo 51</v>
      </c>
      <c r="B48" s="12">
        <f ca="1">SUMIF(Dados!A48:A471,A48,Dados!E48:E471)</f>
        <v>357865</v>
      </c>
      <c r="C48" s="12" t="s">
        <v>82</v>
      </c>
      <c r="D48" s="12">
        <v>327100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4"/>
      <c r="P48" s="12"/>
      <c r="Q48" s="15"/>
      <c r="R48" s="12"/>
      <c r="S48" s="22"/>
      <c r="T48" s="12"/>
      <c r="U48" s="12"/>
      <c r="V48" s="12"/>
      <c r="W48" s="12"/>
      <c r="X48" s="12"/>
      <c r="Y48" s="12"/>
      <c r="Z48" s="12"/>
      <c r="AA48" s="12"/>
      <c r="AB48" s="12" t="str">
        <f ca="1">IFERROR(__xludf.DUMMYFUNCTION("""COMPUTED_VALUE"""),"Vídeo 51")</f>
        <v>Vídeo 51</v>
      </c>
      <c r="AC48" s="17">
        <f ca="1">SUMIF(Dados!A48:A471,AB48,Dados!M48:M471)</f>
        <v>6.018518518518519E-4</v>
      </c>
      <c r="AD48" s="12" t="s">
        <v>47</v>
      </c>
      <c r="AE48" s="17">
        <v>6.134259259259259E-4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</row>
    <row r="49" spans="1:43" ht="12.75" x14ac:dyDescent="0.2">
      <c r="A49" s="12" t="str">
        <f ca="1">IFERROR(__xludf.DUMMYFUNCTION("""COMPUTED_VALUE"""),"Vídeo 52")</f>
        <v>Vídeo 52</v>
      </c>
      <c r="B49" s="12">
        <f ca="1">SUMIF(Dados!A49:A472,A49,Dados!E49:E472)</f>
        <v>252786</v>
      </c>
      <c r="C49" s="12" t="s">
        <v>65</v>
      </c>
      <c r="D49" s="12">
        <v>323398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4"/>
      <c r="P49" s="12"/>
      <c r="Q49" s="15"/>
      <c r="R49" s="12"/>
      <c r="S49" s="22"/>
      <c r="T49" s="12"/>
      <c r="U49" s="12"/>
      <c r="V49" s="12"/>
      <c r="W49" s="12"/>
      <c r="X49" s="12"/>
      <c r="Y49" s="12"/>
      <c r="Z49" s="12"/>
      <c r="AA49" s="12"/>
      <c r="AB49" s="12" t="str">
        <f ca="1">IFERROR(__xludf.DUMMYFUNCTION("""COMPUTED_VALUE"""),"Vídeo 52")</f>
        <v>Vídeo 52</v>
      </c>
      <c r="AC49" s="17">
        <f ca="1">SUMIF(Dados!A49:A472,AB49,Dados!M49:M472)</f>
        <v>6.4814814814814802E-4</v>
      </c>
      <c r="AD49" s="12" t="s">
        <v>53</v>
      </c>
      <c r="AE49" s="17">
        <v>6.134259259259259E-4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</row>
    <row r="50" spans="1:43" ht="12.75" x14ac:dyDescent="0.2">
      <c r="A50" s="12" t="str">
        <f ca="1">IFERROR(__xludf.DUMMYFUNCTION("""COMPUTED_VALUE"""),"Vídeo 53")</f>
        <v>Vídeo 53</v>
      </c>
      <c r="B50" s="12">
        <f ca="1">SUMIF(Dados!A50:A473,A50,Dados!E50:E473)</f>
        <v>347529</v>
      </c>
      <c r="C50" s="12" t="s">
        <v>87</v>
      </c>
      <c r="D50" s="12">
        <v>323302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4"/>
      <c r="P50" s="12"/>
      <c r="Q50" s="15"/>
      <c r="R50" s="12"/>
      <c r="S50" s="22"/>
      <c r="T50" s="12"/>
      <c r="U50" s="12"/>
      <c r="V50" s="12"/>
      <c r="W50" s="12"/>
      <c r="X50" s="12"/>
      <c r="Y50" s="12"/>
      <c r="Z50" s="12"/>
      <c r="AA50" s="12"/>
      <c r="AB50" s="12" t="str">
        <f ca="1">IFERROR(__xludf.DUMMYFUNCTION("""COMPUTED_VALUE"""),"Vídeo 53")</f>
        <v>Vídeo 53</v>
      </c>
      <c r="AC50" s="17">
        <f ca="1">SUMIF(Dados!A50:A473,AB50,Dados!M50:M473)</f>
        <v>7.7546296296296282E-4</v>
      </c>
      <c r="AD50" s="12" t="s">
        <v>67</v>
      </c>
      <c r="AE50" s="17">
        <v>6.134259259259259E-4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</row>
    <row r="51" spans="1:43" ht="12.75" x14ac:dyDescent="0.2">
      <c r="A51" s="12" t="str">
        <f ca="1">IFERROR(__xludf.DUMMYFUNCTION("""COMPUTED_VALUE"""),"Vídeo 54")</f>
        <v>Vídeo 54</v>
      </c>
      <c r="B51" s="12">
        <f ca="1">SUMIF(Dados!A51:A474,A51,Dados!E51:E474)</f>
        <v>413963</v>
      </c>
      <c r="C51" s="12" t="s">
        <v>27</v>
      </c>
      <c r="D51" s="12">
        <v>320995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4"/>
      <c r="P51" s="12"/>
      <c r="Q51" s="15"/>
      <c r="R51" s="12"/>
      <c r="S51" s="22"/>
      <c r="T51" s="12"/>
      <c r="U51" s="12"/>
      <c r="V51" s="12"/>
      <c r="W51" s="12"/>
      <c r="X51" s="12"/>
      <c r="Y51" s="12"/>
      <c r="Z51" s="12"/>
      <c r="AA51" s="12"/>
      <c r="AB51" s="12" t="str">
        <f ca="1">IFERROR(__xludf.DUMMYFUNCTION("""COMPUTED_VALUE"""),"Vídeo 54")</f>
        <v>Vídeo 54</v>
      </c>
      <c r="AC51" s="17">
        <f ca="1">SUMIF(Dados!A51:A474,AB51,Dados!M51:M474)</f>
        <v>6.2500000000000001E-4</v>
      </c>
      <c r="AD51" s="12" t="s">
        <v>85</v>
      </c>
      <c r="AE51" s="17">
        <v>6.134259259259259E-4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</row>
    <row r="52" spans="1:43" ht="12.75" x14ac:dyDescent="0.2">
      <c r="A52" s="12" t="str">
        <f ca="1">IFERROR(__xludf.DUMMYFUNCTION("""COMPUTED_VALUE"""),"Vídeo 55")</f>
        <v>Vídeo 55</v>
      </c>
      <c r="B52" s="12">
        <f ca="1">SUMIF(Dados!A52:A475,A52,Dados!E52:E475)</f>
        <v>356006</v>
      </c>
      <c r="C52" s="12" t="s">
        <v>72</v>
      </c>
      <c r="D52" s="12">
        <v>317041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4"/>
      <c r="P52" s="12"/>
      <c r="Q52" s="15"/>
      <c r="R52" s="12"/>
      <c r="S52" s="22"/>
      <c r="T52" s="12"/>
      <c r="U52" s="12"/>
      <c r="V52" s="12"/>
      <c r="W52" s="12"/>
      <c r="X52" s="12"/>
      <c r="Y52" s="12"/>
      <c r="Z52" s="12"/>
      <c r="AA52" s="12"/>
      <c r="AB52" s="12" t="str">
        <f ca="1">IFERROR(__xludf.DUMMYFUNCTION("""COMPUTED_VALUE"""),"Vídeo 55")</f>
        <v>Vídeo 55</v>
      </c>
      <c r="AC52" s="17">
        <f ca="1">SUMIF(Dados!A52:A475,AB52,Dados!M52:M475)</f>
        <v>7.291666666666667E-4</v>
      </c>
      <c r="AD52" s="12" t="s">
        <v>42</v>
      </c>
      <c r="AE52" s="17">
        <v>6.018518518518519E-4</v>
      </c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</row>
    <row r="53" spans="1:43" ht="12.75" x14ac:dyDescent="0.2">
      <c r="A53" s="12" t="str">
        <f ca="1">IFERROR(__xludf.DUMMYFUNCTION("""COMPUTED_VALUE"""),"Vídeo 56")</f>
        <v>Vídeo 56</v>
      </c>
      <c r="B53" s="12">
        <f ca="1">SUMIF(Dados!A53:A476,A53,Dados!E53:E476)</f>
        <v>604424</v>
      </c>
      <c r="C53" s="12" t="s">
        <v>68</v>
      </c>
      <c r="D53" s="12">
        <v>316002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4"/>
      <c r="P53" s="12"/>
      <c r="Q53" s="15"/>
      <c r="R53" s="12"/>
      <c r="S53" s="22"/>
      <c r="T53" s="12"/>
      <c r="U53" s="12"/>
      <c r="V53" s="12"/>
      <c r="W53" s="12"/>
      <c r="X53" s="12"/>
      <c r="Y53" s="12"/>
      <c r="Z53" s="12"/>
      <c r="AA53" s="12"/>
      <c r="AB53" s="12" t="str">
        <f ca="1">IFERROR(__xludf.DUMMYFUNCTION("""COMPUTED_VALUE"""),"Vídeo 56")</f>
        <v>Vídeo 56</v>
      </c>
      <c r="AC53" s="17">
        <f ca="1">SUMIF(Dados!A53:A476,AB53,Dados!M53:M476)</f>
        <v>1.6666666666666663E-3</v>
      </c>
      <c r="AD53" s="12" t="s">
        <v>74</v>
      </c>
      <c r="AE53" s="17">
        <v>6.018518518518519E-4</v>
      </c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</row>
    <row r="54" spans="1:43" ht="12.75" x14ac:dyDescent="0.2">
      <c r="A54" s="12" t="str">
        <f ca="1">IFERROR(__xludf.DUMMYFUNCTION("""COMPUTED_VALUE"""),"Vídeo 57")</f>
        <v>Vídeo 57</v>
      </c>
      <c r="B54" s="12">
        <f ca="1">SUMIF(Dados!A54:A477,A54,Dados!E54:E477)</f>
        <v>264457</v>
      </c>
      <c r="C54" s="12" t="s">
        <v>49</v>
      </c>
      <c r="D54" s="12">
        <v>313404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4"/>
      <c r="P54" s="12"/>
      <c r="Q54" s="15"/>
      <c r="R54" s="12"/>
      <c r="S54" s="22"/>
      <c r="T54" s="12"/>
      <c r="U54" s="12"/>
      <c r="V54" s="12"/>
      <c r="W54" s="12"/>
      <c r="X54" s="12"/>
      <c r="Y54" s="12"/>
      <c r="Z54" s="12"/>
      <c r="AA54" s="12"/>
      <c r="AB54" s="12" t="str">
        <f ca="1">IFERROR(__xludf.DUMMYFUNCTION("""COMPUTED_VALUE"""),"Vídeo 57")</f>
        <v>Vídeo 57</v>
      </c>
      <c r="AC54" s="17">
        <f ca="1">SUMIF(Dados!A54:A477,AB54,Dados!M54:M477)</f>
        <v>5.3240740740740744E-4</v>
      </c>
      <c r="AD54" s="12" t="s">
        <v>82</v>
      </c>
      <c r="AE54" s="17">
        <v>5.9027777777777768E-4</v>
      </c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</row>
    <row r="55" spans="1:43" ht="12.75" x14ac:dyDescent="0.2">
      <c r="A55" s="12" t="str">
        <f ca="1">IFERROR(__xludf.DUMMYFUNCTION("""COMPUTED_VALUE"""),"Vídeo 58")</f>
        <v>Vídeo 58</v>
      </c>
      <c r="B55" s="12">
        <f ca="1">SUMIF(Dados!A55:A478,A55,Dados!E55:E478)</f>
        <v>332281</v>
      </c>
      <c r="C55" s="12" t="s">
        <v>44</v>
      </c>
      <c r="D55" s="12">
        <v>313219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4"/>
      <c r="P55" s="12"/>
      <c r="Q55" s="15"/>
      <c r="R55" s="12"/>
      <c r="S55" s="22"/>
      <c r="T55" s="12"/>
      <c r="U55" s="12"/>
      <c r="V55" s="12"/>
      <c r="W55" s="12"/>
      <c r="X55" s="12"/>
      <c r="Y55" s="12"/>
      <c r="Z55" s="12"/>
      <c r="AA55" s="12"/>
      <c r="AB55" s="12" t="str">
        <f ca="1">IFERROR(__xludf.DUMMYFUNCTION("""COMPUTED_VALUE"""),"Vídeo 58")</f>
        <v>Vídeo 58</v>
      </c>
      <c r="AC55" s="17">
        <f ca="1">SUMIF(Dados!A55:A478,AB55,Dados!M55:M478)</f>
        <v>5.3240740740740744E-4</v>
      </c>
      <c r="AD55" s="12" t="s">
        <v>46</v>
      </c>
      <c r="AE55" s="17">
        <v>5.7870370370370367E-4</v>
      </c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</row>
    <row r="56" spans="1:43" ht="12.75" x14ac:dyDescent="0.2">
      <c r="A56" s="12" t="str">
        <f ca="1">IFERROR(__xludf.DUMMYFUNCTION("""COMPUTED_VALUE"""),"Vídeo 59")</f>
        <v>Vídeo 59</v>
      </c>
      <c r="B56" s="12">
        <f ca="1">SUMIF(Dados!A56:A479,A56,Dados!E56:E479)</f>
        <v>327100</v>
      </c>
      <c r="C56" s="12" t="s">
        <v>47</v>
      </c>
      <c r="D56" s="12">
        <v>301934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4"/>
      <c r="P56" s="12"/>
      <c r="Q56" s="15"/>
      <c r="R56" s="12"/>
      <c r="S56" s="22"/>
      <c r="T56" s="12"/>
      <c r="U56" s="12"/>
      <c r="V56" s="12"/>
      <c r="W56" s="12"/>
      <c r="X56" s="12"/>
      <c r="Y56" s="12"/>
      <c r="Z56" s="12"/>
      <c r="AA56" s="12"/>
      <c r="AB56" s="12" t="str">
        <f ca="1">IFERROR(__xludf.DUMMYFUNCTION("""COMPUTED_VALUE"""),"Vídeo 59")</f>
        <v>Vídeo 59</v>
      </c>
      <c r="AC56" s="17">
        <f ca="1">SUMIF(Dados!A56:A479,AB56,Dados!M56:M479)</f>
        <v>5.9027777777777768E-4</v>
      </c>
      <c r="AD56" s="12" t="s">
        <v>45</v>
      </c>
      <c r="AE56" s="17">
        <v>5.6712962962962967E-4</v>
      </c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spans="1:43" ht="12.75" x14ac:dyDescent="0.2">
      <c r="A57" s="12" t="str">
        <f ca="1">IFERROR(__xludf.DUMMYFUNCTION("""COMPUTED_VALUE"""),"Vídeo 6")</f>
        <v>Vídeo 6</v>
      </c>
      <c r="B57" s="12">
        <f ca="1">SUMIF(Dados!A57:A480,A57,Dados!E57:E480)</f>
        <v>367944</v>
      </c>
      <c r="C57" s="12" t="s">
        <v>36</v>
      </c>
      <c r="D57" s="12">
        <v>294721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4"/>
      <c r="P57" s="12"/>
      <c r="Q57" s="15"/>
      <c r="R57" s="12"/>
      <c r="S57" s="22"/>
      <c r="T57" s="12"/>
      <c r="U57" s="12"/>
      <c r="V57" s="12"/>
      <c r="W57" s="12"/>
      <c r="X57" s="12"/>
      <c r="Y57" s="12"/>
      <c r="Z57" s="12"/>
      <c r="AA57" s="12"/>
      <c r="AB57" s="12" t="str">
        <f ca="1">IFERROR(__xludf.DUMMYFUNCTION("""COMPUTED_VALUE"""),"Vídeo 6")</f>
        <v>Vídeo 6</v>
      </c>
      <c r="AC57" s="17">
        <f ca="1">SUMIF(Dados!A57:A480,AB57,Dados!M57:M480)</f>
        <v>8.9120370370370362E-4</v>
      </c>
      <c r="AD57" s="12" t="s">
        <v>80</v>
      </c>
      <c r="AE57" s="17">
        <v>5.3240740740740744E-4</v>
      </c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</row>
    <row r="58" spans="1:43" ht="12.75" x14ac:dyDescent="0.2">
      <c r="A58" s="12" t="str">
        <f ca="1">IFERROR(__xludf.DUMMYFUNCTION("""COMPUTED_VALUE"""),"Vídeo 60")</f>
        <v>Vídeo 60</v>
      </c>
      <c r="B58" s="12">
        <f ca="1">SUMIF(Dados!A58:A481,A58,Dados!E58:E481)</f>
        <v>382013</v>
      </c>
      <c r="C58" s="12" t="s">
        <v>50</v>
      </c>
      <c r="D58" s="12">
        <v>293261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4"/>
      <c r="P58" s="12"/>
      <c r="Q58" s="15"/>
      <c r="R58" s="12"/>
      <c r="S58" s="22"/>
      <c r="T58" s="12"/>
      <c r="U58" s="12"/>
      <c r="V58" s="12"/>
      <c r="W58" s="12"/>
      <c r="X58" s="12"/>
      <c r="Y58" s="12"/>
      <c r="Z58" s="12"/>
      <c r="AA58" s="12"/>
      <c r="AB58" s="12" t="str">
        <f ca="1">IFERROR(__xludf.DUMMYFUNCTION("""COMPUTED_VALUE"""),"Vídeo 60")</f>
        <v>Vídeo 60</v>
      </c>
      <c r="AC58" s="17">
        <f ca="1">SUMIF(Dados!A58:A481,AB58,Dados!M58:M481)</f>
        <v>6.4814814814814813E-4</v>
      </c>
      <c r="AD58" s="12" t="s">
        <v>81</v>
      </c>
      <c r="AE58" s="17">
        <v>5.3240740740740744E-4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spans="1:43" ht="12.75" x14ac:dyDescent="0.2">
      <c r="A59" s="12" t="str">
        <f ca="1">IFERROR(__xludf.DUMMYFUNCTION("""COMPUTED_VALUE"""),"Vídeo 7")</f>
        <v>Vídeo 7</v>
      </c>
      <c r="B59" s="12">
        <f ca="1">SUMIF(Dados!A59:A482,A59,Dados!E59:E482)</f>
        <v>499023</v>
      </c>
      <c r="C59" s="12" t="s">
        <v>73</v>
      </c>
      <c r="D59" s="12">
        <v>268659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4"/>
      <c r="P59" s="12"/>
      <c r="Q59" s="15"/>
      <c r="R59" s="12"/>
      <c r="S59" s="22"/>
      <c r="T59" s="12"/>
      <c r="U59" s="12"/>
      <c r="V59" s="12"/>
      <c r="W59" s="12"/>
      <c r="X59" s="12"/>
      <c r="Y59" s="12"/>
      <c r="Z59" s="12"/>
      <c r="AA59" s="12"/>
      <c r="AB59" s="12" t="str">
        <f ca="1">IFERROR(__xludf.DUMMYFUNCTION("""COMPUTED_VALUE"""),"Vídeo 7")</f>
        <v>Vídeo 7</v>
      </c>
      <c r="AC59" s="17">
        <f ca="1">SUMIF(Dados!A59:A482,AB59,Dados!M59:M482)</f>
        <v>6.134259259259259E-4</v>
      </c>
      <c r="AD59" s="12" t="s">
        <v>44</v>
      </c>
      <c r="AE59" s="17">
        <v>5.0925925925925921E-4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</row>
    <row r="60" spans="1:43" ht="12.75" x14ac:dyDescent="0.2">
      <c r="A60" s="12" t="str">
        <f ca="1">IFERROR(__xludf.DUMMYFUNCTION("""COMPUTED_VALUE"""),"Vídeo 8")</f>
        <v>Vídeo 8</v>
      </c>
      <c r="B60" s="12">
        <f ca="1">SUMIF(Dados!A60:A483,A60,Dados!E60:E483)</f>
        <v>354927</v>
      </c>
      <c r="C60" s="12" t="s">
        <v>80</v>
      </c>
      <c r="D60" s="12">
        <v>264457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4"/>
      <c r="P60" s="12"/>
      <c r="Q60" s="15"/>
      <c r="R60" s="12"/>
      <c r="S60" s="22"/>
      <c r="T60" s="12"/>
      <c r="U60" s="12"/>
      <c r="V60" s="12"/>
      <c r="W60" s="12"/>
      <c r="X60" s="12"/>
      <c r="Y60" s="12"/>
      <c r="Z60" s="12"/>
      <c r="AA60" s="12"/>
      <c r="AB60" s="12" t="str">
        <f ca="1">IFERROR(__xludf.DUMMYFUNCTION("""COMPUTED_VALUE"""),"Vídeo 8")</f>
        <v>Vídeo 8</v>
      </c>
      <c r="AC60" s="17">
        <f ca="1">SUMIF(Dados!A60:A483,AB60,Dados!M60:M483)</f>
        <v>6.2500000000000001E-4</v>
      </c>
      <c r="AD60" s="12" t="s">
        <v>39</v>
      </c>
      <c r="AE60" s="17">
        <v>4.861111111111111E-4</v>
      </c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1:43" ht="12.75" x14ac:dyDescent="0.2">
      <c r="A61" s="12" t="str">
        <f ca="1">IFERROR(__xludf.DUMMYFUNCTION("""COMPUTED_VALUE"""),"Vídeo 9")</f>
        <v>Vídeo 9</v>
      </c>
      <c r="B61" s="12">
        <f ca="1">SUMIF(Dados!A61:A484,A61,Dados!E61:E484)</f>
        <v>323302</v>
      </c>
      <c r="C61" s="12" t="s">
        <v>75</v>
      </c>
      <c r="D61" s="12">
        <v>252786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4"/>
      <c r="P61" s="12"/>
      <c r="Q61" s="15"/>
      <c r="R61" s="12"/>
      <c r="S61" s="22"/>
      <c r="T61" s="12"/>
      <c r="U61" s="12"/>
      <c r="V61" s="12"/>
      <c r="W61" s="12"/>
      <c r="X61" s="12"/>
      <c r="Y61" s="12"/>
      <c r="Z61" s="12"/>
      <c r="AA61" s="12"/>
      <c r="AB61" s="12" t="str">
        <f ca="1">IFERROR(__xludf.DUMMYFUNCTION("""COMPUTED_VALUE"""),"Vídeo 9")</f>
        <v>Vídeo 9</v>
      </c>
      <c r="AC61" s="17">
        <f ca="1">SUMIF(Dados!A61:A484,AB61,Dados!M61:M484)</f>
        <v>8.3333333333333328E-4</v>
      </c>
      <c r="AD61" s="12" t="s">
        <v>55</v>
      </c>
      <c r="AE61" s="17">
        <v>4.2824074074074075E-4</v>
      </c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</row>
    <row r="62" spans="1:43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4"/>
      <c r="P62" s="12"/>
      <c r="Q62" s="15"/>
      <c r="R62" s="12"/>
      <c r="S62" s="2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1:43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4"/>
      <c r="P63" s="12"/>
      <c r="Q63" s="15"/>
      <c r="R63" s="12"/>
      <c r="S63" s="2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</row>
    <row r="64" spans="1:43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4"/>
      <c r="P64" s="12"/>
      <c r="Q64" s="15"/>
      <c r="R64" s="12"/>
      <c r="S64" s="2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spans="1:43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4"/>
      <c r="P65" s="12"/>
      <c r="Q65" s="15"/>
      <c r="R65" s="12"/>
      <c r="S65" s="2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</row>
    <row r="66" spans="1:43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4"/>
      <c r="P66" s="12"/>
      <c r="Q66" s="15"/>
      <c r="R66" s="12"/>
      <c r="S66" s="2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spans="1:43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4"/>
      <c r="P67" s="12"/>
      <c r="Q67" s="15"/>
      <c r="R67" s="12"/>
      <c r="S67" s="2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</row>
    <row r="68" spans="1:43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4"/>
      <c r="P68" s="12"/>
      <c r="Q68" s="15"/>
      <c r="R68" s="12"/>
      <c r="S68" s="2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spans="1:43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4"/>
      <c r="P69" s="12"/>
      <c r="Q69" s="15"/>
      <c r="R69" s="12"/>
      <c r="S69" s="2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</row>
    <row r="70" spans="1:43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4"/>
      <c r="P70" s="12"/>
      <c r="Q70" s="15"/>
      <c r="R70" s="12"/>
      <c r="S70" s="2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spans="1:43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4"/>
      <c r="P71" s="12"/>
      <c r="Q71" s="15"/>
      <c r="R71" s="12"/>
      <c r="S71" s="2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</row>
    <row r="72" spans="1:43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4"/>
      <c r="P72" s="12"/>
      <c r="Q72" s="15"/>
      <c r="R72" s="12"/>
      <c r="S72" s="2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spans="1:43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4"/>
      <c r="P73" s="12"/>
      <c r="Q73" s="15"/>
      <c r="R73" s="12"/>
      <c r="S73" s="2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</row>
    <row r="74" spans="1:43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4"/>
      <c r="P74" s="12"/>
      <c r="Q74" s="15"/>
      <c r="R74" s="12"/>
      <c r="S74" s="2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spans="1:43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4"/>
      <c r="P75" s="12"/>
      <c r="Q75" s="15"/>
      <c r="R75" s="12"/>
      <c r="S75" s="2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</row>
    <row r="76" spans="1:43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4"/>
      <c r="P76" s="12"/>
      <c r="Q76" s="15"/>
      <c r="R76" s="12"/>
      <c r="S76" s="2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spans="1:43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4"/>
      <c r="P77" s="12"/>
      <c r="Q77" s="15"/>
      <c r="R77" s="12"/>
      <c r="S77" s="2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</row>
    <row r="78" spans="1:43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4"/>
      <c r="P78" s="12"/>
      <c r="Q78" s="15"/>
      <c r="R78" s="12"/>
      <c r="S78" s="2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spans="1:43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4"/>
      <c r="P79" s="12"/>
      <c r="Q79" s="15"/>
      <c r="R79" s="12"/>
      <c r="S79" s="2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</row>
    <row r="80" spans="1:43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4"/>
      <c r="P80" s="12"/>
      <c r="Q80" s="15"/>
      <c r="R80" s="12"/>
      <c r="S80" s="2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spans="1:43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4"/>
      <c r="P81" s="12"/>
      <c r="Q81" s="15"/>
      <c r="R81" s="12"/>
      <c r="S81" s="2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</row>
    <row r="82" spans="1:43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4"/>
      <c r="P82" s="12"/>
      <c r="Q82" s="15"/>
      <c r="R82" s="12"/>
      <c r="S82" s="2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spans="1:43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4"/>
      <c r="P83" s="12"/>
      <c r="Q83" s="15"/>
      <c r="R83" s="12"/>
      <c r="S83" s="2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</row>
    <row r="84" spans="1:43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4"/>
      <c r="P84" s="12"/>
      <c r="Q84" s="15"/>
      <c r="R84" s="12"/>
      <c r="S84" s="2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</row>
    <row r="85" spans="1:43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4"/>
      <c r="P85" s="12"/>
      <c r="Q85" s="15"/>
      <c r="R85" s="12"/>
      <c r="S85" s="2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</row>
    <row r="86" spans="1:43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4"/>
      <c r="P86" s="12"/>
      <c r="Q86" s="15"/>
      <c r="R86" s="12"/>
      <c r="S86" s="2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</row>
    <row r="87" spans="1:43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4"/>
      <c r="P87" s="12"/>
      <c r="Q87" s="15"/>
      <c r="R87" s="12"/>
      <c r="S87" s="2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</row>
    <row r="88" spans="1:43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4"/>
      <c r="P88" s="12"/>
      <c r="Q88" s="15"/>
      <c r="R88" s="12"/>
      <c r="S88" s="2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</row>
    <row r="89" spans="1:43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4"/>
      <c r="P89" s="12"/>
      <c r="Q89" s="15"/>
      <c r="R89" s="12"/>
      <c r="S89" s="2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</row>
    <row r="90" spans="1:43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4"/>
      <c r="P90" s="12"/>
      <c r="Q90" s="15"/>
      <c r="R90" s="12"/>
      <c r="S90" s="2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</row>
    <row r="91" spans="1:43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4"/>
      <c r="P91" s="12"/>
      <c r="Q91" s="15"/>
      <c r="R91" s="12"/>
      <c r="S91" s="2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</row>
    <row r="92" spans="1:43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4"/>
      <c r="P92" s="12"/>
      <c r="Q92" s="15"/>
      <c r="R92" s="12"/>
      <c r="S92" s="2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</row>
    <row r="93" spans="1:43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4"/>
      <c r="P93" s="12"/>
      <c r="Q93" s="15"/>
      <c r="R93" s="12"/>
      <c r="S93" s="2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</row>
    <row r="94" spans="1:43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4"/>
      <c r="P94" s="12"/>
      <c r="Q94" s="15"/>
      <c r="R94" s="12"/>
      <c r="S94" s="2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</row>
    <row r="95" spans="1:43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4"/>
      <c r="P95" s="12"/>
      <c r="Q95" s="15"/>
      <c r="R95" s="12"/>
      <c r="S95" s="2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</row>
    <row r="96" spans="1:43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4"/>
      <c r="P96" s="12"/>
      <c r="Q96" s="15"/>
      <c r="R96" s="12"/>
      <c r="S96" s="2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</row>
    <row r="97" spans="1:43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4"/>
      <c r="P97" s="12"/>
      <c r="Q97" s="15"/>
      <c r="R97" s="12"/>
      <c r="S97" s="2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</row>
    <row r="98" spans="1:43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4"/>
      <c r="P98" s="12"/>
      <c r="Q98" s="15"/>
      <c r="R98" s="12"/>
      <c r="S98" s="2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</row>
    <row r="99" spans="1:43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4"/>
      <c r="P99" s="12"/>
      <c r="Q99" s="15"/>
      <c r="R99" s="12"/>
      <c r="S99" s="2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</row>
    <row r="100" spans="1:43" ht="12.75" x14ac:dyDescent="0.2">
      <c r="O100" s="8"/>
      <c r="Q100" s="23"/>
      <c r="S100" s="24"/>
    </row>
    <row r="101" spans="1:43" ht="12.75" x14ac:dyDescent="0.2">
      <c r="O101" s="8"/>
      <c r="Q101" s="23"/>
      <c r="S101" s="24"/>
    </row>
    <row r="102" spans="1:43" ht="12.75" x14ac:dyDescent="0.2">
      <c r="O102" s="8"/>
      <c r="Q102" s="23"/>
      <c r="S102" s="24"/>
    </row>
    <row r="103" spans="1:43" ht="12.75" x14ac:dyDescent="0.2">
      <c r="O103" s="8"/>
      <c r="Q103" s="23"/>
      <c r="S103" s="24"/>
    </row>
    <row r="104" spans="1:43" ht="12.75" x14ac:dyDescent="0.2">
      <c r="O104" s="8"/>
      <c r="Q104" s="23"/>
      <c r="S104" s="24"/>
    </row>
    <row r="105" spans="1:43" ht="12.75" x14ac:dyDescent="0.2">
      <c r="O105" s="8"/>
      <c r="Q105" s="23"/>
      <c r="S105" s="24"/>
    </row>
    <row r="106" spans="1:43" ht="12.75" x14ac:dyDescent="0.2">
      <c r="O106" s="8"/>
      <c r="Q106" s="23"/>
      <c r="S106" s="24"/>
    </row>
    <row r="107" spans="1:43" ht="12.75" x14ac:dyDescent="0.2">
      <c r="O107" s="8"/>
      <c r="Q107" s="23"/>
      <c r="S107" s="24"/>
    </row>
    <row r="108" spans="1:43" ht="12.75" x14ac:dyDescent="0.2">
      <c r="O108" s="8"/>
      <c r="Q108" s="23"/>
      <c r="S108" s="24"/>
    </row>
    <row r="109" spans="1:43" ht="12.75" x14ac:dyDescent="0.2">
      <c r="O109" s="8"/>
      <c r="Q109" s="23"/>
      <c r="S109" s="24"/>
    </row>
    <row r="110" spans="1:43" ht="12.75" x14ac:dyDescent="0.2">
      <c r="O110" s="8"/>
      <c r="Q110" s="23"/>
      <c r="S110" s="24"/>
    </row>
    <row r="111" spans="1:43" ht="12.75" x14ac:dyDescent="0.2">
      <c r="O111" s="8"/>
      <c r="Q111" s="23"/>
      <c r="S111" s="24"/>
    </row>
    <row r="112" spans="1:43" ht="12.75" x14ac:dyDescent="0.2">
      <c r="O112" s="8"/>
      <c r="Q112" s="23"/>
      <c r="S112" s="24"/>
    </row>
    <row r="113" spans="15:19" ht="12.75" x14ac:dyDescent="0.2">
      <c r="O113" s="8"/>
      <c r="Q113" s="23"/>
      <c r="S113" s="24"/>
    </row>
    <row r="114" spans="15:19" ht="12.75" x14ac:dyDescent="0.2">
      <c r="O114" s="8"/>
      <c r="Q114" s="23"/>
      <c r="S114" s="24"/>
    </row>
    <row r="115" spans="15:19" ht="12.75" x14ac:dyDescent="0.2">
      <c r="O115" s="8"/>
      <c r="Q115" s="23"/>
      <c r="S115" s="24"/>
    </row>
    <row r="116" spans="15:19" ht="12.75" x14ac:dyDescent="0.2">
      <c r="O116" s="8"/>
      <c r="Q116" s="23"/>
      <c r="S116" s="24"/>
    </row>
    <row r="117" spans="15:19" ht="12.75" x14ac:dyDescent="0.2">
      <c r="O117" s="8"/>
      <c r="Q117" s="23"/>
      <c r="S117" s="24"/>
    </row>
    <row r="118" spans="15:19" ht="12.75" x14ac:dyDescent="0.2">
      <c r="O118" s="8"/>
      <c r="Q118" s="23"/>
      <c r="S118" s="24"/>
    </row>
    <row r="119" spans="15:19" ht="12.75" x14ac:dyDescent="0.2">
      <c r="O119" s="8"/>
      <c r="Q119" s="23"/>
      <c r="S119" s="24"/>
    </row>
    <row r="120" spans="15:19" ht="12.75" x14ac:dyDescent="0.2">
      <c r="O120" s="8"/>
      <c r="Q120" s="23"/>
      <c r="S120" s="24"/>
    </row>
    <row r="121" spans="15:19" ht="12.75" x14ac:dyDescent="0.2">
      <c r="O121" s="8"/>
      <c r="Q121" s="23"/>
      <c r="S121" s="24"/>
    </row>
    <row r="122" spans="15:19" ht="12.75" x14ac:dyDescent="0.2">
      <c r="O122" s="8"/>
      <c r="Q122" s="23"/>
      <c r="S122" s="24"/>
    </row>
    <row r="123" spans="15:19" ht="12.75" x14ac:dyDescent="0.2">
      <c r="O123" s="8"/>
      <c r="Q123" s="23"/>
      <c r="S123" s="24"/>
    </row>
    <row r="124" spans="15:19" ht="12.75" x14ac:dyDescent="0.2">
      <c r="O124" s="8"/>
      <c r="Q124" s="23"/>
      <c r="S124" s="24"/>
    </row>
    <row r="125" spans="15:19" ht="12.75" x14ac:dyDescent="0.2">
      <c r="O125" s="8"/>
      <c r="Q125" s="23"/>
      <c r="S125" s="24"/>
    </row>
    <row r="126" spans="15:19" ht="12.75" x14ac:dyDescent="0.2">
      <c r="O126" s="8"/>
      <c r="Q126" s="23"/>
      <c r="S126" s="24"/>
    </row>
    <row r="127" spans="15:19" ht="12.75" x14ac:dyDescent="0.2">
      <c r="O127" s="8"/>
      <c r="Q127" s="23"/>
      <c r="S127" s="24"/>
    </row>
    <row r="128" spans="15:19" ht="12.75" x14ac:dyDescent="0.2">
      <c r="O128" s="8"/>
      <c r="Q128" s="23"/>
      <c r="S128" s="24"/>
    </row>
    <row r="129" spans="15:19" ht="12.75" x14ac:dyDescent="0.2">
      <c r="O129" s="8"/>
      <c r="Q129" s="23"/>
      <c r="S129" s="24"/>
    </row>
    <row r="130" spans="15:19" ht="12.75" x14ac:dyDescent="0.2">
      <c r="O130" s="8"/>
      <c r="Q130" s="23"/>
      <c r="S130" s="24"/>
    </row>
    <row r="131" spans="15:19" ht="12.75" x14ac:dyDescent="0.2">
      <c r="O131" s="8"/>
      <c r="Q131" s="23"/>
      <c r="S131" s="24"/>
    </row>
    <row r="132" spans="15:19" ht="12.75" x14ac:dyDescent="0.2">
      <c r="O132" s="8"/>
      <c r="Q132" s="23"/>
      <c r="S132" s="24"/>
    </row>
    <row r="133" spans="15:19" ht="12.75" x14ac:dyDescent="0.2">
      <c r="O133" s="8"/>
      <c r="Q133" s="23"/>
      <c r="S133" s="24"/>
    </row>
    <row r="134" spans="15:19" ht="12.75" x14ac:dyDescent="0.2">
      <c r="O134" s="8"/>
      <c r="Q134" s="23"/>
      <c r="S134" s="24"/>
    </row>
    <row r="135" spans="15:19" ht="12.75" x14ac:dyDescent="0.2">
      <c r="O135" s="8"/>
      <c r="Q135" s="23"/>
      <c r="S135" s="24"/>
    </row>
    <row r="136" spans="15:19" ht="12.75" x14ac:dyDescent="0.2">
      <c r="O136" s="8"/>
      <c r="Q136" s="23"/>
      <c r="S136" s="24"/>
    </row>
    <row r="137" spans="15:19" ht="12.75" x14ac:dyDescent="0.2">
      <c r="O137" s="8"/>
      <c r="Q137" s="23"/>
      <c r="S137" s="24"/>
    </row>
    <row r="138" spans="15:19" ht="12.75" x14ac:dyDescent="0.2">
      <c r="O138" s="8"/>
      <c r="Q138" s="23"/>
      <c r="S138" s="24"/>
    </row>
    <row r="139" spans="15:19" ht="12.75" x14ac:dyDescent="0.2">
      <c r="O139" s="8"/>
      <c r="Q139" s="23"/>
      <c r="S139" s="24"/>
    </row>
    <row r="140" spans="15:19" ht="12.75" x14ac:dyDescent="0.2">
      <c r="O140" s="8"/>
      <c r="Q140" s="23"/>
      <c r="S140" s="24"/>
    </row>
    <row r="141" spans="15:19" ht="12.75" x14ac:dyDescent="0.2">
      <c r="O141" s="8"/>
      <c r="Q141" s="23"/>
      <c r="S141" s="24"/>
    </row>
    <row r="142" spans="15:19" ht="12.75" x14ac:dyDescent="0.2">
      <c r="O142" s="8"/>
      <c r="Q142" s="23"/>
      <c r="S142" s="24"/>
    </row>
    <row r="143" spans="15:19" ht="12.75" x14ac:dyDescent="0.2">
      <c r="O143" s="8"/>
      <c r="Q143" s="23"/>
      <c r="S143" s="24"/>
    </row>
    <row r="144" spans="15:19" ht="12.75" x14ac:dyDescent="0.2">
      <c r="O144" s="8"/>
      <c r="Q144" s="23"/>
      <c r="S144" s="24"/>
    </row>
    <row r="145" spans="15:19" ht="12.75" x14ac:dyDescent="0.2">
      <c r="O145" s="8"/>
      <c r="Q145" s="23"/>
      <c r="S145" s="24"/>
    </row>
    <row r="146" spans="15:19" ht="12.75" x14ac:dyDescent="0.2">
      <c r="O146" s="8"/>
      <c r="Q146" s="23"/>
      <c r="S146" s="24"/>
    </row>
    <row r="147" spans="15:19" ht="12.75" x14ac:dyDescent="0.2">
      <c r="O147" s="8"/>
      <c r="Q147" s="23"/>
      <c r="S147" s="24"/>
    </row>
    <row r="148" spans="15:19" ht="12.75" x14ac:dyDescent="0.2">
      <c r="O148" s="8"/>
      <c r="Q148" s="23"/>
      <c r="S148" s="24"/>
    </row>
    <row r="149" spans="15:19" ht="12.75" x14ac:dyDescent="0.2">
      <c r="O149" s="8"/>
      <c r="Q149" s="23"/>
      <c r="S149" s="24"/>
    </row>
    <row r="150" spans="15:19" ht="12.75" x14ac:dyDescent="0.2">
      <c r="O150" s="8"/>
      <c r="Q150" s="23"/>
      <c r="S150" s="24"/>
    </row>
    <row r="151" spans="15:19" ht="12.75" x14ac:dyDescent="0.2">
      <c r="O151" s="8"/>
      <c r="Q151" s="23"/>
      <c r="S151" s="24"/>
    </row>
    <row r="152" spans="15:19" ht="12.75" x14ac:dyDescent="0.2">
      <c r="O152" s="8"/>
      <c r="Q152" s="23"/>
      <c r="S152" s="24"/>
    </row>
    <row r="153" spans="15:19" ht="12.75" x14ac:dyDescent="0.2">
      <c r="O153" s="8"/>
      <c r="Q153" s="23"/>
      <c r="S153" s="24"/>
    </row>
    <row r="154" spans="15:19" ht="12.75" x14ac:dyDescent="0.2">
      <c r="O154" s="8"/>
      <c r="Q154" s="23"/>
      <c r="S154" s="24"/>
    </row>
    <row r="155" spans="15:19" ht="12.75" x14ac:dyDescent="0.2">
      <c r="O155" s="8"/>
      <c r="Q155" s="23"/>
      <c r="S155" s="24"/>
    </row>
    <row r="156" spans="15:19" ht="12.75" x14ac:dyDescent="0.2">
      <c r="O156" s="8"/>
      <c r="Q156" s="23"/>
      <c r="S156" s="24"/>
    </row>
    <row r="157" spans="15:19" ht="12.75" x14ac:dyDescent="0.2">
      <c r="O157" s="8"/>
      <c r="Q157" s="23"/>
      <c r="S157" s="24"/>
    </row>
    <row r="158" spans="15:19" ht="12.75" x14ac:dyDescent="0.2">
      <c r="O158" s="8"/>
      <c r="Q158" s="23"/>
      <c r="S158" s="24"/>
    </row>
    <row r="159" spans="15:19" ht="12.75" x14ac:dyDescent="0.2">
      <c r="O159" s="8"/>
      <c r="Q159" s="23"/>
      <c r="S159" s="24"/>
    </row>
    <row r="160" spans="15:19" ht="12.75" x14ac:dyDescent="0.2">
      <c r="O160" s="8"/>
      <c r="Q160" s="23"/>
      <c r="S160" s="24"/>
    </row>
    <row r="161" spans="15:19" ht="12.75" x14ac:dyDescent="0.2">
      <c r="O161" s="8"/>
      <c r="Q161" s="23"/>
      <c r="S161" s="24"/>
    </row>
    <row r="162" spans="15:19" ht="12.75" x14ac:dyDescent="0.2">
      <c r="O162" s="8"/>
      <c r="Q162" s="23"/>
      <c r="S162" s="24"/>
    </row>
    <row r="163" spans="15:19" ht="12.75" x14ac:dyDescent="0.2">
      <c r="O163" s="8"/>
      <c r="Q163" s="23"/>
      <c r="S163" s="24"/>
    </row>
    <row r="164" spans="15:19" ht="12.75" x14ac:dyDescent="0.2">
      <c r="O164" s="8"/>
      <c r="Q164" s="23"/>
      <c r="S164" s="24"/>
    </row>
    <row r="165" spans="15:19" ht="12.75" x14ac:dyDescent="0.2">
      <c r="O165" s="8"/>
      <c r="Q165" s="23"/>
      <c r="S165" s="24"/>
    </row>
    <row r="166" spans="15:19" ht="12.75" x14ac:dyDescent="0.2">
      <c r="O166" s="8"/>
      <c r="Q166" s="23"/>
      <c r="S166" s="24"/>
    </row>
    <row r="167" spans="15:19" ht="12.75" x14ac:dyDescent="0.2">
      <c r="O167" s="8"/>
      <c r="Q167" s="23"/>
      <c r="S167" s="24"/>
    </row>
    <row r="168" spans="15:19" ht="12.75" x14ac:dyDescent="0.2">
      <c r="O168" s="8"/>
      <c r="Q168" s="23"/>
      <c r="S168" s="24"/>
    </row>
    <row r="169" spans="15:19" ht="12.75" x14ac:dyDescent="0.2">
      <c r="O169" s="8"/>
      <c r="Q169" s="23"/>
      <c r="S169" s="24"/>
    </row>
    <row r="170" spans="15:19" ht="12.75" x14ac:dyDescent="0.2">
      <c r="O170" s="8"/>
      <c r="Q170" s="23"/>
      <c r="S170" s="24"/>
    </row>
    <row r="171" spans="15:19" ht="12.75" x14ac:dyDescent="0.2">
      <c r="O171" s="8"/>
      <c r="Q171" s="23"/>
      <c r="S171" s="24"/>
    </row>
    <row r="172" spans="15:19" ht="12.75" x14ac:dyDescent="0.2">
      <c r="O172" s="8"/>
      <c r="Q172" s="23"/>
      <c r="S172" s="24"/>
    </row>
    <row r="173" spans="15:19" ht="12.75" x14ac:dyDescent="0.2">
      <c r="O173" s="8"/>
      <c r="Q173" s="23"/>
      <c r="S173" s="24"/>
    </row>
    <row r="174" spans="15:19" ht="12.75" x14ac:dyDescent="0.2">
      <c r="O174" s="8"/>
      <c r="Q174" s="23"/>
      <c r="S174" s="24"/>
    </row>
    <row r="175" spans="15:19" ht="12.75" x14ac:dyDescent="0.2">
      <c r="O175" s="8"/>
      <c r="Q175" s="23"/>
      <c r="S175" s="24"/>
    </row>
    <row r="176" spans="15:19" ht="12.75" x14ac:dyDescent="0.2">
      <c r="O176" s="8"/>
      <c r="Q176" s="23"/>
      <c r="S176" s="24"/>
    </row>
    <row r="177" spans="15:19" ht="12.75" x14ac:dyDescent="0.2">
      <c r="O177" s="8"/>
      <c r="Q177" s="23"/>
      <c r="S177" s="24"/>
    </row>
    <row r="178" spans="15:19" ht="12.75" x14ac:dyDescent="0.2">
      <c r="O178" s="8"/>
      <c r="Q178" s="23"/>
      <c r="S178" s="24"/>
    </row>
    <row r="179" spans="15:19" ht="12.75" x14ac:dyDescent="0.2">
      <c r="O179" s="8"/>
      <c r="Q179" s="23"/>
      <c r="S179" s="24"/>
    </row>
    <row r="180" spans="15:19" ht="12.75" x14ac:dyDescent="0.2">
      <c r="O180" s="8"/>
      <c r="Q180" s="23"/>
      <c r="S180" s="24"/>
    </row>
    <row r="181" spans="15:19" ht="12.75" x14ac:dyDescent="0.2">
      <c r="O181" s="8"/>
      <c r="Q181" s="23"/>
      <c r="S181" s="24"/>
    </row>
    <row r="182" spans="15:19" ht="12.75" x14ac:dyDescent="0.2">
      <c r="O182" s="8"/>
      <c r="Q182" s="23"/>
      <c r="S182" s="24"/>
    </row>
    <row r="183" spans="15:19" ht="12.75" x14ac:dyDescent="0.2">
      <c r="O183" s="8"/>
      <c r="Q183" s="23"/>
      <c r="S183" s="24"/>
    </row>
    <row r="184" spans="15:19" ht="12.75" x14ac:dyDescent="0.2">
      <c r="O184" s="8"/>
      <c r="Q184" s="23"/>
      <c r="S184" s="24"/>
    </row>
    <row r="185" spans="15:19" ht="12.75" x14ac:dyDescent="0.2">
      <c r="O185" s="8"/>
      <c r="Q185" s="23"/>
      <c r="S185" s="24"/>
    </row>
    <row r="186" spans="15:19" ht="12.75" x14ac:dyDescent="0.2">
      <c r="O186" s="8"/>
      <c r="Q186" s="23"/>
      <c r="S186" s="24"/>
    </row>
    <row r="187" spans="15:19" ht="12.75" x14ac:dyDescent="0.2">
      <c r="O187" s="8"/>
      <c r="Q187" s="23"/>
      <c r="S187" s="24"/>
    </row>
    <row r="188" spans="15:19" ht="12.75" x14ac:dyDescent="0.2">
      <c r="O188" s="8"/>
      <c r="Q188" s="23"/>
      <c r="S188" s="24"/>
    </row>
    <row r="189" spans="15:19" ht="12.75" x14ac:dyDescent="0.2">
      <c r="O189" s="8"/>
      <c r="Q189" s="23"/>
      <c r="S189" s="24"/>
    </row>
    <row r="190" spans="15:19" ht="12.75" x14ac:dyDescent="0.2">
      <c r="O190" s="8"/>
      <c r="Q190" s="23"/>
      <c r="S190" s="24"/>
    </row>
    <row r="191" spans="15:19" ht="12.75" x14ac:dyDescent="0.2">
      <c r="O191" s="8"/>
      <c r="Q191" s="23"/>
      <c r="S191" s="24"/>
    </row>
    <row r="192" spans="15:19" ht="12.75" x14ac:dyDescent="0.2">
      <c r="O192" s="8"/>
      <c r="Q192" s="23"/>
      <c r="S192" s="24"/>
    </row>
    <row r="193" spans="15:19" ht="12.75" x14ac:dyDescent="0.2">
      <c r="O193" s="8"/>
      <c r="Q193" s="23"/>
      <c r="S193" s="24"/>
    </row>
    <row r="194" spans="15:19" ht="12.75" x14ac:dyDescent="0.2">
      <c r="O194" s="8"/>
      <c r="Q194" s="23"/>
      <c r="S194" s="24"/>
    </row>
    <row r="195" spans="15:19" ht="12.75" x14ac:dyDescent="0.2">
      <c r="O195" s="8"/>
      <c r="Q195" s="23"/>
      <c r="S195" s="24"/>
    </row>
    <row r="196" spans="15:19" ht="12.75" x14ac:dyDescent="0.2">
      <c r="O196" s="8"/>
      <c r="Q196" s="23"/>
      <c r="S196" s="24"/>
    </row>
    <row r="197" spans="15:19" ht="12.75" x14ac:dyDescent="0.2">
      <c r="O197" s="8"/>
      <c r="Q197" s="23"/>
      <c r="S197" s="24"/>
    </row>
    <row r="198" spans="15:19" ht="12.75" x14ac:dyDescent="0.2">
      <c r="O198" s="8"/>
      <c r="Q198" s="23"/>
      <c r="S198" s="24"/>
    </row>
    <row r="199" spans="15:19" ht="12.75" x14ac:dyDescent="0.2">
      <c r="O199" s="8"/>
      <c r="Q199" s="23"/>
      <c r="S199" s="24"/>
    </row>
    <row r="200" spans="15:19" ht="12.75" x14ac:dyDescent="0.2">
      <c r="O200" s="8"/>
      <c r="Q200" s="23"/>
      <c r="S200" s="24"/>
    </row>
    <row r="201" spans="15:19" ht="12.75" x14ac:dyDescent="0.2">
      <c r="O201" s="8"/>
      <c r="Q201" s="23"/>
      <c r="S201" s="24"/>
    </row>
    <row r="202" spans="15:19" ht="12.75" x14ac:dyDescent="0.2">
      <c r="O202" s="8"/>
      <c r="Q202" s="23"/>
      <c r="S202" s="24"/>
    </row>
    <row r="203" spans="15:19" ht="12.75" x14ac:dyDescent="0.2">
      <c r="O203" s="8"/>
      <c r="Q203" s="23"/>
      <c r="S203" s="24"/>
    </row>
    <row r="204" spans="15:19" ht="12.75" x14ac:dyDescent="0.2">
      <c r="O204" s="8"/>
      <c r="Q204" s="23"/>
      <c r="S204" s="24"/>
    </row>
    <row r="205" spans="15:19" ht="12.75" x14ac:dyDescent="0.2">
      <c r="O205" s="8"/>
      <c r="Q205" s="23"/>
      <c r="S205" s="24"/>
    </row>
    <row r="206" spans="15:19" ht="12.75" x14ac:dyDescent="0.2">
      <c r="O206" s="8"/>
      <c r="Q206" s="23"/>
      <c r="S206" s="24"/>
    </row>
    <row r="207" spans="15:19" ht="12.75" x14ac:dyDescent="0.2">
      <c r="O207" s="8"/>
      <c r="Q207" s="23"/>
      <c r="S207" s="24"/>
    </row>
    <row r="208" spans="15:19" ht="12.75" x14ac:dyDescent="0.2">
      <c r="O208" s="8"/>
      <c r="Q208" s="23"/>
      <c r="S208" s="24"/>
    </row>
    <row r="209" spans="15:19" ht="12.75" x14ac:dyDescent="0.2">
      <c r="O209" s="8"/>
      <c r="Q209" s="23"/>
      <c r="S209" s="24"/>
    </row>
    <row r="210" spans="15:19" ht="12.75" x14ac:dyDescent="0.2">
      <c r="O210" s="8"/>
      <c r="Q210" s="23"/>
      <c r="S210" s="24"/>
    </row>
    <row r="211" spans="15:19" ht="12.75" x14ac:dyDescent="0.2">
      <c r="O211" s="8"/>
      <c r="Q211" s="23"/>
      <c r="S211" s="24"/>
    </row>
    <row r="212" spans="15:19" ht="12.75" x14ac:dyDescent="0.2">
      <c r="O212" s="8"/>
      <c r="Q212" s="23"/>
      <c r="S212" s="24"/>
    </row>
    <row r="213" spans="15:19" ht="12.75" x14ac:dyDescent="0.2">
      <c r="O213" s="8"/>
      <c r="Q213" s="23"/>
      <c r="S213" s="24"/>
    </row>
    <row r="214" spans="15:19" ht="12.75" x14ac:dyDescent="0.2">
      <c r="O214" s="8"/>
      <c r="Q214" s="23"/>
      <c r="S214" s="24"/>
    </row>
    <row r="215" spans="15:19" ht="12.75" x14ac:dyDescent="0.2">
      <c r="O215" s="8"/>
      <c r="Q215" s="23"/>
      <c r="S215" s="24"/>
    </row>
    <row r="216" spans="15:19" ht="12.75" x14ac:dyDescent="0.2">
      <c r="O216" s="8"/>
      <c r="Q216" s="23"/>
      <c r="S216" s="24"/>
    </row>
    <row r="217" spans="15:19" ht="12.75" x14ac:dyDescent="0.2">
      <c r="O217" s="8"/>
      <c r="Q217" s="23"/>
      <c r="S217" s="24"/>
    </row>
    <row r="218" spans="15:19" ht="12.75" x14ac:dyDescent="0.2">
      <c r="O218" s="8"/>
      <c r="Q218" s="23"/>
      <c r="S218" s="24"/>
    </row>
    <row r="219" spans="15:19" ht="12.75" x14ac:dyDescent="0.2">
      <c r="O219" s="8"/>
      <c r="Q219" s="23"/>
      <c r="S219" s="24"/>
    </row>
    <row r="220" spans="15:19" ht="12.75" x14ac:dyDescent="0.2">
      <c r="O220" s="8"/>
      <c r="Q220" s="23"/>
      <c r="S220" s="24"/>
    </row>
    <row r="221" spans="15:19" ht="12.75" x14ac:dyDescent="0.2">
      <c r="O221" s="8"/>
      <c r="Q221" s="23"/>
      <c r="S221" s="24"/>
    </row>
    <row r="222" spans="15:19" ht="12.75" x14ac:dyDescent="0.2">
      <c r="O222" s="8"/>
      <c r="Q222" s="23"/>
      <c r="S222" s="24"/>
    </row>
    <row r="223" spans="15:19" ht="12.75" x14ac:dyDescent="0.2">
      <c r="O223" s="8"/>
      <c r="Q223" s="23"/>
      <c r="S223" s="24"/>
    </row>
    <row r="224" spans="15:19" ht="12.75" x14ac:dyDescent="0.2">
      <c r="O224" s="8"/>
      <c r="Q224" s="23"/>
      <c r="S224" s="24"/>
    </row>
    <row r="225" spans="15:19" ht="12.75" x14ac:dyDescent="0.2">
      <c r="O225" s="8"/>
      <c r="Q225" s="23"/>
      <c r="S225" s="24"/>
    </row>
    <row r="226" spans="15:19" ht="12.75" x14ac:dyDescent="0.2">
      <c r="O226" s="8"/>
      <c r="Q226" s="23"/>
      <c r="S226" s="24"/>
    </row>
    <row r="227" spans="15:19" ht="12.75" x14ac:dyDescent="0.2">
      <c r="O227" s="8"/>
      <c r="Q227" s="23"/>
      <c r="S227" s="24"/>
    </row>
    <row r="228" spans="15:19" ht="12.75" x14ac:dyDescent="0.2">
      <c r="O228" s="8"/>
      <c r="Q228" s="23"/>
      <c r="S228" s="24"/>
    </row>
    <row r="229" spans="15:19" ht="12.75" x14ac:dyDescent="0.2">
      <c r="O229" s="8"/>
      <c r="Q229" s="23"/>
      <c r="S229" s="24"/>
    </row>
    <row r="230" spans="15:19" ht="12.75" x14ac:dyDescent="0.2">
      <c r="O230" s="8"/>
      <c r="Q230" s="23"/>
      <c r="S230" s="24"/>
    </row>
    <row r="231" spans="15:19" ht="12.75" x14ac:dyDescent="0.2">
      <c r="O231" s="8"/>
      <c r="Q231" s="23"/>
      <c r="S231" s="24"/>
    </row>
    <row r="232" spans="15:19" ht="12.75" x14ac:dyDescent="0.2">
      <c r="O232" s="8"/>
      <c r="Q232" s="23"/>
      <c r="S232" s="24"/>
    </row>
    <row r="233" spans="15:19" ht="12.75" x14ac:dyDescent="0.2">
      <c r="O233" s="8"/>
      <c r="Q233" s="23"/>
      <c r="S233" s="24"/>
    </row>
    <row r="234" spans="15:19" ht="12.75" x14ac:dyDescent="0.2">
      <c r="O234" s="8"/>
      <c r="Q234" s="23"/>
      <c r="S234" s="24"/>
    </row>
    <row r="235" spans="15:19" ht="12.75" x14ac:dyDescent="0.2">
      <c r="O235" s="8"/>
      <c r="Q235" s="23"/>
      <c r="S235" s="24"/>
    </row>
    <row r="236" spans="15:19" ht="12.75" x14ac:dyDescent="0.2">
      <c r="O236" s="8"/>
      <c r="Q236" s="23"/>
      <c r="S236" s="24"/>
    </row>
    <row r="237" spans="15:19" ht="12.75" x14ac:dyDescent="0.2">
      <c r="O237" s="8"/>
      <c r="Q237" s="23"/>
      <c r="S237" s="24"/>
    </row>
    <row r="238" spans="15:19" ht="12.75" x14ac:dyDescent="0.2">
      <c r="O238" s="8"/>
      <c r="Q238" s="23"/>
      <c r="S238" s="24"/>
    </row>
    <row r="239" spans="15:19" ht="12.75" x14ac:dyDescent="0.2">
      <c r="O239" s="8"/>
      <c r="Q239" s="23"/>
      <c r="S239" s="24"/>
    </row>
    <row r="240" spans="15:19" ht="12.75" x14ac:dyDescent="0.2">
      <c r="O240" s="8"/>
      <c r="Q240" s="23"/>
      <c r="S240" s="24"/>
    </row>
    <row r="241" spans="15:19" ht="12.75" x14ac:dyDescent="0.2">
      <c r="O241" s="8"/>
      <c r="Q241" s="23"/>
      <c r="S241" s="24"/>
    </row>
    <row r="242" spans="15:19" ht="12.75" x14ac:dyDescent="0.2">
      <c r="O242" s="8"/>
      <c r="Q242" s="23"/>
      <c r="S242" s="24"/>
    </row>
    <row r="243" spans="15:19" ht="12.75" x14ac:dyDescent="0.2">
      <c r="O243" s="8"/>
      <c r="Q243" s="23"/>
      <c r="S243" s="24"/>
    </row>
    <row r="244" spans="15:19" ht="12.75" x14ac:dyDescent="0.2">
      <c r="O244" s="8"/>
      <c r="Q244" s="23"/>
      <c r="S244" s="24"/>
    </row>
    <row r="245" spans="15:19" ht="12.75" x14ac:dyDescent="0.2">
      <c r="O245" s="8"/>
      <c r="Q245" s="23"/>
      <c r="S245" s="24"/>
    </row>
    <row r="246" spans="15:19" ht="12.75" x14ac:dyDescent="0.2">
      <c r="O246" s="8"/>
      <c r="Q246" s="23"/>
      <c r="S246" s="24"/>
    </row>
    <row r="247" spans="15:19" ht="12.75" x14ac:dyDescent="0.2">
      <c r="O247" s="8"/>
      <c r="Q247" s="23"/>
      <c r="S247" s="24"/>
    </row>
    <row r="248" spans="15:19" ht="12.75" x14ac:dyDescent="0.2">
      <c r="O248" s="8"/>
      <c r="Q248" s="23"/>
      <c r="S248" s="24"/>
    </row>
    <row r="249" spans="15:19" ht="12.75" x14ac:dyDescent="0.2">
      <c r="O249" s="8"/>
      <c r="Q249" s="23"/>
      <c r="S249" s="24"/>
    </row>
    <row r="250" spans="15:19" ht="12.75" x14ac:dyDescent="0.2">
      <c r="O250" s="8"/>
      <c r="Q250" s="23"/>
      <c r="S250" s="24"/>
    </row>
    <row r="251" spans="15:19" ht="12.75" x14ac:dyDescent="0.2">
      <c r="O251" s="8"/>
      <c r="Q251" s="23"/>
      <c r="S251" s="24"/>
    </row>
    <row r="252" spans="15:19" ht="12.75" x14ac:dyDescent="0.2">
      <c r="O252" s="8"/>
      <c r="Q252" s="23"/>
      <c r="S252" s="24"/>
    </row>
    <row r="253" spans="15:19" ht="12.75" x14ac:dyDescent="0.2">
      <c r="O253" s="8"/>
      <c r="Q253" s="23"/>
      <c r="S253" s="24"/>
    </row>
    <row r="254" spans="15:19" ht="12.75" x14ac:dyDescent="0.2">
      <c r="O254" s="8"/>
      <c r="Q254" s="23"/>
      <c r="S254" s="24"/>
    </row>
    <row r="255" spans="15:19" ht="12.75" x14ac:dyDescent="0.2">
      <c r="O255" s="8"/>
      <c r="Q255" s="23"/>
      <c r="S255" s="24"/>
    </row>
    <row r="256" spans="15:19" ht="12.75" x14ac:dyDescent="0.2">
      <c r="O256" s="8"/>
      <c r="Q256" s="23"/>
      <c r="S256" s="24"/>
    </row>
    <row r="257" spans="15:19" ht="12.75" x14ac:dyDescent="0.2">
      <c r="O257" s="8"/>
      <c r="Q257" s="23"/>
      <c r="S257" s="24"/>
    </row>
    <row r="258" spans="15:19" ht="12.75" x14ac:dyDescent="0.2">
      <c r="O258" s="8"/>
      <c r="Q258" s="23"/>
      <c r="S258" s="24"/>
    </row>
    <row r="259" spans="15:19" ht="12.75" x14ac:dyDescent="0.2">
      <c r="O259" s="8"/>
      <c r="Q259" s="23"/>
      <c r="S259" s="24"/>
    </row>
    <row r="260" spans="15:19" ht="12.75" x14ac:dyDescent="0.2">
      <c r="O260" s="8"/>
      <c r="Q260" s="23"/>
      <c r="S260" s="24"/>
    </row>
    <row r="261" spans="15:19" ht="12.75" x14ac:dyDescent="0.2">
      <c r="O261" s="8"/>
      <c r="Q261" s="23"/>
      <c r="S261" s="24"/>
    </row>
    <row r="262" spans="15:19" ht="12.75" x14ac:dyDescent="0.2">
      <c r="O262" s="8"/>
      <c r="Q262" s="23"/>
      <c r="S262" s="24"/>
    </row>
    <row r="263" spans="15:19" ht="12.75" x14ac:dyDescent="0.2">
      <c r="O263" s="8"/>
      <c r="Q263" s="23"/>
      <c r="S263" s="24"/>
    </row>
    <row r="264" spans="15:19" ht="12.75" x14ac:dyDescent="0.2">
      <c r="O264" s="8"/>
      <c r="Q264" s="23"/>
      <c r="S264" s="24"/>
    </row>
    <row r="265" spans="15:19" ht="12.75" x14ac:dyDescent="0.2">
      <c r="O265" s="8"/>
      <c r="Q265" s="23"/>
      <c r="S265" s="24"/>
    </row>
    <row r="266" spans="15:19" ht="12.75" x14ac:dyDescent="0.2">
      <c r="O266" s="8"/>
      <c r="Q266" s="23"/>
      <c r="S266" s="24"/>
    </row>
    <row r="267" spans="15:19" ht="12.75" x14ac:dyDescent="0.2">
      <c r="O267" s="8"/>
      <c r="Q267" s="23"/>
      <c r="S267" s="24"/>
    </row>
    <row r="268" spans="15:19" ht="12.75" x14ac:dyDescent="0.2">
      <c r="O268" s="8"/>
      <c r="Q268" s="23"/>
      <c r="S268" s="24"/>
    </row>
    <row r="269" spans="15:19" ht="12.75" x14ac:dyDescent="0.2">
      <c r="O269" s="8"/>
      <c r="Q269" s="23"/>
      <c r="S269" s="24"/>
    </row>
    <row r="270" spans="15:19" ht="12.75" x14ac:dyDescent="0.2">
      <c r="O270" s="8"/>
      <c r="Q270" s="23"/>
      <c r="S270" s="24"/>
    </row>
    <row r="271" spans="15:19" ht="12.75" x14ac:dyDescent="0.2">
      <c r="O271" s="8"/>
      <c r="Q271" s="23"/>
      <c r="S271" s="24"/>
    </row>
    <row r="272" spans="15:19" ht="12.75" x14ac:dyDescent="0.2">
      <c r="O272" s="8"/>
      <c r="Q272" s="23"/>
      <c r="S272" s="24"/>
    </row>
    <row r="273" spans="15:19" ht="12.75" x14ac:dyDescent="0.2">
      <c r="O273" s="8"/>
      <c r="Q273" s="23"/>
      <c r="S273" s="24"/>
    </row>
    <row r="274" spans="15:19" ht="12.75" x14ac:dyDescent="0.2">
      <c r="O274" s="8"/>
      <c r="Q274" s="23"/>
      <c r="S274" s="24"/>
    </row>
    <row r="275" spans="15:19" ht="12.75" x14ac:dyDescent="0.2">
      <c r="O275" s="8"/>
      <c r="Q275" s="23"/>
      <c r="S275" s="24"/>
    </row>
    <row r="276" spans="15:19" ht="12.75" x14ac:dyDescent="0.2">
      <c r="O276" s="8"/>
      <c r="Q276" s="23"/>
      <c r="S276" s="24"/>
    </row>
    <row r="277" spans="15:19" ht="12.75" x14ac:dyDescent="0.2">
      <c r="O277" s="8"/>
      <c r="Q277" s="23"/>
      <c r="S277" s="24"/>
    </row>
    <row r="278" spans="15:19" ht="12.75" x14ac:dyDescent="0.2">
      <c r="O278" s="8"/>
      <c r="Q278" s="23"/>
      <c r="S278" s="24"/>
    </row>
    <row r="279" spans="15:19" ht="12.75" x14ac:dyDescent="0.2">
      <c r="O279" s="8"/>
      <c r="Q279" s="23"/>
      <c r="S279" s="24"/>
    </row>
    <row r="280" spans="15:19" ht="12.75" x14ac:dyDescent="0.2">
      <c r="O280" s="8"/>
      <c r="Q280" s="23"/>
      <c r="S280" s="24"/>
    </row>
    <row r="281" spans="15:19" ht="12.75" x14ac:dyDescent="0.2">
      <c r="O281" s="8"/>
      <c r="Q281" s="23"/>
      <c r="S281" s="24"/>
    </row>
    <row r="282" spans="15:19" ht="12.75" x14ac:dyDescent="0.2">
      <c r="O282" s="8"/>
      <c r="Q282" s="23"/>
      <c r="S282" s="24"/>
    </row>
    <row r="283" spans="15:19" ht="12.75" x14ac:dyDescent="0.2">
      <c r="O283" s="8"/>
      <c r="Q283" s="23"/>
      <c r="S283" s="24"/>
    </row>
    <row r="284" spans="15:19" ht="12.75" x14ac:dyDescent="0.2">
      <c r="O284" s="8"/>
      <c r="Q284" s="23"/>
      <c r="S284" s="24"/>
    </row>
    <row r="285" spans="15:19" ht="12.75" x14ac:dyDescent="0.2">
      <c r="O285" s="8"/>
      <c r="Q285" s="23"/>
      <c r="S285" s="24"/>
    </row>
    <row r="286" spans="15:19" ht="12.75" x14ac:dyDescent="0.2">
      <c r="O286" s="8"/>
      <c r="Q286" s="23"/>
      <c r="S286" s="24"/>
    </row>
    <row r="287" spans="15:19" ht="12.75" x14ac:dyDescent="0.2">
      <c r="O287" s="8"/>
      <c r="Q287" s="23"/>
      <c r="S287" s="24"/>
    </row>
    <row r="288" spans="15:19" ht="12.75" x14ac:dyDescent="0.2">
      <c r="O288" s="8"/>
      <c r="Q288" s="23"/>
      <c r="S288" s="24"/>
    </row>
    <row r="289" spans="15:19" ht="12.75" x14ac:dyDescent="0.2">
      <c r="O289" s="8"/>
      <c r="Q289" s="23"/>
      <c r="S289" s="24"/>
    </row>
    <row r="290" spans="15:19" ht="12.75" x14ac:dyDescent="0.2">
      <c r="O290" s="8"/>
      <c r="Q290" s="23"/>
      <c r="S290" s="24"/>
    </row>
    <row r="291" spans="15:19" ht="12.75" x14ac:dyDescent="0.2">
      <c r="O291" s="8"/>
      <c r="Q291" s="23"/>
      <c r="S291" s="24"/>
    </row>
    <row r="292" spans="15:19" ht="12.75" x14ac:dyDescent="0.2">
      <c r="O292" s="8"/>
      <c r="Q292" s="23"/>
      <c r="S292" s="24"/>
    </row>
    <row r="293" spans="15:19" ht="12.75" x14ac:dyDescent="0.2">
      <c r="O293" s="8"/>
      <c r="Q293" s="23"/>
      <c r="S293" s="24"/>
    </row>
    <row r="294" spans="15:19" ht="12.75" x14ac:dyDescent="0.2">
      <c r="O294" s="8"/>
      <c r="Q294" s="23"/>
      <c r="S294" s="24"/>
    </row>
    <row r="295" spans="15:19" ht="12.75" x14ac:dyDescent="0.2">
      <c r="O295" s="8"/>
      <c r="Q295" s="23"/>
      <c r="S295" s="24"/>
    </row>
    <row r="296" spans="15:19" ht="12.75" x14ac:dyDescent="0.2">
      <c r="O296" s="8"/>
      <c r="Q296" s="23"/>
      <c r="S296" s="24"/>
    </row>
    <row r="297" spans="15:19" ht="12.75" x14ac:dyDescent="0.2">
      <c r="O297" s="8"/>
      <c r="Q297" s="23"/>
      <c r="S297" s="24"/>
    </row>
    <row r="298" spans="15:19" ht="12.75" x14ac:dyDescent="0.2">
      <c r="O298" s="8"/>
      <c r="Q298" s="23"/>
      <c r="S298" s="24"/>
    </row>
    <row r="299" spans="15:19" ht="12.75" x14ac:dyDescent="0.2">
      <c r="O299" s="8"/>
      <c r="Q299" s="23"/>
      <c r="S299" s="24"/>
    </row>
    <row r="300" spans="15:19" ht="12.75" x14ac:dyDescent="0.2">
      <c r="O300" s="8"/>
      <c r="Q300" s="23"/>
      <c r="S300" s="24"/>
    </row>
    <row r="301" spans="15:19" ht="12.75" x14ac:dyDescent="0.2">
      <c r="O301" s="8"/>
      <c r="Q301" s="23"/>
      <c r="S301" s="24"/>
    </row>
    <row r="302" spans="15:19" ht="12.75" x14ac:dyDescent="0.2">
      <c r="O302" s="8"/>
      <c r="Q302" s="23"/>
      <c r="S302" s="24"/>
    </row>
    <row r="303" spans="15:19" ht="12.75" x14ac:dyDescent="0.2">
      <c r="O303" s="8"/>
      <c r="Q303" s="23"/>
      <c r="S303" s="24"/>
    </row>
    <row r="304" spans="15:19" ht="12.75" x14ac:dyDescent="0.2">
      <c r="O304" s="8"/>
      <c r="Q304" s="23"/>
      <c r="S304" s="24"/>
    </row>
    <row r="305" spans="15:19" ht="12.75" x14ac:dyDescent="0.2">
      <c r="O305" s="8"/>
      <c r="Q305" s="23"/>
      <c r="S305" s="24"/>
    </row>
    <row r="306" spans="15:19" ht="12.75" x14ac:dyDescent="0.2">
      <c r="O306" s="8"/>
      <c r="Q306" s="23"/>
      <c r="S306" s="24"/>
    </row>
    <row r="307" spans="15:19" ht="12.75" x14ac:dyDescent="0.2">
      <c r="O307" s="8"/>
      <c r="Q307" s="23"/>
      <c r="S307" s="24"/>
    </row>
    <row r="308" spans="15:19" ht="12.75" x14ac:dyDescent="0.2">
      <c r="O308" s="8"/>
      <c r="Q308" s="23"/>
      <c r="S308" s="24"/>
    </row>
    <row r="309" spans="15:19" ht="12.75" x14ac:dyDescent="0.2">
      <c r="O309" s="8"/>
      <c r="Q309" s="23"/>
      <c r="S309" s="24"/>
    </row>
    <row r="310" spans="15:19" ht="12.75" x14ac:dyDescent="0.2">
      <c r="O310" s="8"/>
      <c r="Q310" s="23"/>
      <c r="S310" s="24"/>
    </row>
    <row r="311" spans="15:19" ht="12.75" x14ac:dyDescent="0.2">
      <c r="O311" s="8"/>
      <c r="Q311" s="23"/>
      <c r="S311" s="24"/>
    </row>
    <row r="312" spans="15:19" ht="12.75" x14ac:dyDescent="0.2">
      <c r="O312" s="8"/>
      <c r="Q312" s="23"/>
      <c r="S312" s="24"/>
    </row>
    <row r="313" spans="15:19" ht="12.75" x14ac:dyDescent="0.2">
      <c r="O313" s="8"/>
      <c r="Q313" s="23"/>
      <c r="S313" s="24"/>
    </row>
    <row r="314" spans="15:19" ht="12.75" x14ac:dyDescent="0.2">
      <c r="O314" s="8"/>
      <c r="Q314" s="23"/>
      <c r="S314" s="24"/>
    </row>
    <row r="315" spans="15:19" ht="12.75" x14ac:dyDescent="0.2">
      <c r="O315" s="8"/>
      <c r="Q315" s="23"/>
      <c r="S315" s="24"/>
    </row>
    <row r="316" spans="15:19" ht="12.75" x14ac:dyDescent="0.2">
      <c r="O316" s="8"/>
      <c r="Q316" s="23"/>
      <c r="S316" s="24"/>
    </row>
    <row r="317" spans="15:19" ht="12.75" x14ac:dyDescent="0.2">
      <c r="O317" s="8"/>
      <c r="Q317" s="23"/>
      <c r="S317" s="24"/>
    </row>
    <row r="318" spans="15:19" ht="12.75" x14ac:dyDescent="0.2">
      <c r="O318" s="8"/>
      <c r="Q318" s="23"/>
      <c r="S318" s="24"/>
    </row>
    <row r="319" spans="15:19" ht="12.75" x14ac:dyDescent="0.2">
      <c r="O319" s="8"/>
      <c r="Q319" s="23"/>
      <c r="S319" s="24"/>
    </row>
    <row r="320" spans="15:19" ht="12.75" x14ac:dyDescent="0.2">
      <c r="O320" s="8"/>
      <c r="Q320" s="23"/>
      <c r="S320" s="24"/>
    </row>
    <row r="321" spans="15:19" ht="12.75" x14ac:dyDescent="0.2">
      <c r="O321" s="8"/>
      <c r="Q321" s="23"/>
      <c r="S321" s="24"/>
    </row>
    <row r="322" spans="15:19" ht="12.75" x14ac:dyDescent="0.2">
      <c r="O322" s="8"/>
      <c r="Q322" s="23"/>
      <c r="S322" s="24"/>
    </row>
    <row r="323" spans="15:19" ht="12.75" x14ac:dyDescent="0.2">
      <c r="O323" s="8"/>
      <c r="Q323" s="23"/>
      <c r="S323" s="24"/>
    </row>
    <row r="324" spans="15:19" ht="12.75" x14ac:dyDescent="0.2">
      <c r="O324" s="8"/>
      <c r="Q324" s="23"/>
      <c r="S324" s="24"/>
    </row>
    <row r="325" spans="15:19" ht="12.75" x14ac:dyDescent="0.2">
      <c r="O325" s="8"/>
      <c r="Q325" s="23"/>
      <c r="S325" s="24"/>
    </row>
    <row r="326" spans="15:19" ht="12.75" x14ac:dyDescent="0.2">
      <c r="O326" s="8"/>
      <c r="Q326" s="23"/>
      <c r="S326" s="24"/>
    </row>
    <row r="327" spans="15:19" ht="12.75" x14ac:dyDescent="0.2">
      <c r="O327" s="8"/>
      <c r="Q327" s="23"/>
      <c r="S327" s="24"/>
    </row>
    <row r="328" spans="15:19" ht="12.75" x14ac:dyDescent="0.2">
      <c r="O328" s="8"/>
      <c r="Q328" s="23"/>
      <c r="S328" s="24"/>
    </row>
    <row r="329" spans="15:19" ht="12.75" x14ac:dyDescent="0.2">
      <c r="O329" s="8"/>
      <c r="Q329" s="23"/>
      <c r="S329" s="24"/>
    </row>
    <row r="330" spans="15:19" ht="12.75" x14ac:dyDescent="0.2">
      <c r="O330" s="8"/>
      <c r="Q330" s="23"/>
      <c r="S330" s="24"/>
    </row>
    <row r="331" spans="15:19" ht="12.75" x14ac:dyDescent="0.2">
      <c r="O331" s="8"/>
      <c r="Q331" s="23"/>
      <c r="S331" s="24"/>
    </row>
    <row r="332" spans="15:19" ht="12.75" x14ac:dyDescent="0.2">
      <c r="O332" s="8"/>
      <c r="Q332" s="23"/>
      <c r="S332" s="24"/>
    </row>
    <row r="333" spans="15:19" ht="12.75" x14ac:dyDescent="0.2">
      <c r="O333" s="8"/>
      <c r="Q333" s="23"/>
      <c r="S333" s="24"/>
    </row>
    <row r="334" spans="15:19" ht="12.75" x14ac:dyDescent="0.2">
      <c r="O334" s="8"/>
      <c r="Q334" s="23"/>
      <c r="S334" s="24"/>
    </row>
    <row r="335" spans="15:19" ht="12.75" x14ac:dyDescent="0.2">
      <c r="O335" s="8"/>
      <c r="Q335" s="23"/>
      <c r="S335" s="24"/>
    </row>
    <row r="336" spans="15:19" ht="12.75" x14ac:dyDescent="0.2">
      <c r="O336" s="8"/>
      <c r="Q336" s="23"/>
      <c r="S336" s="24"/>
    </row>
    <row r="337" spans="15:19" ht="12.75" x14ac:dyDescent="0.2">
      <c r="O337" s="8"/>
      <c r="Q337" s="23"/>
      <c r="S337" s="24"/>
    </row>
    <row r="338" spans="15:19" ht="12.75" x14ac:dyDescent="0.2">
      <c r="O338" s="8"/>
      <c r="Q338" s="23"/>
      <c r="S338" s="24"/>
    </row>
    <row r="339" spans="15:19" ht="12.75" x14ac:dyDescent="0.2">
      <c r="O339" s="8"/>
      <c r="Q339" s="23"/>
      <c r="S339" s="24"/>
    </row>
    <row r="340" spans="15:19" ht="12.75" x14ac:dyDescent="0.2">
      <c r="O340" s="8"/>
      <c r="Q340" s="23"/>
      <c r="S340" s="24"/>
    </row>
    <row r="341" spans="15:19" ht="12.75" x14ac:dyDescent="0.2">
      <c r="O341" s="8"/>
      <c r="Q341" s="23"/>
      <c r="S341" s="24"/>
    </row>
    <row r="342" spans="15:19" ht="12.75" x14ac:dyDescent="0.2">
      <c r="O342" s="8"/>
      <c r="Q342" s="23"/>
      <c r="S342" s="24"/>
    </row>
    <row r="343" spans="15:19" ht="12.75" x14ac:dyDescent="0.2">
      <c r="O343" s="8"/>
      <c r="Q343" s="23"/>
      <c r="S343" s="24"/>
    </row>
    <row r="344" spans="15:19" ht="12.75" x14ac:dyDescent="0.2">
      <c r="O344" s="8"/>
      <c r="Q344" s="23"/>
      <c r="S344" s="24"/>
    </row>
    <row r="345" spans="15:19" ht="12.75" x14ac:dyDescent="0.2">
      <c r="O345" s="8"/>
      <c r="Q345" s="23"/>
      <c r="S345" s="24"/>
    </row>
    <row r="346" spans="15:19" ht="12.75" x14ac:dyDescent="0.2">
      <c r="O346" s="8"/>
      <c r="Q346" s="23"/>
      <c r="S346" s="24"/>
    </row>
    <row r="347" spans="15:19" ht="12.75" x14ac:dyDescent="0.2">
      <c r="O347" s="8"/>
      <c r="Q347" s="23"/>
      <c r="S347" s="24"/>
    </row>
    <row r="348" spans="15:19" ht="12.75" x14ac:dyDescent="0.2">
      <c r="O348" s="8"/>
      <c r="Q348" s="23"/>
      <c r="S348" s="24"/>
    </row>
    <row r="349" spans="15:19" ht="12.75" x14ac:dyDescent="0.2">
      <c r="O349" s="8"/>
      <c r="Q349" s="23"/>
      <c r="S349" s="24"/>
    </row>
    <row r="350" spans="15:19" ht="12.75" x14ac:dyDescent="0.2">
      <c r="O350" s="8"/>
      <c r="Q350" s="23"/>
      <c r="S350" s="24"/>
    </row>
    <row r="351" spans="15:19" ht="12.75" x14ac:dyDescent="0.2">
      <c r="O351" s="8"/>
      <c r="Q351" s="23"/>
      <c r="S351" s="24"/>
    </row>
    <row r="352" spans="15:19" ht="12.75" x14ac:dyDescent="0.2">
      <c r="O352" s="8"/>
      <c r="Q352" s="23"/>
      <c r="S352" s="24"/>
    </row>
    <row r="353" spans="15:19" ht="12.75" x14ac:dyDescent="0.2">
      <c r="O353" s="8"/>
      <c r="Q353" s="23"/>
      <c r="S353" s="24"/>
    </row>
    <row r="354" spans="15:19" ht="12.75" x14ac:dyDescent="0.2">
      <c r="O354" s="8"/>
      <c r="Q354" s="23"/>
      <c r="S354" s="24"/>
    </row>
    <row r="355" spans="15:19" ht="12.75" x14ac:dyDescent="0.2">
      <c r="O355" s="8"/>
      <c r="Q355" s="23"/>
      <c r="S355" s="24"/>
    </row>
    <row r="356" spans="15:19" ht="12.75" x14ac:dyDescent="0.2">
      <c r="O356" s="8"/>
      <c r="Q356" s="23"/>
      <c r="S356" s="24"/>
    </row>
    <row r="357" spans="15:19" ht="12.75" x14ac:dyDescent="0.2">
      <c r="O357" s="8"/>
      <c r="Q357" s="23"/>
      <c r="S357" s="24"/>
    </row>
    <row r="358" spans="15:19" ht="12.75" x14ac:dyDescent="0.2">
      <c r="O358" s="8"/>
      <c r="Q358" s="23"/>
      <c r="S358" s="24"/>
    </row>
    <row r="359" spans="15:19" ht="12.75" x14ac:dyDescent="0.2">
      <c r="O359" s="8"/>
      <c r="Q359" s="23"/>
      <c r="S359" s="24"/>
    </row>
    <row r="360" spans="15:19" ht="12.75" x14ac:dyDescent="0.2">
      <c r="O360" s="8"/>
      <c r="Q360" s="23"/>
      <c r="S360" s="24"/>
    </row>
    <row r="361" spans="15:19" ht="12.75" x14ac:dyDescent="0.2">
      <c r="O361" s="8"/>
      <c r="Q361" s="23"/>
      <c r="S361" s="24"/>
    </row>
    <row r="362" spans="15:19" ht="12.75" x14ac:dyDescent="0.2">
      <c r="O362" s="8"/>
      <c r="Q362" s="23"/>
      <c r="S362" s="24"/>
    </row>
    <row r="363" spans="15:19" ht="12.75" x14ac:dyDescent="0.2">
      <c r="O363" s="8"/>
      <c r="Q363" s="23"/>
      <c r="S363" s="24"/>
    </row>
    <row r="364" spans="15:19" ht="12.75" x14ac:dyDescent="0.2">
      <c r="O364" s="8"/>
      <c r="Q364" s="23"/>
      <c r="S364" s="24"/>
    </row>
    <row r="365" spans="15:19" ht="12.75" x14ac:dyDescent="0.2">
      <c r="O365" s="8"/>
      <c r="Q365" s="23"/>
      <c r="S365" s="24"/>
    </row>
    <row r="366" spans="15:19" ht="12.75" x14ac:dyDescent="0.2">
      <c r="O366" s="8"/>
      <c r="Q366" s="23"/>
      <c r="S366" s="24"/>
    </row>
    <row r="367" spans="15:19" ht="12.75" x14ac:dyDescent="0.2">
      <c r="O367" s="8"/>
      <c r="Q367" s="23"/>
      <c r="S367" s="24"/>
    </row>
    <row r="368" spans="15:19" ht="12.75" x14ac:dyDescent="0.2">
      <c r="O368" s="8"/>
      <c r="Q368" s="23"/>
      <c r="S368" s="24"/>
    </row>
    <row r="369" spans="15:19" ht="12.75" x14ac:dyDescent="0.2">
      <c r="O369" s="8"/>
      <c r="Q369" s="23"/>
      <c r="S369" s="24"/>
    </row>
    <row r="370" spans="15:19" ht="12.75" x14ac:dyDescent="0.2">
      <c r="O370" s="8"/>
      <c r="Q370" s="23"/>
      <c r="S370" s="24"/>
    </row>
    <row r="371" spans="15:19" ht="12.75" x14ac:dyDescent="0.2">
      <c r="O371" s="8"/>
      <c r="Q371" s="23"/>
      <c r="S371" s="24"/>
    </row>
    <row r="372" spans="15:19" ht="12.75" x14ac:dyDescent="0.2">
      <c r="O372" s="8"/>
      <c r="Q372" s="23"/>
      <c r="S372" s="24"/>
    </row>
    <row r="373" spans="15:19" ht="12.75" x14ac:dyDescent="0.2">
      <c r="O373" s="8"/>
      <c r="Q373" s="23"/>
      <c r="S373" s="24"/>
    </row>
    <row r="374" spans="15:19" ht="12.75" x14ac:dyDescent="0.2">
      <c r="O374" s="8"/>
      <c r="Q374" s="23"/>
      <c r="S374" s="24"/>
    </row>
    <row r="375" spans="15:19" ht="12.75" x14ac:dyDescent="0.2">
      <c r="O375" s="8"/>
      <c r="Q375" s="23"/>
      <c r="S375" s="24"/>
    </row>
    <row r="376" spans="15:19" ht="12.75" x14ac:dyDescent="0.2">
      <c r="O376" s="8"/>
      <c r="Q376" s="23"/>
      <c r="S376" s="24"/>
    </row>
    <row r="377" spans="15:19" ht="12.75" x14ac:dyDescent="0.2">
      <c r="O377" s="8"/>
      <c r="Q377" s="23"/>
      <c r="S377" s="24"/>
    </row>
    <row r="378" spans="15:19" ht="12.75" x14ac:dyDescent="0.2">
      <c r="O378" s="8"/>
      <c r="Q378" s="23"/>
      <c r="S378" s="24"/>
    </row>
    <row r="379" spans="15:19" ht="12.75" x14ac:dyDescent="0.2">
      <c r="O379" s="8"/>
      <c r="Q379" s="23"/>
      <c r="S379" s="24"/>
    </row>
    <row r="380" spans="15:19" ht="12.75" x14ac:dyDescent="0.2">
      <c r="O380" s="8"/>
      <c r="Q380" s="23"/>
      <c r="S380" s="24"/>
    </row>
    <row r="381" spans="15:19" ht="12.75" x14ac:dyDescent="0.2">
      <c r="O381" s="8"/>
      <c r="Q381" s="23"/>
      <c r="S381" s="24"/>
    </row>
    <row r="382" spans="15:19" ht="12.75" x14ac:dyDescent="0.2">
      <c r="O382" s="8"/>
      <c r="Q382" s="23"/>
      <c r="S382" s="24"/>
    </row>
    <row r="383" spans="15:19" ht="12.75" x14ac:dyDescent="0.2">
      <c r="O383" s="8"/>
      <c r="Q383" s="23"/>
      <c r="S383" s="24"/>
    </row>
    <row r="384" spans="15:19" ht="12.75" x14ac:dyDescent="0.2">
      <c r="O384" s="8"/>
      <c r="Q384" s="23"/>
      <c r="S384" s="24"/>
    </row>
    <row r="385" spans="15:19" ht="12.75" x14ac:dyDescent="0.2">
      <c r="O385" s="8"/>
      <c r="Q385" s="23"/>
      <c r="S385" s="24"/>
    </row>
    <row r="386" spans="15:19" ht="12.75" x14ac:dyDescent="0.2">
      <c r="O386" s="8"/>
      <c r="Q386" s="23"/>
      <c r="S386" s="24"/>
    </row>
    <row r="387" spans="15:19" ht="12.75" x14ac:dyDescent="0.2">
      <c r="O387" s="8"/>
      <c r="Q387" s="23"/>
      <c r="S387" s="24"/>
    </row>
    <row r="388" spans="15:19" ht="12.75" x14ac:dyDescent="0.2">
      <c r="O388" s="8"/>
      <c r="Q388" s="23"/>
      <c r="S388" s="24"/>
    </row>
    <row r="389" spans="15:19" ht="12.75" x14ac:dyDescent="0.2">
      <c r="O389" s="8"/>
      <c r="Q389" s="23"/>
      <c r="S389" s="24"/>
    </row>
    <row r="390" spans="15:19" ht="12.75" x14ac:dyDescent="0.2">
      <c r="O390" s="8"/>
      <c r="Q390" s="23"/>
      <c r="S390" s="24"/>
    </row>
    <row r="391" spans="15:19" ht="12.75" x14ac:dyDescent="0.2">
      <c r="O391" s="8"/>
      <c r="Q391" s="23"/>
      <c r="S391" s="24"/>
    </row>
    <row r="392" spans="15:19" ht="12.75" x14ac:dyDescent="0.2">
      <c r="O392" s="8"/>
      <c r="Q392" s="23"/>
      <c r="S392" s="24"/>
    </row>
    <row r="393" spans="15:19" ht="12.75" x14ac:dyDescent="0.2">
      <c r="O393" s="8"/>
      <c r="Q393" s="23"/>
      <c r="S393" s="24"/>
    </row>
    <row r="394" spans="15:19" ht="12.75" x14ac:dyDescent="0.2">
      <c r="O394" s="8"/>
      <c r="Q394" s="23"/>
      <c r="S394" s="24"/>
    </row>
    <row r="395" spans="15:19" ht="12.75" x14ac:dyDescent="0.2">
      <c r="O395" s="8"/>
      <c r="Q395" s="23"/>
      <c r="S395" s="24"/>
    </row>
    <row r="396" spans="15:19" ht="12.75" x14ac:dyDescent="0.2">
      <c r="O396" s="8"/>
      <c r="Q396" s="23"/>
      <c r="S396" s="24"/>
    </row>
    <row r="397" spans="15:19" ht="12.75" x14ac:dyDescent="0.2">
      <c r="O397" s="8"/>
      <c r="Q397" s="23"/>
      <c r="S397" s="24"/>
    </row>
    <row r="398" spans="15:19" ht="12.75" x14ac:dyDescent="0.2">
      <c r="O398" s="8"/>
      <c r="Q398" s="23"/>
      <c r="S398" s="24"/>
    </row>
    <row r="399" spans="15:19" ht="12.75" x14ac:dyDescent="0.2">
      <c r="O399" s="8"/>
      <c r="Q399" s="23"/>
      <c r="S399" s="24"/>
    </row>
    <row r="400" spans="15:19" ht="12.75" x14ac:dyDescent="0.2">
      <c r="O400" s="8"/>
      <c r="Q400" s="23"/>
      <c r="S400" s="24"/>
    </row>
    <row r="401" spans="15:19" ht="12.75" x14ac:dyDescent="0.2">
      <c r="O401" s="8"/>
      <c r="Q401" s="23"/>
      <c r="S401" s="24"/>
    </row>
    <row r="402" spans="15:19" ht="12.75" x14ac:dyDescent="0.2">
      <c r="O402" s="8"/>
      <c r="Q402" s="23"/>
      <c r="S402" s="24"/>
    </row>
    <row r="403" spans="15:19" ht="12.75" x14ac:dyDescent="0.2">
      <c r="O403" s="8"/>
      <c r="Q403" s="23"/>
      <c r="S403" s="24"/>
    </row>
    <row r="404" spans="15:19" ht="12.75" x14ac:dyDescent="0.2">
      <c r="O404" s="8"/>
      <c r="Q404" s="23"/>
      <c r="S404" s="24"/>
    </row>
    <row r="405" spans="15:19" ht="12.75" x14ac:dyDescent="0.2">
      <c r="O405" s="8"/>
      <c r="Q405" s="23"/>
      <c r="S405" s="24"/>
    </row>
    <row r="406" spans="15:19" ht="12.75" x14ac:dyDescent="0.2">
      <c r="O406" s="8"/>
      <c r="Q406" s="23"/>
      <c r="S406" s="24"/>
    </row>
    <row r="407" spans="15:19" ht="12.75" x14ac:dyDescent="0.2">
      <c r="O407" s="8"/>
      <c r="Q407" s="23"/>
      <c r="S407" s="24"/>
    </row>
    <row r="408" spans="15:19" ht="12.75" x14ac:dyDescent="0.2">
      <c r="O408" s="8"/>
      <c r="Q408" s="23"/>
      <c r="S408" s="24"/>
    </row>
    <row r="409" spans="15:19" ht="12.75" x14ac:dyDescent="0.2">
      <c r="O409" s="8"/>
      <c r="Q409" s="23"/>
      <c r="S409" s="24"/>
    </row>
    <row r="410" spans="15:19" ht="12.75" x14ac:dyDescent="0.2">
      <c r="O410" s="8"/>
      <c r="Q410" s="23"/>
      <c r="S410" s="24"/>
    </row>
    <row r="411" spans="15:19" ht="12.75" x14ac:dyDescent="0.2">
      <c r="O411" s="8"/>
      <c r="Q411" s="23"/>
      <c r="S411" s="24"/>
    </row>
    <row r="412" spans="15:19" ht="12.75" x14ac:dyDescent="0.2">
      <c r="O412" s="8"/>
      <c r="Q412" s="23"/>
      <c r="S412" s="24"/>
    </row>
    <row r="413" spans="15:19" ht="12.75" x14ac:dyDescent="0.2">
      <c r="O413" s="8"/>
      <c r="Q413" s="23"/>
      <c r="S413" s="24"/>
    </row>
    <row r="414" spans="15:19" ht="12.75" x14ac:dyDescent="0.2">
      <c r="O414" s="8"/>
      <c r="Q414" s="23"/>
      <c r="S414" s="24"/>
    </row>
    <row r="415" spans="15:19" ht="12.75" x14ac:dyDescent="0.2">
      <c r="O415" s="8"/>
      <c r="Q415" s="23"/>
      <c r="S415" s="24"/>
    </row>
    <row r="416" spans="15:19" ht="12.75" x14ac:dyDescent="0.2">
      <c r="O416" s="8"/>
      <c r="Q416" s="23"/>
      <c r="S416" s="24"/>
    </row>
    <row r="417" spans="15:19" ht="12.75" x14ac:dyDescent="0.2">
      <c r="O417" s="8"/>
      <c r="Q417" s="23"/>
      <c r="S417" s="24"/>
    </row>
    <row r="418" spans="15:19" ht="12.75" x14ac:dyDescent="0.2">
      <c r="O418" s="8"/>
      <c r="Q418" s="23"/>
      <c r="S418" s="24"/>
    </row>
    <row r="419" spans="15:19" ht="12.75" x14ac:dyDescent="0.2">
      <c r="O419" s="8"/>
      <c r="Q419" s="23"/>
      <c r="S419" s="24"/>
    </row>
    <row r="420" spans="15:19" ht="12.75" x14ac:dyDescent="0.2">
      <c r="O420" s="8"/>
      <c r="Q420" s="23"/>
      <c r="S420" s="24"/>
    </row>
    <row r="421" spans="15:19" ht="12.75" x14ac:dyDescent="0.2">
      <c r="O421" s="8"/>
      <c r="Q421" s="23"/>
      <c r="S421" s="24"/>
    </row>
    <row r="422" spans="15:19" ht="12.75" x14ac:dyDescent="0.2">
      <c r="O422" s="8"/>
      <c r="Q422" s="23"/>
      <c r="S422" s="24"/>
    </row>
    <row r="423" spans="15:19" ht="12.75" x14ac:dyDescent="0.2">
      <c r="O423" s="8"/>
      <c r="Q423" s="23"/>
      <c r="S423" s="24"/>
    </row>
    <row r="424" spans="15:19" ht="12.75" x14ac:dyDescent="0.2">
      <c r="O424" s="8"/>
      <c r="Q424" s="23"/>
      <c r="S424" s="24"/>
    </row>
    <row r="425" spans="15:19" ht="12.75" x14ac:dyDescent="0.2">
      <c r="O425" s="8"/>
      <c r="Q425" s="23"/>
      <c r="S425" s="24"/>
    </row>
    <row r="426" spans="15:19" ht="12.75" x14ac:dyDescent="0.2">
      <c r="O426" s="8"/>
      <c r="Q426" s="23"/>
      <c r="S426" s="24"/>
    </row>
    <row r="427" spans="15:19" ht="12.75" x14ac:dyDescent="0.2">
      <c r="O427" s="8"/>
      <c r="Q427" s="23"/>
      <c r="S427" s="24"/>
    </row>
    <row r="428" spans="15:19" ht="12.75" x14ac:dyDescent="0.2">
      <c r="O428" s="8"/>
      <c r="Q428" s="23"/>
      <c r="S428" s="24"/>
    </row>
    <row r="429" spans="15:19" ht="12.75" x14ac:dyDescent="0.2">
      <c r="O429" s="8"/>
      <c r="Q429" s="23"/>
      <c r="S429" s="24"/>
    </row>
    <row r="430" spans="15:19" ht="12.75" x14ac:dyDescent="0.2">
      <c r="O430" s="8"/>
      <c r="Q430" s="23"/>
      <c r="S430" s="24"/>
    </row>
    <row r="431" spans="15:19" ht="12.75" x14ac:dyDescent="0.2">
      <c r="O431" s="8"/>
      <c r="Q431" s="23"/>
      <c r="S431" s="24"/>
    </row>
    <row r="432" spans="15:19" ht="12.75" x14ac:dyDescent="0.2">
      <c r="O432" s="8"/>
      <c r="Q432" s="23"/>
      <c r="S432" s="24"/>
    </row>
    <row r="433" spans="15:19" ht="12.75" x14ac:dyDescent="0.2">
      <c r="O433" s="8"/>
      <c r="Q433" s="23"/>
      <c r="S433" s="24"/>
    </row>
    <row r="434" spans="15:19" ht="12.75" x14ac:dyDescent="0.2">
      <c r="O434" s="8"/>
      <c r="Q434" s="23"/>
      <c r="S434" s="24"/>
    </row>
    <row r="435" spans="15:19" ht="12.75" x14ac:dyDescent="0.2">
      <c r="O435" s="8"/>
      <c r="Q435" s="23"/>
      <c r="S435" s="24"/>
    </row>
    <row r="436" spans="15:19" ht="12.75" x14ac:dyDescent="0.2">
      <c r="O436" s="8"/>
      <c r="Q436" s="23"/>
      <c r="S436" s="24"/>
    </row>
    <row r="437" spans="15:19" ht="12.75" x14ac:dyDescent="0.2">
      <c r="O437" s="8"/>
      <c r="Q437" s="23"/>
      <c r="S437" s="24"/>
    </row>
    <row r="438" spans="15:19" ht="12.75" x14ac:dyDescent="0.2">
      <c r="O438" s="8"/>
      <c r="Q438" s="23"/>
      <c r="S438" s="24"/>
    </row>
    <row r="439" spans="15:19" ht="12.75" x14ac:dyDescent="0.2">
      <c r="O439" s="8"/>
      <c r="Q439" s="23"/>
      <c r="S439" s="24"/>
    </row>
    <row r="440" spans="15:19" ht="12.75" x14ac:dyDescent="0.2">
      <c r="O440" s="8"/>
      <c r="Q440" s="23"/>
      <c r="S440" s="24"/>
    </row>
    <row r="441" spans="15:19" ht="12.75" x14ac:dyDescent="0.2">
      <c r="O441" s="8"/>
      <c r="Q441" s="23"/>
      <c r="S441" s="24"/>
    </row>
    <row r="442" spans="15:19" ht="12.75" x14ac:dyDescent="0.2">
      <c r="O442" s="8"/>
      <c r="Q442" s="23"/>
      <c r="S442" s="24"/>
    </row>
    <row r="443" spans="15:19" ht="12.75" x14ac:dyDescent="0.2">
      <c r="O443" s="8"/>
      <c r="Q443" s="23"/>
      <c r="S443" s="24"/>
    </row>
    <row r="444" spans="15:19" ht="12.75" x14ac:dyDescent="0.2">
      <c r="O444" s="8"/>
      <c r="Q444" s="23"/>
      <c r="S444" s="24"/>
    </row>
    <row r="445" spans="15:19" ht="12.75" x14ac:dyDescent="0.2">
      <c r="O445" s="8"/>
      <c r="Q445" s="23"/>
      <c r="S445" s="24"/>
    </row>
    <row r="446" spans="15:19" ht="12.75" x14ac:dyDescent="0.2">
      <c r="O446" s="8"/>
      <c r="Q446" s="23"/>
      <c r="S446" s="24"/>
    </row>
    <row r="447" spans="15:19" ht="12.75" x14ac:dyDescent="0.2">
      <c r="O447" s="8"/>
      <c r="Q447" s="23"/>
      <c r="S447" s="24"/>
    </row>
    <row r="448" spans="15:19" ht="12.75" x14ac:dyDescent="0.2">
      <c r="O448" s="8"/>
      <c r="Q448" s="23"/>
      <c r="S448" s="24"/>
    </row>
    <row r="449" spans="15:19" ht="12.75" x14ac:dyDescent="0.2">
      <c r="O449" s="8"/>
      <c r="Q449" s="23"/>
      <c r="S449" s="24"/>
    </row>
    <row r="450" spans="15:19" ht="12.75" x14ac:dyDescent="0.2">
      <c r="O450" s="8"/>
      <c r="Q450" s="23"/>
      <c r="S450" s="24"/>
    </row>
    <row r="451" spans="15:19" ht="12.75" x14ac:dyDescent="0.2">
      <c r="O451" s="8"/>
      <c r="Q451" s="23"/>
      <c r="S451" s="24"/>
    </row>
    <row r="452" spans="15:19" ht="12.75" x14ac:dyDescent="0.2">
      <c r="O452" s="8"/>
      <c r="Q452" s="23"/>
      <c r="S452" s="24"/>
    </row>
    <row r="453" spans="15:19" ht="12.75" x14ac:dyDescent="0.2">
      <c r="O453" s="8"/>
      <c r="Q453" s="23"/>
      <c r="S453" s="24"/>
    </row>
    <row r="454" spans="15:19" ht="12.75" x14ac:dyDescent="0.2">
      <c r="O454" s="8"/>
      <c r="Q454" s="23"/>
      <c r="S454" s="24"/>
    </row>
    <row r="455" spans="15:19" ht="12.75" x14ac:dyDescent="0.2">
      <c r="O455" s="8"/>
      <c r="Q455" s="23"/>
      <c r="S455" s="24"/>
    </row>
    <row r="456" spans="15:19" ht="12.75" x14ac:dyDescent="0.2">
      <c r="O456" s="8"/>
      <c r="Q456" s="23"/>
      <c r="S456" s="24"/>
    </row>
    <row r="457" spans="15:19" ht="12.75" x14ac:dyDescent="0.2">
      <c r="O457" s="8"/>
      <c r="Q457" s="23"/>
      <c r="S457" s="24"/>
    </row>
    <row r="458" spans="15:19" ht="12.75" x14ac:dyDescent="0.2">
      <c r="O458" s="8"/>
      <c r="Q458" s="23"/>
      <c r="S458" s="24"/>
    </row>
    <row r="459" spans="15:19" ht="12.75" x14ac:dyDescent="0.2">
      <c r="O459" s="8"/>
      <c r="Q459" s="23"/>
      <c r="S459" s="24"/>
    </row>
    <row r="460" spans="15:19" ht="12.75" x14ac:dyDescent="0.2">
      <c r="O460" s="8"/>
      <c r="Q460" s="23"/>
      <c r="S460" s="24"/>
    </row>
    <row r="461" spans="15:19" ht="12.75" x14ac:dyDescent="0.2">
      <c r="O461" s="8"/>
      <c r="Q461" s="23"/>
      <c r="S461" s="24"/>
    </row>
    <row r="462" spans="15:19" ht="12.75" x14ac:dyDescent="0.2">
      <c r="O462" s="8"/>
      <c r="Q462" s="23"/>
      <c r="S462" s="24"/>
    </row>
    <row r="463" spans="15:19" ht="12.75" x14ac:dyDescent="0.2">
      <c r="O463" s="8"/>
      <c r="Q463" s="23"/>
      <c r="S463" s="24"/>
    </row>
    <row r="464" spans="15:19" ht="12.75" x14ac:dyDescent="0.2">
      <c r="O464" s="8"/>
      <c r="Q464" s="23"/>
      <c r="S464" s="24"/>
    </row>
    <row r="465" spans="15:19" ht="12.75" x14ac:dyDescent="0.2">
      <c r="O465" s="8"/>
      <c r="Q465" s="23"/>
      <c r="S465" s="24"/>
    </row>
    <row r="466" spans="15:19" ht="12.75" x14ac:dyDescent="0.2">
      <c r="O466" s="8"/>
      <c r="Q466" s="23"/>
      <c r="S466" s="24"/>
    </row>
    <row r="467" spans="15:19" ht="12.75" x14ac:dyDescent="0.2">
      <c r="O467" s="8"/>
      <c r="Q467" s="23"/>
      <c r="S467" s="24"/>
    </row>
    <row r="468" spans="15:19" ht="12.75" x14ac:dyDescent="0.2">
      <c r="O468" s="8"/>
      <c r="Q468" s="23"/>
      <c r="S468" s="24"/>
    </row>
    <row r="469" spans="15:19" ht="12.75" x14ac:dyDescent="0.2">
      <c r="O469" s="8"/>
      <c r="Q469" s="23"/>
      <c r="S469" s="24"/>
    </row>
    <row r="470" spans="15:19" ht="12.75" x14ac:dyDescent="0.2">
      <c r="O470" s="8"/>
      <c r="Q470" s="23"/>
      <c r="S470" s="24"/>
    </row>
    <row r="471" spans="15:19" ht="12.75" x14ac:dyDescent="0.2">
      <c r="O471" s="8"/>
      <c r="Q471" s="23"/>
      <c r="S471" s="24"/>
    </row>
    <row r="472" spans="15:19" ht="12.75" x14ac:dyDescent="0.2">
      <c r="O472" s="8"/>
      <c r="Q472" s="23"/>
      <c r="S472" s="24"/>
    </row>
    <row r="473" spans="15:19" ht="12.75" x14ac:dyDescent="0.2">
      <c r="O473" s="8"/>
      <c r="Q473" s="23"/>
      <c r="S473" s="24"/>
    </row>
    <row r="474" spans="15:19" ht="12.75" x14ac:dyDescent="0.2">
      <c r="O474" s="8"/>
      <c r="Q474" s="23"/>
      <c r="S474" s="24"/>
    </row>
    <row r="475" spans="15:19" ht="12.75" x14ac:dyDescent="0.2">
      <c r="O475" s="8"/>
      <c r="Q475" s="23"/>
      <c r="S475" s="24"/>
    </row>
    <row r="476" spans="15:19" ht="12.75" x14ac:dyDescent="0.2">
      <c r="O476" s="8"/>
      <c r="Q476" s="23"/>
      <c r="S476" s="24"/>
    </row>
    <row r="477" spans="15:19" ht="12.75" x14ac:dyDescent="0.2">
      <c r="O477" s="8"/>
      <c r="Q477" s="23"/>
      <c r="S477" s="24"/>
    </row>
    <row r="478" spans="15:19" ht="12.75" x14ac:dyDescent="0.2">
      <c r="O478" s="8"/>
      <c r="Q478" s="23"/>
      <c r="S478" s="24"/>
    </row>
    <row r="479" spans="15:19" ht="12.75" x14ac:dyDescent="0.2">
      <c r="O479" s="8"/>
      <c r="Q479" s="23"/>
      <c r="S479" s="24"/>
    </row>
    <row r="480" spans="15:19" ht="12.75" x14ac:dyDescent="0.2">
      <c r="O480" s="8"/>
      <c r="Q480" s="23"/>
      <c r="S480" s="24"/>
    </row>
    <row r="481" spans="15:19" ht="12.75" x14ac:dyDescent="0.2">
      <c r="O481" s="8"/>
      <c r="Q481" s="23"/>
      <c r="S481" s="24"/>
    </row>
    <row r="482" spans="15:19" ht="12.75" x14ac:dyDescent="0.2">
      <c r="O482" s="8"/>
      <c r="Q482" s="23"/>
      <c r="S482" s="24"/>
    </row>
    <row r="483" spans="15:19" ht="12.75" x14ac:dyDescent="0.2">
      <c r="O483" s="8"/>
      <c r="Q483" s="23"/>
      <c r="S483" s="24"/>
    </row>
    <row r="484" spans="15:19" ht="12.75" x14ac:dyDescent="0.2">
      <c r="O484" s="8"/>
      <c r="Q484" s="23"/>
      <c r="S484" s="24"/>
    </row>
    <row r="485" spans="15:19" ht="12.75" x14ac:dyDescent="0.2">
      <c r="O485" s="8"/>
      <c r="Q485" s="23"/>
      <c r="S485" s="24"/>
    </row>
    <row r="486" spans="15:19" ht="12.75" x14ac:dyDescent="0.2">
      <c r="O486" s="8"/>
      <c r="Q486" s="23"/>
      <c r="S486" s="24"/>
    </row>
    <row r="487" spans="15:19" ht="12.75" x14ac:dyDescent="0.2">
      <c r="O487" s="8"/>
      <c r="Q487" s="23"/>
      <c r="S487" s="24"/>
    </row>
    <row r="488" spans="15:19" ht="12.75" x14ac:dyDescent="0.2">
      <c r="O488" s="8"/>
      <c r="Q488" s="23"/>
      <c r="S488" s="24"/>
    </row>
    <row r="489" spans="15:19" ht="12.75" x14ac:dyDescent="0.2">
      <c r="O489" s="8"/>
      <c r="Q489" s="23"/>
      <c r="S489" s="24"/>
    </row>
    <row r="490" spans="15:19" ht="12.75" x14ac:dyDescent="0.2">
      <c r="O490" s="8"/>
      <c r="Q490" s="23"/>
      <c r="S490" s="24"/>
    </row>
    <row r="491" spans="15:19" ht="12.75" x14ac:dyDescent="0.2">
      <c r="O491" s="8"/>
      <c r="Q491" s="23"/>
      <c r="S491" s="24"/>
    </row>
    <row r="492" spans="15:19" ht="12.75" x14ac:dyDescent="0.2">
      <c r="O492" s="8"/>
      <c r="Q492" s="23"/>
      <c r="S492" s="24"/>
    </row>
    <row r="493" spans="15:19" ht="12.75" x14ac:dyDescent="0.2">
      <c r="O493" s="8"/>
      <c r="Q493" s="23"/>
      <c r="S493" s="24"/>
    </row>
    <row r="494" spans="15:19" ht="12.75" x14ac:dyDescent="0.2">
      <c r="O494" s="8"/>
      <c r="Q494" s="23"/>
      <c r="S494" s="24"/>
    </row>
    <row r="495" spans="15:19" ht="12.75" x14ac:dyDescent="0.2">
      <c r="O495" s="8"/>
      <c r="Q495" s="23"/>
      <c r="S495" s="24"/>
    </row>
    <row r="496" spans="15:19" ht="12.75" x14ac:dyDescent="0.2">
      <c r="O496" s="8"/>
      <c r="Q496" s="23"/>
      <c r="S496" s="24"/>
    </row>
    <row r="497" spans="15:19" ht="12.75" x14ac:dyDescent="0.2">
      <c r="O497" s="8"/>
      <c r="Q497" s="23"/>
      <c r="S497" s="24"/>
    </row>
    <row r="498" spans="15:19" ht="12.75" x14ac:dyDescent="0.2">
      <c r="O498" s="8"/>
      <c r="Q498" s="23"/>
      <c r="S498" s="24"/>
    </row>
    <row r="499" spans="15:19" ht="12.75" x14ac:dyDescent="0.2">
      <c r="O499" s="8"/>
      <c r="Q499" s="23"/>
      <c r="S499" s="24"/>
    </row>
    <row r="500" spans="15:19" ht="12.75" x14ac:dyDescent="0.2">
      <c r="O500" s="8"/>
      <c r="Q500" s="23"/>
      <c r="S500" s="24"/>
    </row>
    <row r="501" spans="15:19" ht="12.75" x14ac:dyDescent="0.2">
      <c r="O501" s="8"/>
      <c r="Q501" s="23"/>
      <c r="S501" s="24"/>
    </row>
    <row r="502" spans="15:19" ht="12.75" x14ac:dyDescent="0.2">
      <c r="O502" s="8"/>
      <c r="Q502" s="23"/>
      <c r="S502" s="24"/>
    </row>
    <row r="503" spans="15:19" ht="12.75" x14ac:dyDescent="0.2">
      <c r="O503" s="8"/>
      <c r="Q503" s="23"/>
      <c r="S503" s="24"/>
    </row>
    <row r="504" spans="15:19" ht="12.75" x14ac:dyDescent="0.2">
      <c r="O504" s="8"/>
      <c r="Q504" s="23"/>
      <c r="S504" s="24"/>
    </row>
    <row r="505" spans="15:19" ht="12.75" x14ac:dyDescent="0.2">
      <c r="O505" s="8"/>
      <c r="Q505" s="23"/>
      <c r="S505" s="24"/>
    </row>
    <row r="506" spans="15:19" ht="12.75" x14ac:dyDescent="0.2">
      <c r="O506" s="8"/>
      <c r="Q506" s="23"/>
      <c r="S506" s="24"/>
    </row>
    <row r="507" spans="15:19" ht="12.75" x14ac:dyDescent="0.2">
      <c r="O507" s="8"/>
      <c r="Q507" s="23"/>
      <c r="S507" s="24"/>
    </row>
    <row r="508" spans="15:19" ht="12.75" x14ac:dyDescent="0.2">
      <c r="O508" s="8"/>
      <c r="Q508" s="23"/>
      <c r="S508" s="24"/>
    </row>
    <row r="509" spans="15:19" ht="12.75" x14ac:dyDescent="0.2">
      <c r="O509" s="8"/>
      <c r="Q509" s="23"/>
      <c r="S509" s="24"/>
    </row>
    <row r="510" spans="15:19" ht="12.75" x14ac:dyDescent="0.2">
      <c r="O510" s="8"/>
      <c r="Q510" s="23"/>
      <c r="S510" s="24"/>
    </row>
    <row r="511" spans="15:19" ht="12.75" x14ac:dyDescent="0.2">
      <c r="O511" s="8"/>
      <c r="Q511" s="23"/>
      <c r="S511" s="24"/>
    </row>
    <row r="512" spans="15:19" ht="12.75" x14ac:dyDescent="0.2">
      <c r="O512" s="8"/>
      <c r="Q512" s="23"/>
      <c r="S512" s="24"/>
    </row>
    <row r="513" spans="15:19" ht="12.75" x14ac:dyDescent="0.2">
      <c r="O513" s="8"/>
      <c r="Q513" s="23"/>
      <c r="S513" s="24"/>
    </row>
    <row r="514" spans="15:19" ht="12.75" x14ac:dyDescent="0.2">
      <c r="O514" s="8"/>
      <c r="Q514" s="23"/>
      <c r="S514" s="24"/>
    </row>
    <row r="515" spans="15:19" ht="12.75" x14ac:dyDescent="0.2">
      <c r="O515" s="8"/>
      <c r="Q515" s="23"/>
      <c r="S515" s="24"/>
    </row>
    <row r="516" spans="15:19" ht="12.75" x14ac:dyDescent="0.2">
      <c r="O516" s="8"/>
      <c r="Q516" s="23"/>
      <c r="S516" s="24"/>
    </row>
    <row r="517" spans="15:19" ht="12.75" x14ac:dyDescent="0.2">
      <c r="O517" s="8"/>
      <c r="Q517" s="23"/>
      <c r="S517" s="24"/>
    </row>
    <row r="518" spans="15:19" ht="12.75" x14ac:dyDescent="0.2">
      <c r="O518" s="8"/>
      <c r="Q518" s="23"/>
      <c r="S518" s="24"/>
    </row>
    <row r="519" spans="15:19" ht="12.75" x14ac:dyDescent="0.2">
      <c r="O519" s="8"/>
      <c r="Q519" s="23"/>
      <c r="S519" s="24"/>
    </row>
    <row r="520" spans="15:19" ht="12.75" x14ac:dyDescent="0.2">
      <c r="O520" s="8"/>
      <c r="Q520" s="23"/>
      <c r="S520" s="24"/>
    </row>
    <row r="521" spans="15:19" ht="12.75" x14ac:dyDescent="0.2">
      <c r="O521" s="8"/>
      <c r="Q521" s="23"/>
      <c r="S521" s="24"/>
    </row>
    <row r="522" spans="15:19" ht="12.75" x14ac:dyDescent="0.2">
      <c r="O522" s="8"/>
      <c r="Q522" s="23"/>
      <c r="S522" s="24"/>
    </row>
    <row r="523" spans="15:19" ht="12.75" x14ac:dyDescent="0.2">
      <c r="O523" s="8"/>
      <c r="Q523" s="23"/>
      <c r="S523" s="24"/>
    </row>
    <row r="524" spans="15:19" ht="12.75" x14ac:dyDescent="0.2">
      <c r="O524" s="8"/>
      <c r="Q524" s="23"/>
      <c r="S524" s="24"/>
    </row>
    <row r="525" spans="15:19" ht="12.75" x14ac:dyDescent="0.2">
      <c r="O525" s="8"/>
      <c r="Q525" s="23"/>
      <c r="S525" s="24"/>
    </row>
    <row r="526" spans="15:19" ht="12.75" x14ac:dyDescent="0.2">
      <c r="O526" s="8"/>
      <c r="Q526" s="23"/>
      <c r="S526" s="24"/>
    </row>
    <row r="527" spans="15:19" ht="12.75" x14ac:dyDescent="0.2">
      <c r="O527" s="8"/>
      <c r="Q527" s="23"/>
      <c r="S527" s="24"/>
    </row>
    <row r="528" spans="15:19" ht="12.75" x14ac:dyDescent="0.2">
      <c r="O528" s="8"/>
      <c r="Q528" s="23"/>
      <c r="S528" s="24"/>
    </row>
    <row r="529" spans="15:19" ht="12.75" x14ac:dyDescent="0.2">
      <c r="O529" s="8"/>
      <c r="Q529" s="23"/>
      <c r="S529" s="24"/>
    </row>
    <row r="530" spans="15:19" ht="12.75" x14ac:dyDescent="0.2">
      <c r="O530" s="8"/>
      <c r="Q530" s="23"/>
      <c r="S530" s="24"/>
    </row>
    <row r="531" spans="15:19" ht="12.75" x14ac:dyDescent="0.2">
      <c r="O531" s="8"/>
      <c r="Q531" s="23"/>
      <c r="S531" s="24"/>
    </row>
    <row r="532" spans="15:19" ht="12.75" x14ac:dyDescent="0.2">
      <c r="O532" s="8"/>
      <c r="Q532" s="23"/>
      <c r="S532" s="24"/>
    </row>
    <row r="533" spans="15:19" ht="12.75" x14ac:dyDescent="0.2">
      <c r="O533" s="8"/>
      <c r="Q533" s="23"/>
      <c r="S533" s="24"/>
    </row>
    <row r="534" spans="15:19" ht="12.75" x14ac:dyDescent="0.2">
      <c r="O534" s="8"/>
      <c r="Q534" s="23"/>
      <c r="S534" s="24"/>
    </row>
    <row r="535" spans="15:19" ht="12.75" x14ac:dyDescent="0.2">
      <c r="O535" s="8"/>
      <c r="Q535" s="23"/>
      <c r="S535" s="24"/>
    </row>
    <row r="536" spans="15:19" ht="12.75" x14ac:dyDescent="0.2">
      <c r="O536" s="8"/>
      <c r="Q536" s="23"/>
      <c r="S536" s="24"/>
    </row>
    <row r="537" spans="15:19" ht="12.75" x14ac:dyDescent="0.2">
      <c r="O537" s="8"/>
      <c r="Q537" s="23"/>
      <c r="S537" s="24"/>
    </row>
    <row r="538" spans="15:19" ht="12.75" x14ac:dyDescent="0.2">
      <c r="O538" s="8"/>
      <c r="Q538" s="23"/>
      <c r="S538" s="24"/>
    </row>
    <row r="539" spans="15:19" ht="12.75" x14ac:dyDescent="0.2">
      <c r="O539" s="8"/>
      <c r="Q539" s="23"/>
      <c r="S539" s="24"/>
    </row>
    <row r="540" spans="15:19" ht="12.75" x14ac:dyDescent="0.2">
      <c r="O540" s="8"/>
      <c r="Q540" s="23"/>
      <c r="S540" s="24"/>
    </row>
    <row r="541" spans="15:19" ht="12.75" x14ac:dyDescent="0.2">
      <c r="O541" s="8"/>
      <c r="Q541" s="23"/>
      <c r="S541" s="24"/>
    </row>
    <row r="542" spans="15:19" ht="12.75" x14ac:dyDescent="0.2">
      <c r="O542" s="8"/>
      <c r="Q542" s="23"/>
      <c r="S542" s="24"/>
    </row>
    <row r="543" spans="15:19" ht="12.75" x14ac:dyDescent="0.2">
      <c r="O543" s="8"/>
      <c r="Q543" s="23"/>
      <c r="S543" s="24"/>
    </row>
    <row r="544" spans="15:19" ht="12.75" x14ac:dyDescent="0.2">
      <c r="O544" s="8"/>
      <c r="Q544" s="23"/>
      <c r="S544" s="24"/>
    </row>
    <row r="545" spans="15:19" ht="12.75" x14ac:dyDescent="0.2">
      <c r="O545" s="8"/>
      <c r="Q545" s="23"/>
      <c r="S545" s="24"/>
    </row>
    <row r="546" spans="15:19" ht="12.75" x14ac:dyDescent="0.2">
      <c r="O546" s="8"/>
      <c r="Q546" s="23"/>
      <c r="S546" s="24"/>
    </row>
    <row r="547" spans="15:19" ht="12.75" x14ac:dyDescent="0.2">
      <c r="O547" s="8"/>
      <c r="Q547" s="23"/>
      <c r="S547" s="24"/>
    </row>
    <row r="548" spans="15:19" ht="12.75" x14ac:dyDescent="0.2">
      <c r="O548" s="8"/>
      <c r="Q548" s="23"/>
      <c r="S548" s="24"/>
    </row>
    <row r="549" spans="15:19" ht="12.75" x14ac:dyDescent="0.2">
      <c r="O549" s="8"/>
      <c r="Q549" s="23"/>
      <c r="S549" s="24"/>
    </row>
    <row r="550" spans="15:19" ht="12.75" x14ac:dyDescent="0.2">
      <c r="O550" s="8"/>
      <c r="Q550" s="23"/>
      <c r="S550" s="24"/>
    </row>
    <row r="551" spans="15:19" ht="12.75" x14ac:dyDescent="0.2">
      <c r="O551" s="8"/>
      <c r="Q551" s="23"/>
      <c r="S551" s="24"/>
    </row>
    <row r="552" spans="15:19" ht="12.75" x14ac:dyDescent="0.2">
      <c r="O552" s="8"/>
      <c r="Q552" s="23"/>
      <c r="S552" s="24"/>
    </row>
    <row r="553" spans="15:19" ht="12.75" x14ac:dyDescent="0.2">
      <c r="O553" s="8"/>
      <c r="Q553" s="23"/>
      <c r="S553" s="24"/>
    </row>
    <row r="554" spans="15:19" ht="12.75" x14ac:dyDescent="0.2">
      <c r="O554" s="8"/>
      <c r="Q554" s="23"/>
      <c r="S554" s="24"/>
    </row>
    <row r="555" spans="15:19" ht="12.75" x14ac:dyDescent="0.2">
      <c r="O555" s="8"/>
      <c r="Q555" s="23"/>
      <c r="S555" s="24"/>
    </row>
    <row r="556" spans="15:19" ht="12.75" x14ac:dyDescent="0.2">
      <c r="O556" s="8"/>
      <c r="Q556" s="23"/>
      <c r="S556" s="24"/>
    </row>
    <row r="557" spans="15:19" ht="12.75" x14ac:dyDescent="0.2">
      <c r="O557" s="8"/>
      <c r="Q557" s="23"/>
      <c r="S557" s="24"/>
    </row>
    <row r="558" spans="15:19" ht="12.75" x14ac:dyDescent="0.2">
      <c r="O558" s="8"/>
      <c r="Q558" s="23"/>
      <c r="S558" s="24"/>
    </row>
    <row r="559" spans="15:19" ht="12.75" x14ac:dyDescent="0.2">
      <c r="O559" s="8"/>
      <c r="Q559" s="23"/>
      <c r="S559" s="24"/>
    </row>
    <row r="560" spans="15:19" ht="12.75" x14ac:dyDescent="0.2">
      <c r="O560" s="8"/>
      <c r="Q560" s="23"/>
      <c r="S560" s="24"/>
    </row>
    <row r="561" spans="15:19" ht="12.75" x14ac:dyDescent="0.2">
      <c r="O561" s="8"/>
      <c r="Q561" s="23"/>
      <c r="S561" s="24"/>
    </row>
    <row r="562" spans="15:19" ht="12.75" x14ac:dyDescent="0.2">
      <c r="O562" s="8"/>
      <c r="Q562" s="23"/>
      <c r="S562" s="24"/>
    </row>
    <row r="563" spans="15:19" ht="12.75" x14ac:dyDescent="0.2">
      <c r="O563" s="8"/>
      <c r="Q563" s="23"/>
      <c r="S563" s="24"/>
    </row>
    <row r="564" spans="15:19" ht="12.75" x14ac:dyDescent="0.2">
      <c r="O564" s="8"/>
      <c r="Q564" s="23"/>
      <c r="S564" s="24"/>
    </row>
    <row r="565" spans="15:19" ht="12.75" x14ac:dyDescent="0.2">
      <c r="O565" s="8"/>
      <c r="Q565" s="23"/>
      <c r="S565" s="24"/>
    </row>
    <row r="566" spans="15:19" ht="12.75" x14ac:dyDescent="0.2">
      <c r="O566" s="8"/>
      <c r="Q566" s="23"/>
      <c r="S566" s="24"/>
    </row>
    <row r="567" spans="15:19" ht="12.75" x14ac:dyDescent="0.2">
      <c r="O567" s="8"/>
      <c r="Q567" s="23"/>
      <c r="S567" s="24"/>
    </row>
    <row r="568" spans="15:19" ht="12.75" x14ac:dyDescent="0.2">
      <c r="O568" s="8"/>
      <c r="Q568" s="23"/>
      <c r="S568" s="24"/>
    </row>
    <row r="569" spans="15:19" ht="12.75" x14ac:dyDescent="0.2">
      <c r="O569" s="8"/>
      <c r="Q569" s="23"/>
      <c r="S569" s="24"/>
    </row>
    <row r="570" spans="15:19" ht="12.75" x14ac:dyDescent="0.2">
      <c r="O570" s="8"/>
      <c r="Q570" s="23"/>
      <c r="S570" s="24"/>
    </row>
    <row r="571" spans="15:19" ht="12.75" x14ac:dyDescent="0.2">
      <c r="O571" s="8"/>
      <c r="Q571" s="23"/>
      <c r="S571" s="24"/>
    </row>
    <row r="572" spans="15:19" ht="12.75" x14ac:dyDescent="0.2">
      <c r="O572" s="8"/>
      <c r="Q572" s="23"/>
      <c r="S572" s="24"/>
    </row>
    <row r="573" spans="15:19" ht="12.75" x14ac:dyDescent="0.2">
      <c r="O573" s="8"/>
      <c r="Q573" s="23"/>
      <c r="S573" s="24"/>
    </row>
    <row r="574" spans="15:19" ht="12.75" x14ac:dyDescent="0.2">
      <c r="O574" s="8"/>
      <c r="Q574" s="23"/>
      <c r="S574" s="24"/>
    </row>
    <row r="575" spans="15:19" ht="12.75" x14ac:dyDescent="0.2">
      <c r="O575" s="8"/>
      <c r="Q575" s="23"/>
      <c r="S575" s="24"/>
    </row>
    <row r="576" spans="15:19" ht="12.75" x14ac:dyDescent="0.2">
      <c r="O576" s="8"/>
      <c r="Q576" s="23"/>
      <c r="S576" s="24"/>
    </row>
    <row r="577" spans="15:19" ht="12.75" x14ac:dyDescent="0.2">
      <c r="O577" s="8"/>
      <c r="Q577" s="23"/>
      <c r="S577" s="24"/>
    </row>
    <row r="578" spans="15:19" ht="12.75" x14ac:dyDescent="0.2">
      <c r="O578" s="8"/>
      <c r="Q578" s="23"/>
      <c r="S578" s="24"/>
    </row>
    <row r="579" spans="15:19" ht="12.75" x14ac:dyDescent="0.2">
      <c r="O579" s="8"/>
      <c r="Q579" s="23"/>
      <c r="S579" s="24"/>
    </row>
    <row r="580" spans="15:19" ht="12.75" x14ac:dyDescent="0.2">
      <c r="O580" s="8"/>
      <c r="Q580" s="23"/>
      <c r="S580" s="24"/>
    </row>
    <row r="581" spans="15:19" ht="12.75" x14ac:dyDescent="0.2">
      <c r="O581" s="8"/>
      <c r="Q581" s="23"/>
      <c r="S581" s="24"/>
    </row>
    <row r="582" spans="15:19" ht="12.75" x14ac:dyDescent="0.2">
      <c r="O582" s="8"/>
      <c r="Q582" s="23"/>
      <c r="S582" s="24"/>
    </row>
    <row r="583" spans="15:19" ht="12.75" x14ac:dyDescent="0.2">
      <c r="O583" s="8"/>
      <c r="Q583" s="23"/>
      <c r="S583" s="24"/>
    </row>
    <row r="584" spans="15:19" ht="12.75" x14ac:dyDescent="0.2">
      <c r="O584" s="8"/>
      <c r="Q584" s="23"/>
      <c r="S584" s="24"/>
    </row>
    <row r="585" spans="15:19" ht="12.75" x14ac:dyDescent="0.2">
      <c r="O585" s="8"/>
      <c r="Q585" s="23"/>
      <c r="S585" s="24"/>
    </row>
    <row r="586" spans="15:19" ht="12.75" x14ac:dyDescent="0.2">
      <c r="O586" s="8"/>
      <c r="Q586" s="23"/>
      <c r="S586" s="24"/>
    </row>
    <row r="587" spans="15:19" ht="12.75" x14ac:dyDescent="0.2">
      <c r="O587" s="8"/>
      <c r="Q587" s="23"/>
      <c r="S587" s="24"/>
    </row>
    <row r="588" spans="15:19" ht="12.75" x14ac:dyDescent="0.2">
      <c r="O588" s="8"/>
      <c r="Q588" s="23"/>
      <c r="S588" s="24"/>
    </row>
    <row r="589" spans="15:19" ht="12.75" x14ac:dyDescent="0.2">
      <c r="O589" s="8"/>
      <c r="Q589" s="23"/>
      <c r="S589" s="24"/>
    </row>
    <row r="590" spans="15:19" ht="12.75" x14ac:dyDescent="0.2">
      <c r="O590" s="8"/>
      <c r="Q590" s="23"/>
      <c r="S590" s="24"/>
    </row>
    <row r="591" spans="15:19" ht="12.75" x14ac:dyDescent="0.2">
      <c r="O591" s="8"/>
      <c r="Q591" s="23"/>
      <c r="S591" s="24"/>
    </row>
    <row r="592" spans="15:19" ht="12.75" x14ac:dyDescent="0.2">
      <c r="O592" s="8"/>
      <c r="Q592" s="23"/>
      <c r="S592" s="24"/>
    </row>
    <row r="593" spans="15:19" ht="12.75" x14ac:dyDescent="0.2">
      <c r="O593" s="8"/>
      <c r="Q593" s="23"/>
      <c r="S593" s="24"/>
    </row>
    <row r="594" spans="15:19" ht="12.75" x14ac:dyDescent="0.2">
      <c r="O594" s="8"/>
      <c r="Q594" s="23"/>
      <c r="S594" s="24"/>
    </row>
    <row r="595" spans="15:19" ht="12.75" x14ac:dyDescent="0.2">
      <c r="O595" s="8"/>
      <c r="Q595" s="23"/>
      <c r="S595" s="24"/>
    </row>
    <row r="596" spans="15:19" ht="12.75" x14ac:dyDescent="0.2">
      <c r="O596" s="8"/>
      <c r="Q596" s="23"/>
      <c r="S596" s="24"/>
    </row>
    <row r="597" spans="15:19" ht="12.75" x14ac:dyDescent="0.2">
      <c r="O597" s="8"/>
      <c r="Q597" s="23"/>
      <c r="S597" s="24"/>
    </row>
    <row r="598" spans="15:19" ht="12.75" x14ac:dyDescent="0.2">
      <c r="O598" s="8"/>
      <c r="Q598" s="23"/>
      <c r="S598" s="24"/>
    </row>
    <row r="599" spans="15:19" ht="12.75" x14ac:dyDescent="0.2">
      <c r="O599" s="8"/>
      <c r="Q599" s="23"/>
      <c r="S599" s="24"/>
    </row>
    <row r="600" spans="15:19" ht="12.75" x14ac:dyDescent="0.2">
      <c r="O600" s="8"/>
      <c r="Q600" s="23"/>
      <c r="S600" s="24"/>
    </row>
    <row r="601" spans="15:19" ht="12.75" x14ac:dyDescent="0.2">
      <c r="O601" s="8"/>
      <c r="Q601" s="23"/>
      <c r="S601" s="24"/>
    </row>
    <row r="602" spans="15:19" ht="12.75" x14ac:dyDescent="0.2">
      <c r="O602" s="8"/>
      <c r="Q602" s="23"/>
      <c r="S602" s="24"/>
    </row>
    <row r="603" spans="15:19" ht="12.75" x14ac:dyDescent="0.2">
      <c r="O603" s="8"/>
      <c r="Q603" s="23"/>
      <c r="S603" s="24"/>
    </row>
    <row r="604" spans="15:19" ht="12.75" x14ac:dyDescent="0.2">
      <c r="O604" s="8"/>
      <c r="Q604" s="23"/>
      <c r="S604" s="24"/>
    </row>
    <row r="605" spans="15:19" ht="12.75" x14ac:dyDescent="0.2">
      <c r="O605" s="8"/>
      <c r="Q605" s="23"/>
      <c r="S605" s="24"/>
    </row>
    <row r="606" spans="15:19" ht="12.75" x14ac:dyDescent="0.2">
      <c r="O606" s="8"/>
      <c r="Q606" s="23"/>
      <c r="S606" s="24"/>
    </row>
    <row r="607" spans="15:19" ht="12.75" x14ac:dyDescent="0.2">
      <c r="O607" s="8"/>
      <c r="Q607" s="23"/>
      <c r="S607" s="24"/>
    </row>
    <row r="608" spans="15:19" ht="12.75" x14ac:dyDescent="0.2">
      <c r="O608" s="8"/>
      <c r="Q608" s="23"/>
      <c r="S608" s="24"/>
    </row>
    <row r="609" spans="15:19" ht="12.75" x14ac:dyDescent="0.2">
      <c r="O609" s="8"/>
      <c r="Q609" s="23"/>
      <c r="S609" s="24"/>
    </row>
    <row r="610" spans="15:19" ht="12.75" x14ac:dyDescent="0.2">
      <c r="O610" s="8"/>
      <c r="Q610" s="23"/>
      <c r="S610" s="24"/>
    </row>
    <row r="611" spans="15:19" ht="12.75" x14ac:dyDescent="0.2">
      <c r="O611" s="8"/>
      <c r="Q611" s="23"/>
      <c r="S611" s="24"/>
    </row>
    <row r="612" spans="15:19" ht="12.75" x14ac:dyDescent="0.2">
      <c r="O612" s="8"/>
      <c r="Q612" s="23"/>
      <c r="S612" s="24"/>
    </row>
    <row r="613" spans="15:19" ht="12.75" x14ac:dyDescent="0.2">
      <c r="O613" s="8"/>
      <c r="Q613" s="23"/>
      <c r="S613" s="24"/>
    </row>
    <row r="614" spans="15:19" ht="12.75" x14ac:dyDescent="0.2">
      <c r="O614" s="8"/>
      <c r="Q614" s="23"/>
      <c r="S614" s="24"/>
    </row>
    <row r="615" spans="15:19" ht="12.75" x14ac:dyDescent="0.2">
      <c r="O615" s="8"/>
      <c r="Q615" s="23"/>
      <c r="S615" s="24"/>
    </row>
    <row r="616" spans="15:19" ht="12.75" x14ac:dyDescent="0.2">
      <c r="O616" s="8"/>
      <c r="Q616" s="23"/>
      <c r="S616" s="24"/>
    </row>
    <row r="617" spans="15:19" ht="12.75" x14ac:dyDescent="0.2">
      <c r="O617" s="8"/>
      <c r="Q617" s="23"/>
      <c r="S617" s="24"/>
    </row>
    <row r="618" spans="15:19" ht="12.75" x14ac:dyDescent="0.2">
      <c r="O618" s="8"/>
      <c r="Q618" s="23"/>
      <c r="S618" s="24"/>
    </row>
    <row r="619" spans="15:19" ht="12.75" x14ac:dyDescent="0.2">
      <c r="O619" s="8"/>
      <c r="Q619" s="23"/>
      <c r="S619" s="24"/>
    </row>
    <row r="620" spans="15:19" ht="12.75" x14ac:dyDescent="0.2">
      <c r="O620" s="8"/>
      <c r="Q620" s="23"/>
      <c r="S620" s="24"/>
    </row>
    <row r="621" spans="15:19" ht="12.75" x14ac:dyDescent="0.2">
      <c r="O621" s="8"/>
      <c r="Q621" s="23"/>
      <c r="S621" s="24"/>
    </row>
    <row r="622" spans="15:19" ht="12.75" x14ac:dyDescent="0.2">
      <c r="O622" s="8"/>
      <c r="Q622" s="23"/>
      <c r="S622" s="24"/>
    </row>
    <row r="623" spans="15:19" ht="12.75" x14ac:dyDescent="0.2">
      <c r="O623" s="8"/>
      <c r="Q623" s="23"/>
      <c r="S623" s="24"/>
    </row>
    <row r="624" spans="15:19" ht="12.75" x14ac:dyDescent="0.2">
      <c r="O624" s="8"/>
      <c r="Q624" s="23"/>
      <c r="S624" s="24"/>
    </row>
    <row r="625" spans="15:19" ht="12.75" x14ac:dyDescent="0.2">
      <c r="O625" s="8"/>
      <c r="Q625" s="23"/>
      <c r="S625" s="24"/>
    </row>
    <row r="626" spans="15:19" ht="12.75" x14ac:dyDescent="0.2">
      <c r="O626" s="8"/>
      <c r="Q626" s="23"/>
      <c r="S626" s="24"/>
    </row>
    <row r="627" spans="15:19" ht="12.75" x14ac:dyDescent="0.2">
      <c r="O627" s="8"/>
      <c r="Q627" s="23"/>
      <c r="S627" s="24"/>
    </row>
    <row r="628" spans="15:19" ht="12.75" x14ac:dyDescent="0.2">
      <c r="O628" s="8"/>
      <c r="Q628" s="23"/>
      <c r="S628" s="24"/>
    </row>
    <row r="629" spans="15:19" ht="12.75" x14ac:dyDescent="0.2">
      <c r="O629" s="8"/>
      <c r="Q629" s="23"/>
      <c r="S629" s="24"/>
    </row>
    <row r="630" spans="15:19" ht="12.75" x14ac:dyDescent="0.2">
      <c r="O630" s="8"/>
      <c r="Q630" s="23"/>
      <c r="S630" s="24"/>
    </row>
    <row r="631" spans="15:19" ht="12.75" x14ac:dyDescent="0.2">
      <c r="O631" s="8"/>
      <c r="Q631" s="23"/>
      <c r="S631" s="24"/>
    </row>
    <row r="632" spans="15:19" ht="12.75" x14ac:dyDescent="0.2">
      <c r="O632" s="8"/>
      <c r="Q632" s="23"/>
      <c r="S632" s="24"/>
    </row>
    <row r="633" spans="15:19" ht="12.75" x14ac:dyDescent="0.2">
      <c r="O633" s="8"/>
      <c r="Q633" s="23"/>
      <c r="S633" s="24"/>
    </row>
    <row r="634" spans="15:19" ht="12.75" x14ac:dyDescent="0.2">
      <c r="O634" s="8"/>
      <c r="Q634" s="23"/>
      <c r="S634" s="24"/>
    </row>
    <row r="635" spans="15:19" ht="12.75" x14ac:dyDescent="0.2">
      <c r="O635" s="8"/>
      <c r="Q635" s="23"/>
      <c r="S635" s="24"/>
    </row>
    <row r="636" spans="15:19" ht="12.75" x14ac:dyDescent="0.2">
      <c r="O636" s="8"/>
      <c r="Q636" s="23"/>
      <c r="S636" s="24"/>
    </row>
    <row r="637" spans="15:19" ht="12.75" x14ac:dyDescent="0.2">
      <c r="O637" s="8"/>
      <c r="Q637" s="23"/>
      <c r="S637" s="24"/>
    </row>
    <row r="638" spans="15:19" ht="12.75" x14ac:dyDescent="0.2">
      <c r="O638" s="8"/>
      <c r="Q638" s="23"/>
      <c r="S638" s="24"/>
    </row>
    <row r="639" spans="15:19" ht="12.75" x14ac:dyDescent="0.2">
      <c r="O639" s="8"/>
      <c r="Q639" s="23"/>
      <c r="S639" s="24"/>
    </row>
    <row r="640" spans="15:19" ht="12.75" x14ac:dyDescent="0.2">
      <c r="O640" s="8"/>
      <c r="Q640" s="23"/>
      <c r="S640" s="24"/>
    </row>
    <row r="641" spans="15:19" ht="12.75" x14ac:dyDescent="0.2">
      <c r="O641" s="8"/>
      <c r="Q641" s="23"/>
      <c r="S641" s="24"/>
    </row>
    <row r="642" spans="15:19" ht="12.75" x14ac:dyDescent="0.2">
      <c r="O642" s="8"/>
      <c r="Q642" s="23"/>
      <c r="S642" s="24"/>
    </row>
    <row r="643" spans="15:19" ht="12.75" x14ac:dyDescent="0.2">
      <c r="O643" s="8"/>
      <c r="Q643" s="23"/>
      <c r="S643" s="24"/>
    </row>
    <row r="644" spans="15:19" ht="12.75" x14ac:dyDescent="0.2">
      <c r="O644" s="8"/>
      <c r="Q644" s="23"/>
      <c r="S644" s="24"/>
    </row>
    <row r="645" spans="15:19" ht="12.75" x14ac:dyDescent="0.2">
      <c r="O645" s="8"/>
      <c r="Q645" s="23"/>
      <c r="S645" s="24"/>
    </row>
    <row r="646" spans="15:19" ht="12.75" x14ac:dyDescent="0.2">
      <c r="O646" s="8"/>
      <c r="Q646" s="23"/>
      <c r="S646" s="24"/>
    </row>
    <row r="647" spans="15:19" ht="12.75" x14ac:dyDescent="0.2">
      <c r="O647" s="8"/>
      <c r="Q647" s="23"/>
      <c r="S647" s="24"/>
    </row>
    <row r="648" spans="15:19" ht="12.75" x14ac:dyDescent="0.2">
      <c r="O648" s="8"/>
      <c r="Q648" s="23"/>
      <c r="S648" s="24"/>
    </row>
    <row r="649" spans="15:19" ht="12.75" x14ac:dyDescent="0.2">
      <c r="O649" s="8"/>
      <c r="Q649" s="23"/>
      <c r="S649" s="24"/>
    </row>
    <row r="650" spans="15:19" ht="12.75" x14ac:dyDescent="0.2">
      <c r="O650" s="8"/>
      <c r="Q650" s="23"/>
      <c r="S650" s="24"/>
    </row>
    <row r="651" spans="15:19" ht="12.75" x14ac:dyDescent="0.2">
      <c r="O651" s="8"/>
      <c r="Q651" s="23"/>
      <c r="S651" s="24"/>
    </row>
    <row r="652" spans="15:19" ht="12.75" x14ac:dyDescent="0.2">
      <c r="O652" s="8"/>
      <c r="Q652" s="23"/>
      <c r="S652" s="24"/>
    </row>
    <row r="653" spans="15:19" ht="12.75" x14ac:dyDescent="0.2">
      <c r="O653" s="8"/>
      <c r="Q653" s="23"/>
      <c r="S653" s="24"/>
    </row>
    <row r="654" spans="15:19" ht="12.75" x14ac:dyDescent="0.2">
      <c r="O654" s="8"/>
      <c r="Q654" s="23"/>
      <c r="S654" s="24"/>
    </row>
    <row r="655" spans="15:19" ht="12.75" x14ac:dyDescent="0.2">
      <c r="O655" s="8"/>
      <c r="Q655" s="23"/>
      <c r="S655" s="24"/>
    </row>
    <row r="656" spans="15:19" ht="12.75" x14ac:dyDescent="0.2">
      <c r="O656" s="8"/>
      <c r="Q656" s="23"/>
      <c r="S656" s="24"/>
    </row>
    <row r="657" spans="15:19" ht="12.75" x14ac:dyDescent="0.2">
      <c r="O657" s="8"/>
      <c r="Q657" s="23"/>
      <c r="S657" s="24"/>
    </row>
    <row r="658" spans="15:19" ht="12.75" x14ac:dyDescent="0.2">
      <c r="O658" s="8"/>
      <c r="Q658" s="23"/>
      <c r="S658" s="24"/>
    </row>
    <row r="659" spans="15:19" ht="12.75" x14ac:dyDescent="0.2">
      <c r="O659" s="8"/>
      <c r="Q659" s="23"/>
      <c r="S659" s="24"/>
    </row>
    <row r="660" spans="15:19" ht="12.75" x14ac:dyDescent="0.2">
      <c r="O660" s="8"/>
      <c r="Q660" s="23"/>
      <c r="S660" s="24"/>
    </row>
    <row r="661" spans="15:19" ht="12.75" x14ac:dyDescent="0.2">
      <c r="O661" s="8"/>
      <c r="Q661" s="23"/>
      <c r="S661" s="24"/>
    </row>
    <row r="662" spans="15:19" ht="12.75" x14ac:dyDescent="0.2">
      <c r="O662" s="8"/>
      <c r="Q662" s="23"/>
      <c r="S662" s="24"/>
    </row>
    <row r="663" spans="15:19" ht="12.75" x14ac:dyDescent="0.2">
      <c r="O663" s="8"/>
      <c r="Q663" s="23"/>
      <c r="S663" s="24"/>
    </row>
    <row r="664" spans="15:19" ht="12.75" x14ac:dyDescent="0.2">
      <c r="O664" s="8"/>
      <c r="Q664" s="23"/>
      <c r="S664" s="24"/>
    </row>
    <row r="665" spans="15:19" ht="12.75" x14ac:dyDescent="0.2">
      <c r="O665" s="8"/>
      <c r="Q665" s="23"/>
      <c r="S665" s="24"/>
    </row>
    <row r="666" spans="15:19" ht="12.75" x14ac:dyDescent="0.2">
      <c r="O666" s="8"/>
      <c r="Q666" s="23"/>
      <c r="S666" s="24"/>
    </row>
    <row r="667" spans="15:19" ht="12.75" x14ac:dyDescent="0.2">
      <c r="O667" s="8"/>
      <c r="Q667" s="23"/>
      <c r="S667" s="24"/>
    </row>
    <row r="668" spans="15:19" ht="12.75" x14ac:dyDescent="0.2">
      <c r="O668" s="8"/>
      <c r="Q668" s="23"/>
      <c r="S668" s="24"/>
    </row>
    <row r="669" spans="15:19" ht="12.75" x14ac:dyDescent="0.2">
      <c r="O669" s="8"/>
      <c r="Q669" s="23"/>
      <c r="S669" s="24"/>
    </row>
    <row r="670" spans="15:19" ht="12.75" x14ac:dyDescent="0.2">
      <c r="O670" s="8"/>
      <c r="Q670" s="23"/>
      <c r="S670" s="24"/>
    </row>
    <row r="671" spans="15:19" ht="12.75" x14ac:dyDescent="0.2">
      <c r="O671" s="8"/>
      <c r="Q671" s="23"/>
      <c r="S671" s="24"/>
    </row>
    <row r="672" spans="15:19" ht="12.75" x14ac:dyDescent="0.2">
      <c r="O672" s="8"/>
      <c r="Q672" s="23"/>
      <c r="S672" s="24"/>
    </row>
    <row r="673" spans="15:19" ht="12.75" x14ac:dyDescent="0.2">
      <c r="O673" s="8"/>
      <c r="Q673" s="23"/>
      <c r="S673" s="24"/>
    </row>
    <row r="674" spans="15:19" ht="12.75" x14ac:dyDescent="0.2">
      <c r="O674" s="8"/>
      <c r="Q674" s="23"/>
      <c r="S674" s="24"/>
    </row>
    <row r="675" spans="15:19" ht="12.75" x14ac:dyDescent="0.2">
      <c r="O675" s="8"/>
      <c r="Q675" s="23"/>
      <c r="S675" s="24"/>
    </row>
    <row r="676" spans="15:19" ht="12.75" x14ac:dyDescent="0.2">
      <c r="O676" s="8"/>
      <c r="Q676" s="23"/>
      <c r="S676" s="24"/>
    </row>
    <row r="677" spans="15:19" ht="12.75" x14ac:dyDescent="0.2">
      <c r="O677" s="8"/>
      <c r="Q677" s="23"/>
      <c r="S677" s="24"/>
    </row>
    <row r="678" spans="15:19" ht="12.75" x14ac:dyDescent="0.2">
      <c r="O678" s="8"/>
      <c r="Q678" s="23"/>
      <c r="S678" s="24"/>
    </row>
    <row r="679" spans="15:19" ht="12.75" x14ac:dyDescent="0.2">
      <c r="O679" s="8"/>
      <c r="Q679" s="23"/>
      <c r="S679" s="24"/>
    </row>
    <row r="680" spans="15:19" ht="12.75" x14ac:dyDescent="0.2">
      <c r="O680" s="8"/>
      <c r="Q680" s="23"/>
      <c r="S680" s="24"/>
    </row>
    <row r="681" spans="15:19" ht="12.75" x14ac:dyDescent="0.2">
      <c r="O681" s="8"/>
      <c r="Q681" s="23"/>
      <c r="S681" s="24"/>
    </row>
    <row r="682" spans="15:19" ht="12.75" x14ac:dyDescent="0.2">
      <c r="O682" s="8"/>
      <c r="Q682" s="23"/>
      <c r="S682" s="24"/>
    </row>
    <row r="683" spans="15:19" ht="12.75" x14ac:dyDescent="0.2">
      <c r="O683" s="8"/>
      <c r="Q683" s="23"/>
      <c r="S683" s="24"/>
    </row>
    <row r="684" spans="15:19" ht="12.75" x14ac:dyDescent="0.2">
      <c r="O684" s="8"/>
      <c r="Q684" s="23"/>
      <c r="S684" s="24"/>
    </row>
    <row r="685" spans="15:19" ht="12.75" x14ac:dyDescent="0.2">
      <c r="O685" s="8"/>
      <c r="Q685" s="23"/>
      <c r="S685" s="24"/>
    </row>
    <row r="686" spans="15:19" ht="12.75" x14ac:dyDescent="0.2">
      <c r="O686" s="8"/>
      <c r="Q686" s="23"/>
      <c r="S686" s="24"/>
    </row>
    <row r="687" spans="15:19" ht="12.75" x14ac:dyDescent="0.2">
      <c r="O687" s="8"/>
      <c r="Q687" s="23"/>
      <c r="S687" s="24"/>
    </row>
    <row r="688" spans="15:19" ht="12.75" x14ac:dyDescent="0.2">
      <c r="O688" s="8"/>
      <c r="Q688" s="23"/>
      <c r="S688" s="24"/>
    </row>
    <row r="689" spans="15:19" ht="12.75" x14ac:dyDescent="0.2">
      <c r="O689" s="8"/>
      <c r="Q689" s="23"/>
      <c r="S689" s="24"/>
    </row>
    <row r="690" spans="15:19" ht="12.75" x14ac:dyDescent="0.2">
      <c r="O690" s="8"/>
      <c r="Q690" s="23"/>
      <c r="S690" s="24"/>
    </row>
    <row r="691" spans="15:19" ht="12.75" x14ac:dyDescent="0.2">
      <c r="O691" s="8"/>
      <c r="Q691" s="23"/>
      <c r="S691" s="24"/>
    </row>
    <row r="692" spans="15:19" ht="12.75" x14ac:dyDescent="0.2">
      <c r="O692" s="8"/>
      <c r="Q692" s="23"/>
      <c r="S692" s="24"/>
    </row>
    <row r="693" spans="15:19" ht="12.75" x14ac:dyDescent="0.2">
      <c r="O693" s="8"/>
      <c r="Q693" s="23"/>
      <c r="S693" s="24"/>
    </row>
    <row r="694" spans="15:19" ht="12.75" x14ac:dyDescent="0.2">
      <c r="O694" s="8"/>
      <c r="Q694" s="23"/>
      <c r="S694" s="24"/>
    </row>
    <row r="695" spans="15:19" ht="12.75" x14ac:dyDescent="0.2">
      <c r="O695" s="8"/>
      <c r="Q695" s="23"/>
      <c r="S695" s="24"/>
    </row>
    <row r="696" spans="15:19" ht="12.75" x14ac:dyDescent="0.2">
      <c r="O696" s="8"/>
      <c r="Q696" s="23"/>
      <c r="S696" s="24"/>
    </row>
    <row r="697" spans="15:19" ht="12.75" x14ac:dyDescent="0.2">
      <c r="O697" s="8"/>
      <c r="Q697" s="23"/>
      <c r="S697" s="24"/>
    </row>
    <row r="698" spans="15:19" ht="12.75" x14ac:dyDescent="0.2">
      <c r="O698" s="8"/>
      <c r="Q698" s="23"/>
      <c r="S698" s="24"/>
    </row>
    <row r="699" spans="15:19" ht="12.75" x14ac:dyDescent="0.2">
      <c r="O699" s="8"/>
      <c r="Q699" s="23"/>
      <c r="S699" s="24"/>
    </row>
    <row r="700" spans="15:19" ht="12.75" x14ac:dyDescent="0.2">
      <c r="O700" s="8"/>
      <c r="Q700" s="23"/>
      <c r="S700" s="24"/>
    </row>
    <row r="701" spans="15:19" ht="12.75" x14ac:dyDescent="0.2">
      <c r="O701" s="8"/>
      <c r="Q701" s="23"/>
      <c r="S701" s="24"/>
    </row>
    <row r="702" spans="15:19" ht="12.75" x14ac:dyDescent="0.2">
      <c r="O702" s="8"/>
      <c r="Q702" s="23"/>
      <c r="S702" s="24"/>
    </row>
    <row r="703" spans="15:19" ht="12.75" x14ac:dyDescent="0.2">
      <c r="O703" s="8"/>
      <c r="Q703" s="23"/>
      <c r="S703" s="24"/>
    </row>
    <row r="704" spans="15:19" ht="12.75" x14ac:dyDescent="0.2">
      <c r="O704" s="8"/>
      <c r="Q704" s="23"/>
      <c r="S704" s="24"/>
    </row>
    <row r="705" spans="15:19" ht="12.75" x14ac:dyDescent="0.2">
      <c r="O705" s="8"/>
      <c r="Q705" s="23"/>
      <c r="S705" s="24"/>
    </row>
    <row r="706" spans="15:19" ht="12.75" x14ac:dyDescent="0.2">
      <c r="O706" s="8"/>
      <c r="Q706" s="23"/>
      <c r="S706" s="24"/>
    </row>
    <row r="707" spans="15:19" ht="12.75" x14ac:dyDescent="0.2">
      <c r="O707" s="8"/>
      <c r="Q707" s="23"/>
      <c r="S707" s="24"/>
    </row>
    <row r="708" spans="15:19" ht="12.75" x14ac:dyDescent="0.2">
      <c r="O708" s="8"/>
      <c r="Q708" s="23"/>
      <c r="S708" s="24"/>
    </row>
    <row r="709" spans="15:19" ht="12.75" x14ac:dyDescent="0.2">
      <c r="O709" s="8"/>
      <c r="Q709" s="23"/>
      <c r="S709" s="24"/>
    </row>
    <row r="710" spans="15:19" ht="12.75" x14ac:dyDescent="0.2">
      <c r="O710" s="8"/>
      <c r="Q710" s="23"/>
      <c r="S710" s="24"/>
    </row>
    <row r="711" spans="15:19" ht="12.75" x14ac:dyDescent="0.2">
      <c r="O711" s="8"/>
      <c r="Q711" s="23"/>
      <c r="S711" s="24"/>
    </row>
    <row r="712" spans="15:19" ht="12.75" x14ac:dyDescent="0.2">
      <c r="O712" s="8"/>
      <c r="Q712" s="23"/>
      <c r="S712" s="24"/>
    </row>
    <row r="713" spans="15:19" ht="12.75" x14ac:dyDescent="0.2">
      <c r="O713" s="8"/>
      <c r="Q713" s="23"/>
      <c r="S713" s="24"/>
    </row>
    <row r="714" spans="15:19" ht="12.75" x14ac:dyDescent="0.2">
      <c r="O714" s="8"/>
      <c r="Q714" s="23"/>
      <c r="S714" s="24"/>
    </row>
    <row r="715" spans="15:19" ht="12.75" x14ac:dyDescent="0.2">
      <c r="O715" s="8"/>
      <c r="Q715" s="23"/>
      <c r="S715" s="24"/>
    </row>
    <row r="716" spans="15:19" ht="12.75" x14ac:dyDescent="0.2">
      <c r="O716" s="8"/>
      <c r="Q716" s="23"/>
      <c r="S716" s="24"/>
    </row>
    <row r="717" spans="15:19" ht="12.75" x14ac:dyDescent="0.2">
      <c r="O717" s="8"/>
      <c r="Q717" s="23"/>
      <c r="S717" s="24"/>
    </row>
    <row r="718" spans="15:19" ht="12.75" x14ac:dyDescent="0.2">
      <c r="O718" s="8"/>
      <c r="Q718" s="23"/>
      <c r="S718" s="24"/>
    </row>
    <row r="719" spans="15:19" ht="12.75" x14ac:dyDescent="0.2">
      <c r="O719" s="8"/>
      <c r="Q719" s="23"/>
      <c r="S719" s="24"/>
    </row>
    <row r="720" spans="15:19" ht="12.75" x14ac:dyDescent="0.2">
      <c r="O720" s="8"/>
      <c r="Q720" s="23"/>
      <c r="S720" s="24"/>
    </row>
    <row r="721" spans="15:19" ht="12.75" x14ac:dyDescent="0.2">
      <c r="O721" s="8"/>
      <c r="Q721" s="23"/>
      <c r="S721" s="24"/>
    </row>
    <row r="722" spans="15:19" ht="12.75" x14ac:dyDescent="0.2">
      <c r="O722" s="8"/>
      <c r="Q722" s="23"/>
      <c r="S722" s="24"/>
    </row>
    <row r="723" spans="15:19" ht="12.75" x14ac:dyDescent="0.2">
      <c r="O723" s="8"/>
      <c r="Q723" s="23"/>
      <c r="S723" s="24"/>
    </row>
    <row r="724" spans="15:19" ht="12.75" x14ac:dyDescent="0.2">
      <c r="O724" s="8"/>
      <c r="Q724" s="23"/>
      <c r="S724" s="24"/>
    </row>
    <row r="725" spans="15:19" ht="12.75" x14ac:dyDescent="0.2">
      <c r="O725" s="8"/>
      <c r="Q725" s="23"/>
      <c r="S725" s="24"/>
    </row>
    <row r="726" spans="15:19" ht="12.75" x14ac:dyDescent="0.2">
      <c r="O726" s="8"/>
      <c r="Q726" s="23"/>
      <c r="S726" s="24"/>
    </row>
    <row r="727" spans="15:19" ht="12.75" x14ac:dyDescent="0.2">
      <c r="O727" s="8"/>
      <c r="Q727" s="23"/>
      <c r="S727" s="24"/>
    </row>
    <row r="728" spans="15:19" ht="12.75" x14ac:dyDescent="0.2">
      <c r="O728" s="8"/>
      <c r="Q728" s="23"/>
      <c r="S728" s="24"/>
    </row>
    <row r="729" spans="15:19" ht="12.75" x14ac:dyDescent="0.2">
      <c r="O729" s="8"/>
      <c r="Q729" s="23"/>
      <c r="S729" s="24"/>
    </row>
    <row r="730" spans="15:19" ht="12.75" x14ac:dyDescent="0.2">
      <c r="O730" s="8"/>
      <c r="Q730" s="23"/>
      <c r="S730" s="24"/>
    </row>
    <row r="731" spans="15:19" ht="12.75" x14ac:dyDescent="0.2">
      <c r="O731" s="8"/>
      <c r="Q731" s="23"/>
      <c r="S731" s="24"/>
    </row>
    <row r="732" spans="15:19" ht="12.75" x14ac:dyDescent="0.2">
      <c r="O732" s="8"/>
      <c r="Q732" s="23"/>
      <c r="S732" s="24"/>
    </row>
    <row r="733" spans="15:19" ht="12.75" x14ac:dyDescent="0.2">
      <c r="O733" s="8"/>
      <c r="Q733" s="23"/>
      <c r="S733" s="24"/>
    </row>
    <row r="734" spans="15:19" ht="12.75" x14ac:dyDescent="0.2">
      <c r="O734" s="8"/>
      <c r="Q734" s="23"/>
      <c r="S734" s="24"/>
    </row>
    <row r="735" spans="15:19" ht="12.75" x14ac:dyDescent="0.2">
      <c r="O735" s="8"/>
      <c r="Q735" s="23"/>
      <c r="S735" s="24"/>
    </row>
    <row r="736" spans="15:19" ht="12.75" x14ac:dyDescent="0.2">
      <c r="O736" s="8"/>
      <c r="Q736" s="23"/>
      <c r="S736" s="24"/>
    </row>
    <row r="737" spans="15:19" ht="12.75" x14ac:dyDescent="0.2">
      <c r="O737" s="8"/>
      <c r="Q737" s="23"/>
      <c r="S737" s="24"/>
    </row>
    <row r="738" spans="15:19" ht="12.75" x14ac:dyDescent="0.2">
      <c r="O738" s="8"/>
      <c r="Q738" s="23"/>
      <c r="S738" s="24"/>
    </row>
    <row r="739" spans="15:19" ht="12.75" x14ac:dyDescent="0.2">
      <c r="O739" s="8"/>
      <c r="Q739" s="23"/>
      <c r="S739" s="24"/>
    </row>
    <row r="740" spans="15:19" ht="12.75" x14ac:dyDescent="0.2">
      <c r="O740" s="8"/>
      <c r="Q740" s="23"/>
      <c r="S740" s="24"/>
    </row>
    <row r="741" spans="15:19" ht="12.75" x14ac:dyDescent="0.2">
      <c r="O741" s="8"/>
      <c r="Q741" s="23"/>
      <c r="S741" s="24"/>
    </row>
    <row r="742" spans="15:19" ht="12.75" x14ac:dyDescent="0.2">
      <c r="O742" s="8"/>
      <c r="Q742" s="23"/>
      <c r="S742" s="24"/>
    </row>
    <row r="743" spans="15:19" ht="12.75" x14ac:dyDescent="0.2">
      <c r="O743" s="8"/>
      <c r="Q743" s="23"/>
      <c r="S743" s="24"/>
    </row>
    <row r="744" spans="15:19" ht="12.75" x14ac:dyDescent="0.2">
      <c r="O744" s="8"/>
      <c r="Q744" s="23"/>
      <c r="S744" s="24"/>
    </row>
    <row r="745" spans="15:19" ht="12.75" x14ac:dyDescent="0.2">
      <c r="O745" s="8"/>
      <c r="Q745" s="23"/>
      <c r="S745" s="24"/>
    </row>
    <row r="746" spans="15:19" ht="12.75" x14ac:dyDescent="0.2">
      <c r="O746" s="8"/>
      <c r="Q746" s="23"/>
      <c r="S746" s="24"/>
    </row>
    <row r="747" spans="15:19" ht="12.75" x14ac:dyDescent="0.2">
      <c r="O747" s="8"/>
      <c r="Q747" s="23"/>
      <c r="S747" s="24"/>
    </row>
    <row r="748" spans="15:19" ht="12.75" x14ac:dyDescent="0.2">
      <c r="O748" s="8"/>
      <c r="Q748" s="23"/>
      <c r="S748" s="24"/>
    </row>
    <row r="749" spans="15:19" ht="12.75" x14ac:dyDescent="0.2">
      <c r="O749" s="8"/>
      <c r="Q749" s="23"/>
      <c r="S749" s="24"/>
    </row>
    <row r="750" spans="15:19" ht="12.75" x14ac:dyDescent="0.2">
      <c r="O750" s="8"/>
      <c r="Q750" s="23"/>
      <c r="S750" s="24"/>
    </row>
    <row r="751" spans="15:19" ht="12.75" x14ac:dyDescent="0.2">
      <c r="O751" s="8"/>
      <c r="Q751" s="23"/>
      <c r="S751" s="24"/>
    </row>
    <row r="752" spans="15:19" ht="12.75" x14ac:dyDescent="0.2">
      <c r="O752" s="8"/>
      <c r="Q752" s="23"/>
      <c r="S752" s="24"/>
    </row>
    <row r="753" spans="15:19" ht="12.75" x14ac:dyDescent="0.2">
      <c r="O753" s="8"/>
      <c r="Q753" s="23"/>
      <c r="S753" s="24"/>
    </row>
    <row r="754" spans="15:19" ht="12.75" x14ac:dyDescent="0.2">
      <c r="O754" s="8"/>
      <c r="Q754" s="23"/>
      <c r="S754" s="24"/>
    </row>
    <row r="755" spans="15:19" ht="12.75" x14ac:dyDescent="0.2">
      <c r="O755" s="8"/>
      <c r="Q755" s="23"/>
      <c r="S755" s="24"/>
    </row>
    <row r="756" spans="15:19" ht="12.75" x14ac:dyDescent="0.2">
      <c r="O756" s="8"/>
      <c r="Q756" s="23"/>
      <c r="S756" s="24"/>
    </row>
    <row r="757" spans="15:19" ht="12.75" x14ac:dyDescent="0.2">
      <c r="O757" s="8"/>
      <c r="Q757" s="23"/>
      <c r="S757" s="24"/>
    </row>
    <row r="758" spans="15:19" ht="12.75" x14ac:dyDescent="0.2">
      <c r="O758" s="8"/>
      <c r="Q758" s="23"/>
      <c r="S758" s="24"/>
    </row>
    <row r="759" spans="15:19" ht="12.75" x14ac:dyDescent="0.2">
      <c r="O759" s="8"/>
      <c r="Q759" s="23"/>
      <c r="S759" s="24"/>
    </row>
    <row r="760" spans="15:19" ht="12.75" x14ac:dyDescent="0.2">
      <c r="O760" s="8"/>
      <c r="Q760" s="23"/>
      <c r="S760" s="24"/>
    </row>
    <row r="761" spans="15:19" ht="12.75" x14ac:dyDescent="0.2">
      <c r="O761" s="8"/>
      <c r="Q761" s="23"/>
      <c r="S761" s="24"/>
    </row>
    <row r="762" spans="15:19" ht="12.75" x14ac:dyDescent="0.2">
      <c r="O762" s="8"/>
      <c r="Q762" s="23"/>
      <c r="S762" s="24"/>
    </row>
    <row r="763" spans="15:19" ht="12.75" x14ac:dyDescent="0.2">
      <c r="O763" s="8"/>
      <c r="Q763" s="23"/>
      <c r="S763" s="24"/>
    </row>
    <row r="764" spans="15:19" ht="12.75" x14ac:dyDescent="0.2">
      <c r="O764" s="8"/>
      <c r="Q764" s="23"/>
      <c r="S764" s="24"/>
    </row>
    <row r="765" spans="15:19" ht="12.75" x14ac:dyDescent="0.2">
      <c r="O765" s="8"/>
      <c r="Q765" s="23"/>
      <c r="S765" s="24"/>
    </row>
    <row r="766" spans="15:19" ht="12.75" x14ac:dyDescent="0.2">
      <c r="O766" s="8"/>
      <c r="Q766" s="23"/>
      <c r="S766" s="24"/>
    </row>
    <row r="767" spans="15:19" ht="12.75" x14ac:dyDescent="0.2">
      <c r="O767" s="8"/>
      <c r="Q767" s="23"/>
      <c r="S767" s="24"/>
    </row>
    <row r="768" spans="15:19" ht="12.75" x14ac:dyDescent="0.2">
      <c r="O768" s="8"/>
      <c r="Q768" s="23"/>
      <c r="S768" s="24"/>
    </row>
    <row r="769" spans="15:19" ht="12.75" x14ac:dyDescent="0.2">
      <c r="O769" s="8"/>
      <c r="Q769" s="23"/>
      <c r="S769" s="24"/>
    </row>
    <row r="770" spans="15:19" ht="12.75" x14ac:dyDescent="0.2">
      <c r="O770" s="8"/>
      <c r="Q770" s="23"/>
      <c r="S770" s="24"/>
    </row>
    <row r="771" spans="15:19" ht="12.75" x14ac:dyDescent="0.2">
      <c r="O771" s="8"/>
      <c r="Q771" s="23"/>
      <c r="S771" s="24"/>
    </row>
    <row r="772" spans="15:19" ht="12.75" x14ac:dyDescent="0.2">
      <c r="O772" s="8"/>
      <c r="Q772" s="23"/>
      <c r="S772" s="24"/>
    </row>
    <row r="773" spans="15:19" ht="12.75" x14ac:dyDescent="0.2">
      <c r="O773" s="8"/>
      <c r="Q773" s="23"/>
      <c r="S773" s="24"/>
    </row>
    <row r="774" spans="15:19" ht="12.75" x14ac:dyDescent="0.2">
      <c r="O774" s="8"/>
      <c r="Q774" s="23"/>
      <c r="S774" s="24"/>
    </row>
    <row r="775" spans="15:19" ht="12.75" x14ac:dyDescent="0.2">
      <c r="O775" s="8"/>
      <c r="Q775" s="23"/>
      <c r="S775" s="24"/>
    </row>
    <row r="776" spans="15:19" ht="12.75" x14ac:dyDescent="0.2">
      <c r="O776" s="8"/>
      <c r="Q776" s="23"/>
      <c r="S776" s="24"/>
    </row>
    <row r="777" spans="15:19" ht="12.75" x14ac:dyDescent="0.2">
      <c r="O777" s="8"/>
      <c r="Q777" s="23"/>
      <c r="S777" s="24"/>
    </row>
    <row r="778" spans="15:19" ht="12.75" x14ac:dyDescent="0.2">
      <c r="O778" s="8"/>
      <c r="Q778" s="23"/>
      <c r="S778" s="24"/>
    </row>
    <row r="779" spans="15:19" ht="12.75" x14ac:dyDescent="0.2">
      <c r="O779" s="8"/>
      <c r="Q779" s="23"/>
      <c r="S779" s="24"/>
    </row>
    <row r="780" spans="15:19" ht="12.75" x14ac:dyDescent="0.2">
      <c r="O780" s="8"/>
      <c r="Q780" s="23"/>
      <c r="S780" s="24"/>
    </row>
    <row r="781" spans="15:19" ht="12.75" x14ac:dyDescent="0.2">
      <c r="O781" s="8"/>
      <c r="Q781" s="23"/>
      <c r="S781" s="24"/>
    </row>
    <row r="782" spans="15:19" ht="12.75" x14ac:dyDescent="0.2">
      <c r="O782" s="8"/>
      <c r="Q782" s="23"/>
      <c r="S782" s="24"/>
    </row>
    <row r="783" spans="15:19" ht="12.75" x14ac:dyDescent="0.2">
      <c r="O783" s="8"/>
      <c r="Q783" s="23"/>
      <c r="S783" s="24"/>
    </row>
    <row r="784" spans="15:19" ht="12.75" x14ac:dyDescent="0.2">
      <c r="O784" s="8"/>
      <c r="Q784" s="23"/>
      <c r="S784" s="24"/>
    </row>
    <row r="785" spans="15:19" ht="12.75" x14ac:dyDescent="0.2">
      <c r="O785" s="8"/>
      <c r="Q785" s="23"/>
      <c r="S785" s="24"/>
    </row>
    <row r="786" spans="15:19" ht="12.75" x14ac:dyDescent="0.2">
      <c r="O786" s="8"/>
      <c r="Q786" s="23"/>
      <c r="S786" s="24"/>
    </row>
    <row r="787" spans="15:19" ht="12.75" x14ac:dyDescent="0.2">
      <c r="O787" s="8"/>
      <c r="Q787" s="23"/>
      <c r="S787" s="24"/>
    </row>
    <row r="788" spans="15:19" ht="12.75" x14ac:dyDescent="0.2">
      <c r="O788" s="8"/>
      <c r="Q788" s="23"/>
      <c r="S788" s="24"/>
    </row>
    <row r="789" spans="15:19" ht="12.75" x14ac:dyDescent="0.2">
      <c r="O789" s="8"/>
      <c r="Q789" s="23"/>
      <c r="S789" s="24"/>
    </row>
    <row r="790" spans="15:19" ht="12.75" x14ac:dyDescent="0.2">
      <c r="O790" s="8"/>
      <c r="Q790" s="23"/>
      <c r="S790" s="24"/>
    </row>
    <row r="791" spans="15:19" ht="12.75" x14ac:dyDescent="0.2">
      <c r="O791" s="8"/>
      <c r="Q791" s="23"/>
      <c r="S791" s="24"/>
    </row>
    <row r="792" spans="15:19" ht="12.75" x14ac:dyDescent="0.2">
      <c r="O792" s="8"/>
      <c r="Q792" s="23"/>
      <c r="S792" s="24"/>
    </row>
    <row r="793" spans="15:19" ht="12.75" x14ac:dyDescent="0.2">
      <c r="O793" s="8"/>
      <c r="Q793" s="23"/>
      <c r="S793" s="24"/>
    </row>
    <row r="794" spans="15:19" ht="12.75" x14ac:dyDescent="0.2">
      <c r="O794" s="8"/>
      <c r="Q794" s="23"/>
      <c r="S794" s="24"/>
    </row>
    <row r="795" spans="15:19" ht="12.75" x14ac:dyDescent="0.2">
      <c r="O795" s="8"/>
      <c r="Q795" s="23"/>
      <c r="S795" s="24"/>
    </row>
    <row r="796" spans="15:19" ht="12.75" x14ac:dyDescent="0.2">
      <c r="O796" s="8"/>
      <c r="Q796" s="23"/>
      <c r="S796" s="24"/>
    </row>
    <row r="797" spans="15:19" ht="12.75" x14ac:dyDescent="0.2">
      <c r="O797" s="8"/>
      <c r="Q797" s="23"/>
      <c r="S797" s="24"/>
    </row>
    <row r="798" spans="15:19" ht="12.75" x14ac:dyDescent="0.2">
      <c r="O798" s="8"/>
      <c r="Q798" s="23"/>
      <c r="S798" s="24"/>
    </row>
    <row r="799" spans="15:19" ht="12.75" x14ac:dyDescent="0.2">
      <c r="O799" s="8"/>
      <c r="Q799" s="23"/>
      <c r="S799" s="24"/>
    </row>
    <row r="800" spans="15:19" ht="12.75" x14ac:dyDescent="0.2">
      <c r="O800" s="8"/>
      <c r="Q800" s="23"/>
      <c r="S800" s="24"/>
    </row>
    <row r="801" spans="15:19" ht="12.75" x14ac:dyDescent="0.2">
      <c r="O801" s="8"/>
      <c r="Q801" s="23"/>
      <c r="S801" s="24"/>
    </row>
    <row r="802" spans="15:19" ht="12.75" x14ac:dyDescent="0.2">
      <c r="O802" s="8"/>
      <c r="Q802" s="23"/>
      <c r="S802" s="24"/>
    </row>
    <row r="803" spans="15:19" ht="12.75" x14ac:dyDescent="0.2">
      <c r="O803" s="8"/>
      <c r="Q803" s="23"/>
      <c r="S803" s="24"/>
    </row>
    <row r="804" spans="15:19" ht="12.75" x14ac:dyDescent="0.2">
      <c r="O804" s="8"/>
      <c r="Q804" s="23"/>
      <c r="S804" s="24"/>
    </row>
    <row r="805" spans="15:19" ht="12.75" x14ac:dyDescent="0.2">
      <c r="O805" s="8"/>
      <c r="Q805" s="23"/>
      <c r="S805" s="24"/>
    </row>
    <row r="806" spans="15:19" ht="12.75" x14ac:dyDescent="0.2">
      <c r="O806" s="8"/>
      <c r="Q806" s="23"/>
      <c r="S806" s="24"/>
    </row>
    <row r="807" spans="15:19" ht="12.75" x14ac:dyDescent="0.2">
      <c r="O807" s="8"/>
      <c r="Q807" s="23"/>
      <c r="S807" s="24"/>
    </row>
    <row r="808" spans="15:19" ht="12.75" x14ac:dyDescent="0.2">
      <c r="O808" s="8"/>
      <c r="Q808" s="23"/>
      <c r="S808" s="24"/>
    </row>
    <row r="809" spans="15:19" ht="12.75" x14ac:dyDescent="0.2">
      <c r="O809" s="8"/>
      <c r="Q809" s="23"/>
      <c r="S809" s="24"/>
    </row>
    <row r="810" spans="15:19" ht="12.75" x14ac:dyDescent="0.2">
      <c r="O810" s="8"/>
      <c r="Q810" s="23"/>
      <c r="S810" s="24"/>
    </row>
    <row r="811" spans="15:19" ht="12.75" x14ac:dyDescent="0.2">
      <c r="O811" s="8"/>
      <c r="Q811" s="23"/>
      <c r="S811" s="24"/>
    </row>
    <row r="812" spans="15:19" ht="12.75" x14ac:dyDescent="0.2">
      <c r="O812" s="8"/>
      <c r="Q812" s="23"/>
      <c r="S812" s="24"/>
    </row>
    <row r="813" spans="15:19" ht="12.75" x14ac:dyDescent="0.2">
      <c r="O813" s="8"/>
      <c r="Q813" s="23"/>
      <c r="S813" s="24"/>
    </row>
    <row r="814" spans="15:19" ht="12.75" x14ac:dyDescent="0.2">
      <c r="O814" s="8"/>
      <c r="Q814" s="23"/>
      <c r="S814" s="24"/>
    </row>
    <row r="815" spans="15:19" ht="12.75" x14ac:dyDescent="0.2">
      <c r="O815" s="8"/>
      <c r="Q815" s="23"/>
      <c r="S815" s="24"/>
    </row>
    <row r="816" spans="15:19" ht="12.75" x14ac:dyDescent="0.2">
      <c r="O816" s="8"/>
      <c r="Q816" s="23"/>
      <c r="S816" s="24"/>
    </row>
    <row r="817" spans="15:19" ht="12.75" x14ac:dyDescent="0.2">
      <c r="O817" s="8"/>
      <c r="Q817" s="23"/>
      <c r="S817" s="24"/>
    </row>
    <row r="818" spans="15:19" ht="12.75" x14ac:dyDescent="0.2">
      <c r="O818" s="8"/>
      <c r="Q818" s="23"/>
      <c r="S818" s="24"/>
    </row>
    <row r="819" spans="15:19" ht="12.75" x14ac:dyDescent="0.2">
      <c r="O819" s="8"/>
      <c r="Q819" s="23"/>
      <c r="S819" s="24"/>
    </row>
    <row r="820" spans="15:19" ht="12.75" x14ac:dyDescent="0.2">
      <c r="O820" s="8"/>
      <c r="Q820" s="23"/>
      <c r="S820" s="24"/>
    </row>
    <row r="821" spans="15:19" ht="12.75" x14ac:dyDescent="0.2">
      <c r="O821" s="8"/>
      <c r="Q821" s="23"/>
      <c r="S821" s="24"/>
    </row>
    <row r="822" spans="15:19" ht="12.75" x14ac:dyDescent="0.2">
      <c r="O822" s="8"/>
      <c r="Q822" s="23"/>
      <c r="S822" s="24"/>
    </row>
    <row r="823" spans="15:19" ht="12.75" x14ac:dyDescent="0.2">
      <c r="O823" s="8"/>
      <c r="Q823" s="23"/>
      <c r="S823" s="24"/>
    </row>
    <row r="824" spans="15:19" ht="12.75" x14ac:dyDescent="0.2">
      <c r="O824" s="8"/>
      <c r="Q824" s="23"/>
      <c r="S824" s="24"/>
    </row>
    <row r="825" spans="15:19" ht="12.75" x14ac:dyDescent="0.2">
      <c r="O825" s="8"/>
      <c r="Q825" s="23"/>
      <c r="S825" s="24"/>
    </row>
    <row r="826" spans="15:19" ht="12.75" x14ac:dyDescent="0.2">
      <c r="O826" s="8"/>
      <c r="Q826" s="23"/>
      <c r="S826" s="24"/>
    </row>
    <row r="827" spans="15:19" ht="12.75" x14ac:dyDescent="0.2">
      <c r="O827" s="8"/>
      <c r="Q827" s="23"/>
      <c r="S827" s="24"/>
    </row>
    <row r="828" spans="15:19" ht="12.75" x14ac:dyDescent="0.2">
      <c r="O828" s="8"/>
      <c r="Q828" s="23"/>
      <c r="S828" s="24"/>
    </row>
    <row r="829" spans="15:19" ht="12.75" x14ac:dyDescent="0.2">
      <c r="O829" s="8"/>
      <c r="Q829" s="23"/>
      <c r="S829" s="24"/>
    </row>
    <row r="830" spans="15:19" ht="12.75" x14ac:dyDescent="0.2">
      <c r="O830" s="8"/>
      <c r="Q830" s="23"/>
      <c r="S830" s="24"/>
    </row>
    <row r="831" spans="15:19" ht="12.75" x14ac:dyDescent="0.2">
      <c r="O831" s="8"/>
      <c r="Q831" s="23"/>
      <c r="S831" s="24"/>
    </row>
    <row r="832" spans="15:19" ht="12.75" x14ac:dyDescent="0.2">
      <c r="O832" s="8"/>
      <c r="Q832" s="23"/>
      <c r="S832" s="24"/>
    </row>
    <row r="833" spans="15:19" ht="12.75" x14ac:dyDescent="0.2">
      <c r="O833" s="8"/>
      <c r="Q833" s="23"/>
      <c r="S833" s="24"/>
    </row>
    <row r="834" spans="15:19" ht="12.75" x14ac:dyDescent="0.2">
      <c r="O834" s="8"/>
      <c r="Q834" s="23"/>
      <c r="S834" s="24"/>
    </row>
    <row r="835" spans="15:19" ht="12.75" x14ac:dyDescent="0.2">
      <c r="O835" s="8"/>
      <c r="Q835" s="23"/>
      <c r="S835" s="24"/>
    </row>
    <row r="836" spans="15:19" ht="12.75" x14ac:dyDescent="0.2">
      <c r="O836" s="8"/>
      <c r="Q836" s="23"/>
      <c r="S836" s="24"/>
    </row>
    <row r="837" spans="15:19" ht="12.75" x14ac:dyDescent="0.2">
      <c r="O837" s="8"/>
      <c r="Q837" s="23"/>
      <c r="S837" s="24"/>
    </row>
    <row r="838" spans="15:19" ht="12.75" x14ac:dyDescent="0.2">
      <c r="O838" s="8"/>
      <c r="Q838" s="23"/>
      <c r="S838" s="24"/>
    </row>
    <row r="839" spans="15:19" ht="12.75" x14ac:dyDescent="0.2">
      <c r="O839" s="8"/>
      <c r="Q839" s="23"/>
      <c r="S839" s="24"/>
    </row>
    <row r="840" spans="15:19" ht="12.75" x14ac:dyDescent="0.2">
      <c r="O840" s="8"/>
      <c r="Q840" s="23"/>
      <c r="S840" s="24"/>
    </row>
    <row r="841" spans="15:19" ht="12.75" x14ac:dyDescent="0.2">
      <c r="O841" s="8"/>
      <c r="Q841" s="23"/>
      <c r="S841" s="24"/>
    </row>
    <row r="842" spans="15:19" ht="12.75" x14ac:dyDescent="0.2">
      <c r="O842" s="8"/>
      <c r="Q842" s="23"/>
      <c r="S842" s="24"/>
    </row>
    <row r="843" spans="15:19" ht="12.75" x14ac:dyDescent="0.2">
      <c r="O843" s="8"/>
      <c r="Q843" s="23"/>
      <c r="S843" s="24"/>
    </row>
    <row r="844" spans="15:19" ht="12.75" x14ac:dyDescent="0.2">
      <c r="O844" s="8"/>
      <c r="Q844" s="23"/>
      <c r="S844" s="24"/>
    </row>
    <row r="845" spans="15:19" ht="12.75" x14ac:dyDescent="0.2">
      <c r="O845" s="8"/>
      <c r="Q845" s="23"/>
      <c r="S845" s="24"/>
    </row>
    <row r="846" spans="15:19" ht="12.75" x14ac:dyDescent="0.2">
      <c r="O846" s="8"/>
      <c r="Q846" s="23"/>
      <c r="S846" s="24"/>
    </row>
    <row r="847" spans="15:19" ht="12.75" x14ac:dyDescent="0.2">
      <c r="O847" s="8"/>
      <c r="Q847" s="23"/>
      <c r="S847" s="24"/>
    </row>
    <row r="848" spans="15:19" ht="12.75" x14ac:dyDescent="0.2">
      <c r="O848" s="8"/>
      <c r="Q848" s="23"/>
      <c r="S848" s="24"/>
    </row>
    <row r="849" spans="15:19" ht="12.75" x14ac:dyDescent="0.2">
      <c r="O849" s="8"/>
      <c r="Q849" s="23"/>
      <c r="S849" s="24"/>
    </row>
    <row r="850" spans="15:19" ht="12.75" x14ac:dyDescent="0.2">
      <c r="O850" s="8"/>
      <c r="Q850" s="23"/>
      <c r="S850" s="24"/>
    </row>
    <row r="851" spans="15:19" ht="12.75" x14ac:dyDescent="0.2">
      <c r="O851" s="8"/>
      <c r="Q851" s="23"/>
      <c r="S851" s="24"/>
    </row>
    <row r="852" spans="15:19" ht="12.75" x14ac:dyDescent="0.2">
      <c r="O852" s="8"/>
      <c r="Q852" s="23"/>
      <c r="S852" s="24"/>
    </row>
    <row r="853" spans="15:19" ht="12.75" x14ac:dyDescent="0.2">
      <c r="O853" s="8"/>
      <c r="Q853" s="23"/>
      <c r="S853" s="24"/>
    </row>
    <row r="854" spans="15:19" ht="12.75" x14ac:dyDescent="0.2">
      <c r="O854" s="8"/>
      <c r="Q854" s="23"/>
      <c r="S854" s="24"/>
    </row>
    <row r="855" spans="15:19" ht="12.75" x14ac:dyDescent="0.2">
      <c r="O855" s="8"/>
      <c r="Q855" s="23"/>
      <c r="S855" s="24"/>
    </row>
    <row r="856" spans="15:19" ht="12.75" x14ac:dyDescent="0.2">
      <c r="O856" s="8"/>
      <c r="Q856" s="23"/>
      <c r="S856" s="24"/>
    </row>
    <row r="857" spans="15:19" ht="12.75" x14ac:dyDescent="0.2">
      <c r="O857" s="8"/>
      <c r="Q857" s="23"/>
      <c r="S857" s="24"/>
    </row>
    <row r="858" spans="15:19" ht="12.75" x14ac:dyDescent="0.2">
      <c r="O858" s="8"/>
      <c r="Q858" s="23"/>
      <c r="S858" s="24"/>
    </row>
    <row r="859" spans="15:19" ht="12.75" x14ac:dyDescent="0.2">
      <c r="O859" s="8"/>
      <c r="Q859" s="23"/>
      <c r="S859" s="24"/>
    </row>
    <row r="860" spans="15:19" ht="12.75" x14ac:dyDescent="0.2">
      <c r="O860" s="8"/>
      <c r="Q860" s="23"/>
      <c r="S860" s="24"/>
    </row>
    <row r="861" spans="15:19" ht="12.75" x14ac:dyDescent="0.2">
      <c r="O861" s="8"/>
      <c r="Q861" s="23"/>
      <c r="S861" s="24"/>
    </row>
    <row r="862" spans="15:19" ht="12.75" x14ac:dyDescent="0.2">
      <c r="O862" s="8"/>
      <c r="Q862" s="23"/>
      <c r="S862" s="24"/>
    </row>
    <row r="863" spans="15:19" ht="12.75" x14ac:dyDescent="0.2">
      <c r="O863" s="8"/>
      <c r="Q863" s="23"/>
      <c r="S863" s="24"/>
    </row>
    <row r="864" spans="15:19" ht="12.75" x14ac:dyDescent="0.2">
      <c r="O864" s="8"/>
      <c r="Q864" s="23"/>
      <c r="S864" s="24"/>
    </row>
    <row r="865" spans="15:19" ht="12.75" x14ac:dyDescent="0.2">
      <c r="O865" s="8"/>
      <c r="Q865" s="23"/>
      <c r="S865" s="24"/>
    </row>
    <row r="866" spans="15:19" ht="12.75" x14ac:dyDescent="0.2">
      <c r="O866" s="8"/>
      <c r="Q866" s="23"/>
      <c r="S866" s="24"/>
    </row>
    <row r="867" spans="15:19" ht="12.75" x14ac:dyDescent="0.2">
      <c r="O867" s="8"/>
      <c r="Q867" s="23"/>
      <c r="S867" s="24"/>
    </row>
    <row r="868" spans="15:19" ht="12.75" x14ac:dyDescent="0.2">
      <c r="O868" s="8"/>
      <c r="Q868" s="23"/>
      <c r="S868" s="24"/>
    </row>
    <row r="869" spans="15:19" ht="12.75" x14ac:dyDescent="0.2">
      <c r="O869" s="8"/>
      <c r="Q869" s="23"/>
      <c r="S869" s="24"/>
    </row>
    <row r="870" spans="15:19" ht="12.75" x14ac:dyDescent="0.2">
      <c r="O870" s="8"/>
      <c r="Q870" s="23"/>
      <c r="S870" s="24"/>
    </row>
    <row r="871" spans="15:19" ht="12.75" x14ac:dyDescent="0.2">
      <c r="O871" s="8"/>
      <c r="Q871" s="23"/>
      <c r="S871" s="24"/>
    </row>
    <row r="872" spans="15:19" ht="12.75" x14ac:dyDescent="0.2">
      <c r="O872" s="8"/>
      <c r="Q872" s="23"/>
      <c r="S872" s="24"/>
    </row>
    <row r="873" spans="15:19" ht="12.75" x14ac:dyDescent="0.2">
      <c r="O873" s="8"/>
      <c r="Q873" s="23"/>
      <c r="S873" s="24"/>
    </row>
    <row r="874" spans="15:19" ht="12.75" x14ac:dyDescent="0.2">
      <c r="O874" s="8"/>
      <c r="Q874" s="23"/>
      <c r="S874" s="24"/>
    </row>
    <row r="875" spans="15:19" ht="12.75" x14ac:dyDescent="0.2">
      <c r="O875" s="8"/>
      <c r="Q875" s="23"/>
      <c r="S875" s="24"/>
    </row>
    <row r="876" spans="15:19" ht="12.75" x14ac:dyDescent="0.2">
      <c r="O876" s="8"/>
      <c r="Q876" s="23"/>
      <c r="S876" s="24"/>
    </row>
    <row r="877" spans="15:19" ht="12.75" x14ac:dyDescent="0.2">
      <c r="O877" s="8"/>
      <c r="Q877" s="23"/>
      <c r="S877" s="24"/>
    </row>
    <row r="878" spans="15:19" ht="12.75" x14ac:dyDescent="0.2">
      <c r="O878" s="8"/>
      <c r="Q878" s="23"/>
      <c r="S878" s="24"/>
    </row>
    <row r="879" spans="15:19" ht="12.75" x14ac:dyDescent="0.2">
      <c r="O879" s="8"/>
      <c r="Q879" s="23"/>
      <c r="S879" s="24"/>
    </row>
    <row r="880" spans="15:19" ht="12.75" x14ac:dyDescent="0.2">
      <c r="O880" s="8"/>
      <c r="Q880" s="23"/>
      <c r="S880" s="24"/>
    </row>
    <row r="881" spans="15:19" ht="12.75" x14ac:dyDescent="0.2">
      <c r="O881" s="8"/>
      <c r="Q881" s="23"/>
      <c r="S881" s="24"/>
    </row>
    <row r="882" spans="15:19" ht="12.75" x14ac:dyDescent="0.2">
      <c r="O882" s="8"/>
      <c r="Q882" s="23"/>
      <c r="S882" s="24"/>
    </row>
    <row r="883" spans="15:19" ht="12.75" x14ac:dyDescent="0.2">
      <c r="O883" s="8"/>
      <c r="Q883" s="23"/>
      <c r="S883" s="24"/>
    </row>
    <row r="884" spans="15:19" ht="12.75" x14ac:dyDescent="0.2">
      <c r="O884" s="8"/>
      <c r="Q884" s="23"/>
      <c r="S884" s="24"/>
    </row>
    <row r="885" spans="15:19" ht="12.75" x14ac:dyDescent="0.2">
      <c r="O885" s="8"/>
      <c r="Q885" s="23"/>
      <c r="S885" s="24"/>
    </row>
    <row r="886" spans="15:19" ht="12.75" x14ac:dyDescent="0.2">
      <c r="O886" s="8"/>
      <c r="Q886" s="23"/>
      <c r="S886" s="24"/>
    </row>
    <row r="887" spans="15:19" ht="12.75" x14ac:dyDescent="0.2">
      <c r="O887" s="8"/>
      <c r="Q887" s="23"/>
      <c r="S887" s="24"/>
    </row>
    <row r="888" spans="15:19" ht="12.75" x14ac:dyDescent="0.2">
      <c r="O888" s="8"/>
      <c r="Q888" s="23"/>
      <c r="S888" s="24"/>
    </row>
    <row r="889" spans="15:19" ht="12.75" x14ac:dyDescent="0.2">
      <c r="O889" s="8"/>
      <c r="Q889" s="23"/>
      <c r="S889" s="24"/>
    </row>
    <row r="890" spans="15:19" ht="12.75" x14ac:dyDescent="0.2">
      <c r="O890" s="8"/>
      <c r="Q890" s="23"/>
      <c r="S890" s="24"/>
    </row>
    <row r="891" spans="15:19" ht="12.75" x14ac:dyDescent="0.2">
      <c r="O891" s="8"/>
      <c r="Q891" s="23"/>
      <c r="S891" s="24"/>
    </row>
    <row r="892" spans="15:19" ht="12.75" x14ac:dyDescent="0.2">
      <c r="O892" s="8"/>
      <c r="Q892" s="23"/>
      <c r="S892" s="24"/>
    </row>
    <row r="893" spans="15:19" ht="12.75" x14ac:dyDescent="0.2">
      <c r="O893" s="8"/>
      <c r="Q893" s="23"/>
      <c r="S893" s="24"/>
    </row>
    <row r="894" spans="15:19" ht="12.75" x14ac:dyDescent="0.2">
      <c r="O894" s="8"/>
      <c r="Q894" s="23"/>
      <c r="S894" s="24"/>
    </row>
    <row r="895" spans="15:19" ht="12.75" x14ac:dyDescent="0.2">
      <c r="O895" s="8"/>
      <c r="Q895" s="23"/>
      <c r="S895" s="24"/>
    </row>
    <row r="896" spans="15:19" ht="12.75" x14ac:dyDescent="0.2">
      <c r="O896" s="8"/>
      <c r="Q896" s="23"/>
      <c r="S896" s="24"/>
    </row>
    <row r="897" spans="15:19" ht="12.75" x14ac:dyDescent="0.2">
      <c r="O897" s="8"/>
      <c r="Q897" s="23"/>
      <c r="S897" s="24"/>
    </row>
    <row r="898" spans="15:19" ht="12.75" x14ac:dyDescent="0.2">
      <c r="O898" s="8"/>
      <c r="Q898" s="23"/>
      <c r="S898" s="24"/>
    </row>
    <row r="899" spans="15:19" ht="12.75" x14ac:dyDescent="0.2">
      <c r="O899" s="8"/>
      <c r="Q899" s="23"/>
      <c r="S899" s="24"/>
    </row>
    <row r="900" spans="15:19" ht="12.75" x14ac:dyDescent="0.2">
      <c r="O900" s="8"/>
      <c r="Q900" s="23"/>
      <c r="S900" s="24"/>
    </row>
    <row r="901" spans="15:19" ht="12.75" x14ac:dyDescent="0.2">
      <c r="O901" s="8"/>
      <c r="Q901" s="23"/>
      <c r="S901" s="24"/>
    </row>
    <row r="902" spans="15:19" ht="12.75" x14ac:dyDescent="0.2">
      <c r="O902" s="8"/>
      <c r="Q902" s="23"/>
      <c r="S902" s="24"/>
    </row>
    <row r="903" spans="15:19" ht="12.75" x14ac:dyDescent="0.2">
      <c r="O903" s="8"/>
      <c r="Q903" s="23"/>
      <c r="S903" s="24"/>
    </row>
    <row r="904" spans="15:19" ht="12.75" x14ac:dyDescent="0.2">
      <c r="O904" s="8"/>
      <c r="Q904" s="23"/>
      <c r="S904" s="24"/>
    </row>
    <row r="905" spans="15:19" ht="12.75" x14ac:dyDescent="0.2">
      <c r="O905" s="8"/>
      <c r="Q905" s="23"/>
      <c r="S905" s="24"/>
    </row>
    <row r="906" spans="15:19" ht="12.75" x14ac:dyDescent="0.2">
      <c r="O906" s="8"/>
      <c r="Q906" s="23"/>
      <c r="S906" s="24"/>
    </row>
    <row r="907" spans="15:19" ht="12.75" x14ac:dyDescent="0.2">
      <c r="O907" s="8"/>
      <c r="Q907" s="23"/>
      <c r="S907" s="24"/>
    </row>
    <row r="908" spans="15:19" ht="12.75" x14ac:dyDescent="0.2">
      <c r="O908" s="8"/>
      <c r="Q908" s="23"/>
      <c r="S908" s="24"/>
    </row>
    <row r="909" spans="15:19" ht="12.75" x14ac:dyDescent="0.2">
      <c r="O909" s="8"/>
      <c r="Q909" s="23"/>
      <c r="S909" s="24"/>
    </row>
    <row r="910" spans="15:19" ht="12.75" x14ac:dyDescent="0.2">
      <c r="O910" s="8"/>
      <c r="Q910" s="23"/>
      <c r="S910" s="24"/>
    </row>
    <row r="911" spans="15:19" ht="12.75" x14ac:dyDescent="0.2">
      <c r="O911" s="8"/>
      <c r="Q911" s="23"/>
      <c r="S911" s="24"/>
    </row>
    <row r="912" spans="15:19" ht="12.75" x14ac:dyDescent="0.2">
      <c r="O912" s="8"/>
      <c r="Q912" s="23"/>
      <c r="S912" s="24"/>
    </row>
    <row r="913" spans="15:19" ht="12.75" x14ac:dyDescent="0.2">
      <c r="O913" s="8"/>
      <c r="Q913" s="23"/>
      <c r="S913" s="24"/>
    </row>
    <row r="914" spans="15:19" ht="12.75" x14ac:dyDescent="0.2">
      <c r="O914" s="8"/>
      <c r="Q914" s="23"/>
      <c r="S914" s="24"/>
    </row>
    <row r="915" spans="15:19" ht="12.75" x14ac:dyDescent="0.2">
      <c r="O915" s="8"/>
      <c r="Q915" s="23"/>
      <c r="S915" s="24"/>
    </row>
    <row r="916" spans="15:19" ht="12.75" x14ac:dyDescent="0.2">
      <c r="O916" s="8"/>
      <c r="Q916" s="23"/>
      <c r="S916" s="24"/>
    </row>
    <row r="917" spans="15:19" ht="12.75" x14ac:dyDescent="0.2">
      <c r="O917" s="8"/>
      <c r="Q917" s="23"/>
      <c r="S917" s="24"/>
    </row>
    <row r="918" spans="15:19" ht="12.75" x14ac:dyDescent="0.2">
      <c r="O918" s="8"/>
      <c r="Q918" s="23"/>
      <c r="S918" s="24"/>
    </row>
    <row r="919" spans="15:19" ht="12.75" x14ac:dyDescent="0.2">
      <c r="O919" s="8"/>
      <c r="Q919" s="23"/>
      <c r="S919" s="24"/>
    </row>
    <row r="920" spans="15:19" ht="12.75" x14ac:dyDescent="0.2">
      <c r="O920" s="8"/>
      <c r="Q920" s="23"/>
      <c r="S920" s="24"/>
    </row>
    <row r="921" spans="15:19" ht="12.75" x14ac:dyDescent="0.2">
      <c r="O921" s="8"/>
      <c r="Q921" s="23"/>
      <c r="S921" s="24"/>
    </row>
    <row r="922" spans="15:19" ht="12.75" x14ac:dyDescent="0.2">
      <c r="O922" s="8"/>
      <c r="Q922" s="23"/>
      <c r="S922" s="24"/>
    </row>
    <row r="923" spans="15:19" ht="12.75" x14ac:dyDescent="0.2">
      <c r="O923" s="8"/>
      <c r="Q923" s="23"/>
      <c r="S923" s="24"/>
    </row>
    <row r="924" spans="15:19" ht="12.75" x14ac:dyDescent="0.2">
      <c r="O924" s="8"/>
      <c r="Q924" s="23"/>
      <c r="S924" s="24"/>
    </row>
    <row r="925" spans="15:19" ht="12.75" x14ac:dyDescent="0.2">
      <c r="O925" s="8"/>
      <c r="Q925" s="23"/>
      <c r="S925" s="24"/>
    </row>
    <row r="926" spans="15:19" ht="12.75" x14ac:dyDescent="0.2">
      <c r="O926" s="8"/>
      <c r="Q926" s="23"/>
      <c r="S926" s="24"/>
    </row>
    <row r="927" spans="15:19" ht="12.75" x14ac:dyDescent="0.2">
      <c r="O927" s="8"/>
      <c r="Q927" s="23"/>
      <c r="S927" s="24"/>
    </row>
    <row r="928" spans="15:19" ht="12.75" x14ac:dyDescent="0.2">
      <c r="O928" s="8"/>
      <c r="Q928" s="23"/>
      <c r="S928" s="24"/>
    </row>
    <row r="929" spans="15:19" ht="12.75" x14ac:dyDescent="0.2">
      <c r="O929" s="8"/>
      <c r="Q929" s="23"/>
      <c r="S929" s="24"/>
    </row>
    <row r="930" spans="15:19" ht="12.75" x14ac:dyDescent="0.2">
      <c r="O930" s="8"/>
      <c r="Q930" s="23"/>
      <c r="S930" s="24"/>
    </row>
    <row r="931" spans="15:19" ht="12.75" x14ac:dyDescent="0.2">
      <c r="O931" s="8"/>
      <c r="Q931" s="23"/>
      <c r="S931" s="24"/>
    </row>
    <row r="932" spans="15:19" ht="12.75" x14ac:dyDescent="0.2">
      <c r="O932" s="8"/>
      <c r="Q932" s="23"/>
      <c r="S932" s="24"/>
    </row>
    <row r="933" spans="15:19" ht="12.75" x14ac:dyDescent="0.2">
      <c r="O933" s="8"/>
      <c r="Q933" s="23"/>
      <c r="S933" s="24"/>
    </row>
    <row r="934" spans="15:19" ht="12.75" x14ac:dyDescent="0.2">
      <c r="O934" s="8"/>
      <c r="Q934" s="23"/>
      <c r="S934" s="24"/>
    </row>
    <row r="935" spans="15:19" ht="12.75" x14ac:dyDescent="0.2">
      <c r="O935" s="8"/>
      <c r="Q935" s="23"/>
      <c r="S935" s="24"/>
    </row>
    <row r="936" spans="15:19" ht="12.75" x14ac:dyDescent="0.2">
      <c r="O936" s="8"/>
      <c r="Q936" s="23"/>
      <c r="S936" s="24"/>
    </row>
    <row r="937" spans="15:19" ht="12.75" x14ac:dyDescent="0.2">
      <c r="O937" s="8"/>
      <c r="Q937" s="23"/>
      <c r="S937" s="24"/>
    </row>
    <row r="938" spans="15:19" ht="12.75" x14ac:dyDescent="0.2">
      <c r="O938" s="8"/>
      <c r="Q938" s="23"/>
      <c r="S938" s="24"/>
    </row>
    <row r="939" spans="15:19" ht="12.75" x14ac:dyDescent="0.2">
      <c r="O939" s="8"/>
      <c r="Q939" s="23"/>
      <c r="S939" s="24"/>
    </row>
    <row r="940" spans="15:19" ht="12.75" x14ac:dyDescent="0.2">
      <c r="O940" s="8"/>
      <c r="Q940" s="23"/>
      <c r="S940" s="24"/>
    </row>
    <row r="941" spans="15:19" ht="12.75" x14ac:dyDescent="0.2">
      <c r="O941" s="8"/>
      <c r="Q941" s="23"/>
      <c r="S941" s="24"/>
    </row>
    <row r="942" spans="15:19" ht="12.75" x14ac:dyDescent="0.2">
      <c r="O942" s="8"/>
      <c r="Q942" s="23"/>
      <c r="S942" s="24"/>
    </row>
    <row r="943" spans="15:19" ht="12.75" x14ac:dyDescent="0.2">
      <c r="O943" s="8"/>
      <c r="Q943" s="23"/>
      <c r="S943" s="24"/>
    </row>
    <row r="944" spans="15:19" ht="12.75" x14ac:dyDescent="0.2">
      <c r="O944" s="8"/>
      <c r="Q944" s="23"/>
      <c r="S944" s="24"/>
    </row>
    <row r="945" spans="15:19" ht="12.75" x14ac:dyDescent="0.2">
      <c r="O945" s="8"/>
      <c r="Q945" s="23"/>
      <c r="S945" s="24"/>
    </row>
    <row r="946" spans="15:19" ht="12.75" x14ac:dyDescent="0.2">
      <c r="O946" s="8"/>
      <c r="Q946" s="23"/>
      <c r="S946" s="24"/>
    </row>
    <row r="947" spans="15:19" ht="12.75" x14ac:dyDescent="0.2">
      <c r="O947" s="8"/>
      <c r="Q947" s="23"/>
      <c r="S947" s="24"/>
    </row>
    <row r="948" spans="15:19" ht="12.75" x14ac:dyDescent="0.2">
      <c r="O948" s="8"/>
      <c r="Q948" s="23"/>
      <c r="S948" s="24"/>
    </row>
    <row r="949" spans="15:19" ht="12.75" x14ac:dyDescent="0.2">
      <c r="O949" s="8"/>
      <c r="Q949" s="23"/>
      <c r="S949" s="24"/>
    </row>
    <row r="950" spans="15:19" ht="12.75" x14ac:dyDescent="0.2">
      <c r="O950" s="8"/>
      <c r="Q950" s="23"/>
      <c r="S950" s="24"/>
    </row>
    <row r="951" spans="15:19" ht="12.75" x14ac:dyDescent="0.2">
      <c r="O951" s="8"/>
      <c r="Q951" s="23"/>
      <c r="S951" s="24"/>
    </row>
    <row r="952" spans="15:19" ht="12.75" x14ac:dyDescent="0.2">
      <c r="O952" s="8"/>
      <c r="Q952" s="23"/>
      <c r="S952" s="24"/>
    </row>
    <row r="953" spans="15:19" ht="12.75" x14ac:dyDescent="0.2">
      <c r="O953" s="8"/>
      <c r="Q953" s="23"/>
      <c r="S953" s="24"/>
    </row>
    <row r="954" spans="15:19" ht="12.75" x14ac:dyDescent="0.2">
      <c r="O954" s="8"/>
      <c r="Q954" s="23"/>
      <c r="S954" s="24"/>
    </row>
    <row r="955" spans="15:19" ht="12.75" x14ac:dyDescent="0.2">
      <c r="O955" s="8"/>
      <c r="Q955" s="23"/>
      <c r="S955" s="24"/>
    </row>
    <row r="956" spans="15:19" ht="12.75" x14ac:dyDescent="0.2">
      <c r="O956" s="8"/>
      <c r="Q956" s="23"/>
      <c r="S956" s="24"/>
    </row>
    <row r="957" spans="15:19" ht="12.75" x14ac:dyDescent="0.2">
      <c r="O957" s="8"/>
      <c r="Q957" s="23"/>
      <c r="S957" s="24"/>
    </row>
    <row r="958" spans="15:19" ht="12.75" x14ac:dyDescent="0.2">
      <c r="O958" s="8"/>
      <c r="Q958" s="23"/>
      <c r="S958" s="24"/>
    </row>
    <row r="959" spans="15:19" ht="12.75" x14ac:dyDescent="0.2">
      <c r="O959" s="8"/>
      <c r="Q959" s="23"/>
      <c r="S959" s="24"/>
    </row>
    <row r="960" spans="15:19" ht="12.75" x14ac:dyDescent="0.2">
      <c r="O960" s="8"/>
      <c r="Q960" s="23"/>
      <c r="S960" s="24"/>
    </row>
    <row r="961" spans="15:19" ht="12.75" x14ac:dyDescent="0.2">
      <c r="O961" s="8"/>
      <c r="Q961" s="23"/>
      <c r="S961" s="24"/>
    </row>
    <row r="962" spans="15:19" ht="12.75" x14ac:dyDescent="0.2">
      <c r="O962" s="8"/>
      <c r="Q962" s="23"/>
      <c r="S962" s="24"/>
    </row>
    <row r="963" spans="15:19" ht="12.75" x14ac:dyDescent="0.2">
      <c r="O963" s="8"/>
      <c r="Q963" s="23"/>
      <c r="S963" s="24"/>
    </row>
    <row r="964" spans="15:19" ht="12.75" x14ac:dyDescent="0.2">
      <c r="O964" s="8"/>
      <c r="Q964" s="23"/>
      <c r="S964" s="24"/>
    </row>
    <row r="965" spans="15:19" ht="12.75" x14ac:dyDescent="0.2">
      <c r="O965" s="8"/>
      <c r="Q965" s="23"/>
      <c r="S965" s="24"/>
    </row>
    <row r="966" spans="15:19" ht="12.75" x14ac:dyDescent="0.2">
      <c r="O966" s="8"/>
      <c r="Q966" s="23"/>
      <c r="S966" s="24"/>
    </row>
    <row r="967" spans="15:19" ht="12.75" x14ac:dyDescent="0.2">
      <c r="O967" s="8"/>
      <c r="Q967" s="23"/>
      <c r="S967" s="24"/>
    </row>
    <row r="968" spans="15:19" ht="12.75" x14ac:dyDescent="0.2">
      <c r="O968" s="8"/>
      <c r="Q968" s="23"/>
      <c r="S968" s="24"/>
    </row>
    <row r="969" spans="15:19" ht="12.75" x14ac:dyDescent="0.2">
      <c r="O969" s="8"/>
      <c r="Q969" s="23"/>
      <c r="S969" s="24"/>
    </row>
    <row r="970" spans="15:19" ht="12.75" x14ac:dyDescent="0.2">
      <c r="O970" s="8"/>
      <c r="Q970" s="23"/>
      <c r="S970" s="24"/>
    </row>
    <row r="971" spans="15:19" ht="12.75" x14ac:dyDescent="0.2">
      <c r="O971" s="8"/>
      <c r="Q971" s="23"/>
      <c r="S971" s="24"/>
    </row>
    <row r="972" spans="15:19" ht="12.75" x14ac:dyDescent="0.2">
      <c r="O972" s="8"/>
      <c r="Q972" s="23"/>
      <c r="S972" s="24"/>
    </row>
    <row r="973" spans="15:19" ht="12.75" x14ac:dyDescent="0.2">
      <c r="O973" s="8"/>
      <c r="Q973" s="23"/>
      <c r="S973" s="24"/>
    </row>
    <row r="974" spans="15:19" ht="12.75" x14ac:dyDescent="0.2">
      <c r="O974" s="8"/>
      <c r="Q974" s="23"/>
      <c r="S974" s="24"/>
    </row>
    <row r="975" spans="15:19" ht="12.75" x14ac:dyDescent="0.2">
      <c r="O975" s="8"/>
      <c r="Q975" s="23"/>
      <c r="S975" s="24"/>
    </row>
    <row r="976" spans="15:19" ht="12.75" x14ac:dyDescent="0.2">
      <c r="O976" s="8"/>
      <c r="Q976" s="23"/>
      <c r="S976" s="24"/>
    </row>
    <row r="977" spans="15:19" ht="12.75" x14ac:dyDescent="0.2">
      <c r="O977" s="8"/>
      <c r="Q977" s="23"/>
      <c r="S977" s="24"/>
    </row>
    <row r="978" spans="15:19" ht="12.75" x14ac:dyDescent="0.2">
      <c r="O978" s="8"/>
      <c r="Q978" s="23"/>
      <c r="S978" s="24"/>
    </row>
    <row r="979" spans="15:19" ht="12.75" x14ac:dyDescent="0.2">
      <c r="O979" s="8"/>
      <c r="Q979" s="23"/>
      <c r="S979" s="24"/>
    </row>
    <row r="980" spans="15:19" ht="12.75" x14ac:dyDescent="0.2">
      <c r="O980" s="8"/>
      <c r="Q980" s="23"/>
      <c r="S980" s="24"/>
    </row>
    <row r="981" spans="15:19" ht="12.75" x14ac:dyDescent="0.2">
      <c r="O981" s="8"/>
      <c r="Q981" s="23"/>
      <c r="S981" s="24"/>
    </row>
    <row r="982" spans="15:19" ht="12.75" x14ac:dyDescent="0.2">
      <c r="O982" s="8"/>
      <c r="Q982" s="23"/>
      <c r="S982" s="24"/>
    </row>
    <row r="983" spans="15:19" ht="12.75" x14ac:dyDescent="0.2">
      <c r="O983" s="8"/>
      <c r="Q983" s="23"/>
      <c r="S983" s="24"/>
    </row>
    <row r="984" spans="15:19" ht="12.75" x14ac:dyDescent="0.2">
      <c r="O984" s="8"/>
      <c r="Q984" s="23"/>
      <c r="S984" s="24"/>
    </row>
    <row r="985" spans="15:19" ht="12.75" x14ac:dyDescent="0.2">
      <c r="O985" s="8"/>
      <c r="Q985" s="23"/>
      <c r="S985" s="24"/>
    </row>
    <row r="986" spans="15:19" ht="12.75" x14ac:dyDescent="0.2">
      <c r="O986" s="8"/>
      <c r="Q986" s="23"/>
      <c r="S986" s="24"/>
    </row>
    <row r="987" spans="15:19" ht="12.75" x14ac:dyDescent="0.2">
      <c r="O987" s="8"/>
      <c r="Q987" s="23"/>
      <c r="S987" s="24"/>
    </row>
    <row r="988" spans="15:19" ht="12.75" x14ac:dyDescent="0.2">
      <c r="O988" s="8"/>
      <c r="Q988" s="23"/>
      <c r="S988" s="24"/>
    </row>
    <row r="989" spans="15:19" ht="12.75" x14ac:dyDescent="0.2">
      <c r="O989" s="8"/>
      <c r="Q989" s="23"/>
      <c r="S989" s="24"/>
    </row>
    <row r="990" spans="15:19" ht="12.75" x14ac:dyDescent="0.2">
      <c r="O990" s="8"/>
      <c r="Q990" s="23"/>
      <c r="S990" s="24"/>
    </row>
    <row r="991" spans="15:19" ht="12.75" x14ac:dyDescent="0.2">
      <c r="O991" s="8"/>
      <c r="Q991" s="23"/>
      <c r="S991" s="24"/>
    </row>
    <row r="992" spans="15:19" ht="12.75" x14ac:dyDescent="0.2">
      <c r="O992" s="8"/>
      <c r="Q992" s="23"/>
      <c r="S992" s="24"/>
    </row>
    <row r="993" spans="15:19" ht="12.75" x14ac:dyDescent="0.2">
      <c r="O993" s="8"/>
      <c r="Q993" s="23"/>
      <c r="S993" s="24"/>
    </row>
    <row r="994" spans="15:19" ht="12.75" x14ac:dyDescent="0.2">
      <c r="O994" s="8"/>
      <c r="Q994" s="23"/>
      <c r="S994" s="24"/>
    </row>
    <row r="995" spans="15:19" ht="12.75" x14ac:dyDescent="0.2">
      <c r="O995" s="8"/>
      <c r="Q995" s="23"/>
      <c r="S995" s="24"/>
    </row>
    <row r="996" spans="15:19" ht="12.75" x14ac:dyDescent="0.2">
      <c r="O996" s="8"/>
      <c r="Q996" s="23"/>
      <c r="S996" s="24"/>
    </row>
    <row r="997" spans="15:19" ht="12.75" x14ac:dyDescent="0.2">
      <c r="O997" s="8"/>
      <c r="Q997" s="23"/>
      <c r="S997" s="24"/>
    </row>
    <row r="998" spans="15:19" ht="12.75" x14ac:dyDescent="0.2">
      <c r="O998" s="8"/>
      <c r="Q998" s="23"/>
      <c r="S998" s="24"/>
    </row>
    <row r="999" spans="15:19" ht="12.75" x14ac:dyDescent="0.2">
      <c r="O999" s="8"/>
      <c r="Q999" s="23"/>
      <c r="S999" s="24"/>
    </row>
    <row r="1000" spans="15:19" ht="12.75" x14ac:dyDescent="0.2">
      <c r="O1000" s="8"/>
      <c r="Q1000" s="23"/>
      <c r="S1000" s="24"/>
    </row>
  </sheetData>
  <mergeCells count="15">
    <mergeCell ref="AB1:AC1"/>
    <mergeCell ref="AD1:AE1"/>
    <mergeCell ref="AF1:AG1"/>
    <mergeCell ref="A1:B1"/>
    <mergeCell ref="C1:D1"/>
    <mergeCell ref="E1:F1"/>
    <mergeCell ref="G1:I1"/>
    <mergeCell ref="J1:L1"/>
    <mergeCell ref="M1:N1"/>
    <mergeCell ref="O1:P1"/>
    <mergeCell ref="Q1:R1"/>
    <mergeCell ref="S1:T1"/>
    <mergeCell ref="U1:V1"/>
    <mergeCell ref="W1:X1"/>
    <mergeCell ref="Z1:AA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Venturin</cp:lastModifiedBy>
  <dcterms:modified xsi:type="dcterms:W3CDTF">2022-04-13T01:40:45Z</dcterms:modified>
</cp:coreProperties>
</file>